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5.xml"/>
  <Override ContentType="application/vnd.openxmlformats-officedocument.spreadsheetml.pivotCacheDefinition+xml" PartName="/xl/pivotCache/pivotCacheDefinition11.xml"/>
  <Override ContentType="application/vnd.openxmlformats-officedocument.spreadsheetml.pivotCacheDefinition+xml" PartName="/xl/pivotCache/pivotCacheDefinition7.xml"/>
  <Override ContentType="application/vnd.openxmlformats-officedocument.spreadsheetml.pivotCacheDefinition+xml" PartName="/xl/pivotCache/pivotCacheDefinition13.xml"/>
  <Override ContentType="application/vnd.openxmlformats-officedocument.spreadsheetml.pivotCacheDefinition+xml" PartName="/xl/pivotCache/pivotCacheDefinition10.xml"/>
  <Override ContentType="application/vnd.openxmlformats-officedocument.spreadsheetml.pivotCacheDefinition+xml" PartName="/xl/pivotCache/pivotCacheDefinition3.xml"/>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6.xml"/>
  <Override ContentType="application/vnd.openxmlformats-officedocument.spreadsheetml.pivotCacheDefinition+xml" PartName="/xl/pivotCache/pivotCacheDefinition14.xml"/>
  <Override ContentType="application/vnd.openxmlformats-officedocument.spreadsheetml.pivotCacheDefinition+xml" PartName="/xl/pivotCache/pivotCacheDefinition8.xml"/>
  <Override ContentType="application/vnd.openxmlformats-officedocument.spreadsheetml.pivotCacheDefinition+xml" PartName="/xl/pivotCache/pivotCacheDefinition12.xml"/>
  <Override ContentType="application/vnd.openxmlformats-officedocument.spreadsheetml.pivotCacheDefinition+xml" PartName="/xl/pivotCache/pivotCacheDefinition9.xml"/>
  <Override ContentType="application/vnd.openxmlformats-officedocument.spreadsheetml.pivotCacheDefinition+xml" PartName="/xl/pivotCache/pivotCacheDefinition4.xml"/>
  <Override ContentType="application/vnd.openxmlformats-officedocument.spreadsheetml.pivotCacheDefinition+xml" PartName="/xl/pivotCache/pivotCacheDefinition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pivotTable+xml" PartName="/xl/pivotTables/pivotTable6.xml"/>
  <Override ContentType="application/vnd.openxmlformats-officedocument.spreadsheetml.pivotTable+xml" PartName="/xl/pivotTables/pivotTable4.xml"/>
  <Override ContentType="application/vnd.openxmlformats-officedocument.spreadsheetml.pivotTable+xml" PartName="/xl/pivotTables/pivotTable1.xml"/>
  <Override ContentType="application/vnd.openxmlformats-officedocument.spreadsheetml.pivotTable+xml" PartName="/xl/pivotTables/pivotTable7.xml"/>
  <Override ContentType="application/vnd.openxmlformats-officedocument.spreadsheetml.pivotTable+xml" PartName="/xl/pivotTables/pivotTable9.xml"/>
  <Override ContentType="application/vnd.openxmlformats-officedocument.spreadsheetml.pivotTable+xml" PartName="/xl/pivotTables/pivotTable11.xml"/>
  <Override ContentType="application/vnd.openxmlformats-officedocument.spreadsheetml.pivotTable+xml" PartName="/xl/pivotTables/pivotTable13.xml"/>
  <Override ContentType="application/vnd.openxmlformats-officedocument.spreadsheetml.pivotTable+xml" PartName="/xl/pivotTables/pivotTable5.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pivotTable+xml" PartName="/xl/pivotTables/pivotTable8.xml"/>
  <Override ContentType="application/vnd.openxmlformats-officedocument.spreadsheetml.pivotTable+xml" PartName="/xl/pivotTables/pivotTable10.xml"/>
  <Override ContentType="application/vnd.openxmlformats-officedocument.spreadsheetml.pivotTable+xml" PartName="/xl/pivotTables/pivotTable14.xml"/>
  <Override ContentType="application/vnd.openxmlformats-officedocument.spreadsheetml.pivotTable+xml" PartName="/xl/pivotTables/pivotTable12.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lobal1" sheetId="1" r:id="rId4"/>
    <sheet state="visible" name="Pending" sheetId="2" r:id="rId5"/>
    <sheet state="hidden" name="Commission" sheetId="3" r:id="rId6"/>
    <sheet state="hidden" name="CA2024" sheetId="4" r:id="rId7"/>
    <sheet state="visible" name="CA2025" sheetId="5" r:id="rId8"/>
    <sheet state="hidden" name="Objectifs24" sheetId="6" r:id="rId9"/>
    <sheet state="visible" name="Objectifs25" sheetId="7" r:id="rId10"/>
    <sheet state="visible" name="Tableau croisé dynamique 14" sheetId="8" r:id="rId11"/>
    <sheet state="hidden" name="Calendar ID" sheetId="9" r:id="rId12"/>
    <sheet state="hidden" name="Facturation" sheetId="10" r:id="rId13"/>
    <sheet state="hidden" name="Collab Voulues" sheetId="11" r:id="rId14"/>
  </sheets>
  <definedNames>
    <definedName hidden="1" localSheetId="0" name="_xlnm._FilterDatabase">Global1!$A$1:$AC$1358</definedName>
    <definedName hidden="1" localSheetId="6" name="_xlnm._FilterDatabase">Objectifs25!$A$27:$B$132</definedName>
    <definedName hidden="1" localSheetId="8" name="_xlnm._FilterDatabase">'Calendar ID'!$A$1:$D$39</definedName>
    <definedName hidden="1" localSheetId="9" name="_xlnm._FilterDatabase">Facturation!$A$1:$L$53</definedName>
    <definedName hidden="1" localSheetId="10" name="_xlnm._FilterDatabase">'Collab Voulues'!$K$2:$S$159</definedName>
  </definedNames>
  <calcPr/>
  <pivotCaches>
    <pivotCache cacheId="0" r:id="rId15"/>
    <pivotCache cacheId="1" r:id="rId16"/>
    <pivotCache cacheId="2" r:id="rId17"/>
    <pivotCache cacheId="3" r:id="rId18"/>
    <pivotCache cacheId="4" r:id="rId19"/>
    <pivotCache cacheId="5" r:id="rId20"/>
    <pivotCache cacheId="6" r:id="rId21"/>
    <pivotCache cacheId="7" r:id="rId22"/>
    <pivotCache cacheId="8" r:id="rId23"/>
    <pivotCache cacheId="9" r:id="rId24"/>
    <pivotCache cacheId="10" r:id="rId25"/>
    <pivotCache cacheId="11" r:id="rId26"/>
    <pivotCache cacheId="12" r:id="rId27"/>
    <pivotCache cacheId="13" r:id="rId28"/>
  </pivotCaches>
</workbook>
</file>

<file path=xl/sharedStrings.xml><?xml version="1.0" encoding="utf-8"?>
<sst xmlns="http://schemas.openxmlformats.org/spreadsheetml/2006/main" count="11242" uniqueCount="1404">
  <si>
    <t>Talent</t>
  </si>
  <si>
    <t>Date Création</t>
  </si>
  <si>
    <t>Marque</t>
  </si>
  <si>
    <t>Complément</t>
  </si>
  <si>
    <t xml:space="preserve"> Brouillon draft</t>
  </si>
  <si>
    <t>Date Début</t>
  </si>
  <si>
    <t>Date Fin</t>
  </si>
  <si>
    <t>Status</t>
  </si>
  <si>
    <t>Commentaire</t>
  </si>
  <si>
    <t>Description rapide de la demande</t>
  </si>
  <si>
    <t>Format (influence vs UGC)</t>
  </si>
  <si>
    <t>Rémunération totale</t>
  </si>
  <si>
    <t>Date Stats</t>
  </si>
  <si>
    <t>Lien video</t>
  </si>
  <si>
    <t>X</t>
  </si>
  <si>
    <t>Grapper</t>
  </si>
  <si>
    <t>Date vente</t>
  </si>
  <si>
    <t>Commission</t>
  </si>
  <si>
    <t>Facture envoyé</t>
  </si>
  <si>
    <t>Mail</t>
  </si>
  <si>
    <t>Event Brouillon</t>
  </si>
  <si>
    <t>Calendar ID pour brouillon</t>
  </si>
  <si>
    <t>Event Post</t>
  </si>
  <si>
    <t>Calendar ID Post</t>
  </si>
  <si>
    <t>Date Estimée de Réception</t>
  </si>
  <si>
    <t>Date Réelle de Réception</t>
  </si>
  <si>
    <t>Status Colis</t>
  </si>
  <si>
    <t>Commentaires</t>
  </si>
  <si>
    <t>ID Form</t>
  </si>
  <si>
    <t>Pauline</t>
  </si>
  <si>
    <t>BYS Maquillage</t>
  </si>
  <si>
    <t>Fait</t>
  </si>
  <si>
    <t>vidéo dédiée maquillage avec la marque Bell.</t>
  </si>
  <si>
    <t>Influence</t>
  </si>
  <si>
    <t>Oui</t>
  </si>
  <si>
    <t>Non</t>
  </si>
  <si>
    <t>Chiara</t>
  </si>
  <si>
    <t>Yepoda</t>
  </si>
  <si>
    <r>
      <rPr>
        <rFont val="Arial"/>
        <color theme="1"/>
      </rPr>
      <t xml:space="preserve">post obligatoire </t>
    </r>
    <r>
      <rPr>
        <rFont val="Arial"/>
        <b/>
        <color theme="1"/>
      </rPr>
      <t>avec brief</t>
    </r>
  </si>
  <si>
    <t>Melissa</t>
  </si>
  <si>
    <t xml:space="preserve">post obligatoire  </t>
  </si>
  <si>
    <t>Gifting + Médiatisation</t>
  </si>
  <si>
    <t>Camille</t>
  </si>
  <si>
    <t>Brief à respecter</t>
  </si>
  <si>
    <t>20€/semaine de médiatisation</t>
  </si>
  <si>
    <t>Lily Noël</t>
  </si>
  <si>
    <t>Rimmel London</t>
  </si>
  <si>
    <t xml:space="preserve">ne pas mentionner d'autres marques 7 jours avant et après @ </t>
  </si>
  <si>
    <t>SHEIN</t>
  </si>
  <si>
    <t>Thème du book</t>
  </si>
  <si>
    <t>Comptabilisé</t>
  </si>
  <si>
    <t>Yves Rocher</t>
  </si>
  <si>
    <t>Temu</t>
  </si>
  <si>
    <t>Lina</t>
  </si>
  <si>
    <t>Anua</t>
  </si>
  <si>
    <t xml:space="preserve">Post Obligatoire </t>
  </si>
  <si>
    <t>Gifting</t>
  </si>
  <si>
    <t>Flavie</t>
  </si>
  <si>
    <t>resultat concours</t>
  </si>
  <si>
    <t>Brief dans mail</t>
  </si>
  <si>
    <t>en attente validation marque</t>
  </si>
  <si>
    <t>VALIDÉ</t>
  </si>
  <si>
    <t>SOS Beauty</t>
  </si>
  <si>
    <t>Preview Validée</t>
  </si>
  <si>
    <t>Haru Haru Wonder</t>
  </si>
  <si>
    <t>Jessica</t>
  </si>
  <si>
    <t>⚠️⚠️ demander à Inès code promo vs lien (car code différent)</t>
  </si>
  <si>
    <t>Maybelline</t>
  </si>
  <si>
    <t>Koru</t>
  </si>
  <si>
    <t>PINKO PAZZESCO</t>
  </si>
  <si>
    <t>GHD</t>
  </si>
  <si>
    <t>Ne pas poster / Suivre brief</t>
  </si>
  <si>
    <t xml:space="preserve">UGC </t>
  </si>
  <si>
    <t>à envoyer à la marque</t>
  </si>
  <si>
    <t>UGC</t>
  </si>
  <si>
    <t>en attente validation</t>
  </si>
  <si>
    <t>Orane</t>
  </si>
  <si>
    <t>envoyer facture</t>
  </si>
  <si>
    <t>validé</t>
  </si>
  <si>
    <t>SKIN1004</t>
  </si>
  <si>
    <t>en attente info facturation</t>
  </si>
  <si>
    <t>Les Pistolets en Plastique</t>
  </si>
  <si>
    <t>Done</t>
  </si>
  <si>
    <t>Post avec brief</t>
  </si>
  <si>
    <t>https://www.tiktok.com/@melf.fnt/video/7382192283279494432</t>
  </si>
  <si>
    <t>https://www.tiktok.com/@lilyy.nl/video/7383728309110050080</t>
  </si>
  <si>
    <t>Rose Skin Co.</t>
  </si>
  <si>
    <t>Ne pas envoyer facture au client mais faire une factureEn $$ une fois reception et convertion</t>
  </si>
  <si>
    <t>Skin &amp; Out</t>
  </si>
  <si>
    <t>Lola</t>
  </si>
  <si>
    <t>https://www.tiktok.com/@lolatagliaferroo/video/7383998473613479201</t>
  </si>
  <si>
    <t>Juliane</t>
  </si>
  <si>
    <t>brief partagé</t>
  </si>
  <si>
    <t>Dyson</t>
  </si>
  <si>
    <t>ne pas poster 24h après ⚠️ verifier date (colis reçu le 23/05 = 3S)</t>
  </si>
  <si>
    <t>Satinée</t>
  </si>
  <si>
    <t>en attente affiliate code</t>
  </si>
  <si>
    <t>Libre</t>
  </si>
  <si>
    <t>video</t>
  </si>
  <si>
    <t>Alice</t>
  </si>
  <si>
    <t>BodyCross</t>
  </si>
  <si>
    <t>Garnier</t>
  </si>
  <si>
    <t>pas d'autres collabs 3 jours avant et après</t>
  </si>
  <si>
    <t>Laurie</t>
  </si>
  <si>
    <t>commande passée</t>
  </si>
  <si>
    <t>Eau Thermale Jonzac</t>
  </si>
  <si>
    <t>https://www.tiktok.com/@lavishhcam/video/7390792553022442784?lang=en</t>
  </si>
  <si>
    <t>So Bio Etic</t>
  </si>
  <si>
    <t>https://www.tiktok.com/@chiaraaaa.bnc/video/7391058568260111649</t>
  </si>
  <si>
    <t>https://www.tiktok.com/@lina.mkrn2/video/7390790437969104161</t>
  </si>
  <si>
    <t>Perrine</t>
  </si>
  <si>
    <t>⚠️</t>
  </si>
  <si>
    <t>https://www.tiktok.com/@perrine.trp/video/7391590382611516705</t>
  </si>
  <si>
    <t>Morgane</t>
  </si>
  <si>
    <t>https://www.tiktok.com/@morgane.mrckk/video/7390710366738681121</t>
  </si>
  <si>
    <t>https://www.tiktok.com/@perrine.trp/video/7394891259883654433</t>
  </si>
  <si>
    <t>Terre de Mars</t>
  </si>
  <si>
    <t>https://www.tiktok.com/@___oraane/video/7392965105924738336</t>
  </si>
  <si>
    <t>Commonlabs</t>
  </si>
  <si>
    <t>https://www.tiktok.com/@paupibeauty/video/7395224727377251617</t>
  </si>
  <si>
    <t>https://www.tiktok.com/@lolatagliaferroo/video/7395519666556259616</t>
  </si>
  <si>
    <t>BENEFIT</t>
  </si>
  <si>
    <t>https://www.tiktok.com/@melf.fnt/video/7393286593676660000</t>
  </si>
  <si>
    <t>https://www.tiktok.com/@perrine.trp/video/7393392477878701345</t>
  </si>
  <si>
    <t>https://www.tiktok.com/@morgane.mrckk/video/7394042444519591201</t>
  </si>
  <si>
    <t>date post à confirmer</t>
  </si>
  <si>
    <t>https://www.tiktok.com/@paupibeauty/video/7394501330364075296</t>
  </si>
  <si>
    <t>Anastasia Beverly Hills</t>
  </si>
  <si>
    <r>
      <rPr>
        <rFont val="Arial"/>
        <color theme="1"/>
      </rPr>
      <t xml:space="preserve">DESCRIPTION </t>
    </r>
    <r>
      <rPr>
        <rFont val="Arial"/>
        <color rgb="FFFF0000"/>
      </rPr>
      <t>(changement à faire)</t>
    </r>
    <r>
      <rPr>
        <rFont val="Arial"/>
        <color theme="1"/>
      </rPr>
      <t xml:space="preserve"> =&gt; Nouveautés @Anastasia Beverly Hills : Beauty balm &amp; Blurring serum blush ✨ Available from xxxx at Sephora all shades online and limited assortment in store #AD #ABHBLUSH #BLUSHHACK #LIQUIDBLUSH #ABHBeautyBalm #AnastasiaBeverlyHills</t>
    </r>
  </si>
  <si>
    <t>https://www.tiktok.com/@paupibeauty/video/7397449808555937056?_r=1&amp;_t=8oSOvlgWeMi</t>
  </si>
  <si>
    <t>https://www.tiktok.com/@lolatagliaferroo/video/7398086597721263393</t>
  </si>
  <si>
    <r>
      <rPr>
        <rFont val="Arial"/>
        <color theme="1"/>
      </rPr>
      <t xml:space="preserve">DESCRIPTION </t>
    </r>
    <r>
      <rPr>
        <rFont val="Arial"/>
        <color rgb="FFFF0000"/>
      </rPr>
      <t>(changement à faire)</t>
    </r>
    <r>
      <rPr>
        <rFont val="Arial"/>
        <color theme="1"/>
      </rPr>
      <t xml:space="preserve"> =&gt;Makeup After Beachhh with Beauty Balm and Blurring Serum Blush @ANASTASIABEVERLYHILLS available from xxxx at Sephora all shades online and limited assortment in store. (il faudra remplacer les xx par la date de sortie, je te la communiquerai dès que je l'aurais) #pourtoi #foryoupage #grwm #grwmroutine #grwmmakeup #fyp #makeuproutine #AD #abhblush #blushhack #liquidblush #abhbeautybalm #anastasiaberverllyhills</t>
    </r>
  </si>
  <si>
    <t>brouillon</t>
  </si>
  <si>
    <t>https://www.tiktok.com/@___oraane/video/7398548157925248288</t>
  </si>
  <si>
    <t>https://vm.tiktok.com/ZGenfd12c/</t>
  </si>
  <si>
    <t>DESCRIPTION (changement à faire) =&gt;⚠️ Date sortie SEPHORA</t>
  </si>
  <si>
    <t>Lise</t>
  </si>
  <si>
    <t>https://www.tiktok.com/@liserdg/video/7397464254451911969</t>
  </si>
  <si>
    <t>CA</t>
  </si>
  <si>
    <t>https://www.tiktok.com/@liserdg/video/7401195152984870176</t>
  </si>
  <si>
    <t>Grande Cosmetics</t>
  </si>
  <si>
    <t>envoyer video à jour que Lily a partagé le 13/08</t>
  </si>
  <si>
    <t>https://www.tiktok.com/@lilyy.nl/video/7403767696283766048</t>
  </si>
  <si>
    <t>SUN SERUM</t>
  </si>
  <si>
    <t>BOURS</t>
  </si>
  <si>
    <t>Partager ad code // DESCRIPTION (changement à faire) =&gt; The perfect complexion for this summer is: Beauty Balm and Blurring Serum Blush by @ANASTASIABEVERLYHILLS vavailable from xxxx (à remplacer par la date quand nous l'aurons) at Sephora all shades online and limited assortment in store #AD #ABHBLUSH #BLUSHHACK #LIQUIDBLUSH #ABHBeautyBalm #AnastasiaBeverlyHills</t>
  </si>
  <si>
    <t>https://www.tiktok.com/@morgane.mrckk/video/7411931626252422433</t>
  </si>
  <si>
    <t>une fois le paiement paypal faire facture pour € exact</t>
  </si>
  <si>
    <t>https://www.tiktok.com/@___oraane/video/7403673068578688289</t>
  </si>
  <si>
    <t>https://www.tiktok.com/@lavishhcam/video/7406036857340824865?lang=en</t>
  </si>
  <si>
    <t>https://www.tiktok.com/@lilyy.nl/video/7407093682731502880</t>
  </si>
  <si>
    <t>https://www.tiktok.com/@paupibeauty/video/7403439757415533856?_r=1&amp;_t=8otpeszl9rE</t>
  </si>
  <si>
    <t>Error: Invalid dates</t>
  </si>
  <si>
    <t>DESCRIPTION (changement à faire) =&gt;</t>
  </si>
  <si>
    <t>https://www.tiktok.com/@perrine.trp/video/7411953653143129376</t>
  </si>
  <si>
    <t>ajouter avant après</t>
  </si>
  <si>
    <t>attendre retour autres factures</t>
  </si>
  <si>
    <t>Jeanne</t>
  </si>
  <si>
    <t>Reçu</t>
  </si>
  <si>
    <t>pas poster +3/-3   // partager ad code</t>
  </si>
  <si>
    <t>Mixa</t>
  </si>
  <si>
    <t>envoyer facture 09/09 avec médiatisation + contenu</t>
  </si>
  <si>
    <t>https://www.tiktok.com/@lavishhcam/video/7407487090046389537?lang=en</t>
  </si>
  <si>
    <t>My House of Jewels</t>
  </si>
  <si>
    <t>pas possible de poster le 23</t>
  </si>
  <si>
    <t>https://www.tiktok.com/@melf.fnt/video/7408135764502007073</t>
  </si>
  <si>
    <t>https://www.tiktok.com/@lavishhcam/video/7406708879695875360?lang=en</t>
  </si>
  <si>
    <t>Uriage</t>
  </si>
  <si>
    <t>⚠️ Dates Mixa -3+3 pas de collabs // date à confirmer</t>
  </si>
  <si>
    <t>https://www.tiktok.com/@lavishhcam/video/7411562966337834272?lang=en</t>
  </si>
  <si>
    <t>https://www.tiktok.com/@morgane.mrckk/video/7406767459749055777</t>
  </si>
  <si>
    <t>à poster</t>
  </si>
  <si>
    <t>https://www.tiktok.com/@lilyy.nl/video/7411947131440827681</t>
  </si>
  <si>
    <t>Erborian</t>
  </si>
  <si>
    <t xml:space="preserve">Lancôme </t>
  </si>
  <si>
    <t>Lancôme #MWL</t>
  </si>
  <si>
    <t>médiatisation à confirmer +100€</t>
  </si>
  <si>
    <t>Nocibé</t>
  </si>
  <si>
    <t>recuperer lien tacké pour IGs</t>
  </si>
  <si>
    <t>Crocs</t>
  </si>
  <si>
    <t>IG</t>
  </si>
  <si>
    <t>JOLT</t>
  </si>
  <si>
    <t>à refaire (réhaussement de cils)</t>
  </si>
  <si>
    <t>https://www.tiktok.com/@julianebernard/video/7415999447202663713</t>
  </si>
  <si>
    <t>24h no post any // 3 weeks of use</t>
  </si>
  <si>
    <t>faire valider le contenu</t>
  </si>
  <si>
    <t>https://www.tiktok.com/@lilyy.nl/video/7412698376162135328</t>
  </si>
  <si>
    <t>https://www.tiktok.com/@melf.fnt/video/7421252203458874656</t>
  </si>
  <si>
    <t>Ducray</t>
  </si>
  <si>
    <t>+code boost</t>
  </si>
  <si>
    <t>Bioré</t>
  </si>
  <si>
    <t>La Roche Posay</t>
  </si>
  <si>
    <t>pas de média</t>
  </si>
  <si>
    <t>Yesstyle</t>
  </si>
  <si>
    <t>GRWM for bed</t>
  </si>
  <si>
    <t>https://www.tiktok.com/@melf.fnt/video/7417119746270776609</t>
  </si>
  <si>
    <t>Whats in my bag</t>
  </si>
  <si>
    <t>date à définir</t>
  </si>
  <si>
    <t>https://www.tiktok.com/@melf.fnt/video/7422703664969616673</t>
  </si>
  <si>
    <t>Sheglam</t>
  </si>
  <si>
    <t>Abib</t>
  </si>
  <si>
    <t>https://www.tiktok.com/@paupibeauty/video/7416729046316338465?_r=1&amp;_t=8psjQcSNmPA</t>
  </si>
  <si>
    <t>PERSONALISATION</t>
  </si>
  <si>
    <t>https://www.tiktok.com/@jessicadcstr/video/7401576606319398177</t>
  </si>
  <si>
    <t>Mary</t>
  </si>
  <si>
    <t>https://tiktok.com/@mary.zhh/video/7416774634885926176?lang=en</t>
  </si>
  <si>
    <t>Bershka</t>
  </si>
  <si>
    <t>https://www.tiktok.com/@chiaraaaa.bnc/video/7417486710386232609</t>
  </si>
  <si>
    <t>Melissa P</t>
  </si>
  <si>
    <t>Dr.Althea</t>
  </si>
  <si>
    <t>Facture à envoyer</t>
  </si>
  <si>
    <t>Stylevana</t>
  </si>
  <si>
    <t>https://www.tiktok.com/@perrine.trp/video/7420530124208016672</t>
  </si>
  <si>
    <t>Anaïs</t>
  </si>
  <si>
    <t>https://www.tiktok.com/@paupibeauty/video/7418269204975078689</t>
  </si>
  <si>
    <t>Salma</t>
  </si>
  <si>
    <t>Dreame</t>
  </si>
  <si>
    <t>draft: 3 jours apres reception // 26/09/2024 au plus tard // pas de post 12h apres poster</t>
  </si>
  <si>
    <t>modif sur caption</t>
  </si>
  <si>
    <t>https://www.tiktok.com/@jeanne_bayart/video/7425572834992344353?_r=1&amp;_t=8qXCYC0RFJY</t>
  </si>
  <si>
    <t>Lancôme</t>
  </si>
  <si>
    <t>Woo Juicy Tubes</t>
  </si>
  <si>
    <t>Wandernana</t>
  </si>
  <si>
    <t>facture à envoyer mais attendre ad code JEANNE</t>
  </si>
  <si>
    <t>https://www.tiktok.com/@jeanne_bayart/video/7437562970659491105?lang=en</t>
  </si>
  <si>
    <t>https://www.tiktok.com/@___oraane/video/7434852783339195681?lang=en</t>
  </si>
  <si>
    <t>Essence</t>
  </si>
  <si>
    <t>Army</t>
  </si>
  <si>
    <t>https://www.tiktok.com/@melf.fnt/video/7430522334919822624</t>
  </si>
  <si>
    <t>Monopoly Go</t>
  </si>
  <si>
    <t>attendre Code boost</t>
  </si>
  <si>
    <t>https://www.tiktok.com/@liserdg/video/7430136572063796513?lang=en</t>
  </si>
  <si>
    <t>Facture à faire</t>
  </si>
  <si>
    <t>https://www.tiktok.com/@liserdg/video/7432768931619802401?lang=en</t>
  </si>
  <si>
    <t>Tracking Link 72h BIO https://testsgz.app.link/4hqEOX8xbNb</t>
  </si>
  <si>
    <t>Frank Provost</t>
  </si>
  <si>
    <t>https://www.tiktok.com/@morgane.mrckk/video/7430757799249988896?lang=en</t>
  </si>
  <si>
    <t>Aïcha</t>
  </si>
  <si>
    <t xml:space="preserve">Shein deals </t>
  </si>
  <si>
    <t>https://www.tiktok.com/@shaa_dl/video/7515842386795187478</t>
  </si>
  <si>
    <t>https://www.tiktok.com/@___oraane/video/7419283054981664033</t>
  </si>
  <si>
    <t>modifier caption  / pas de post 24h</t>
  </si>
  <si>
    <t>https://www.tiktok.com/@anaiswairyy/video/7433837110584479008?lang=en</t>
  </si>
  <si>
    <t>https://www.tiktok.com/@chiaraaaa.bnc/video/7438003860733578528?lang=en</t>
  </si>
  <si>
    <t>Jasmine</t>
  </si>
  <si>
    <t>Myriam K Paris</t>
  </si>
  <si>
    <t>https://www.tiktok.com/@morgane.mrckk/video/7437476392905805089?lang=en</t>
  </si>
  <si>
    <t>Error: Calendar not found!</t>
  </si>
  <si>
    <t>nov</t>
  </si>
  <si>
    <t>en attente colis</t>
  </si>
  <si>
    <t>janv</t>
  </si>
  <si>
    <t>AMZ</t>
  </si>
  <si>
    <t>18h</t>
  </si>
  <si>
    <t>https://www.tiktok.com/@iimslma/video/7436438336383880480?lang=en</t>
  </si>
  <si>
    <t>Juicy</t>
  </si>
  <si>
    <t>https://www.tiktok.com/@melf.fnt/video/7436438601740668192?_r=1&amp;_t=8rKy09eXARN</t>
  </si>
  <si>
    <t>Sol De Janeiro</t>
  </si>
  <si>
    <t>https://www.tiktok.com/@lavishhcam/video/7437477138430741792</t>
  </si>
  <si>
    <t>https://www.tiktok.com/@julianebernard/video/7437454498747927841?lang=en</t>
  </si>
  <si>
    <t>https://www.tiktok.com/@melf.fnt/video/7437532619706731809</t>
  </si>
  <si>
    <t>Asmae</t>
  </si>
  <si>
    <t>Mixsoon</t>
  </si>
  <si>
    <t>(+ usage rights + TikTok spark ads + IG ad codes</t>
  </si>
  <si>
    <t>Sun Serum</t>
  </si>
  <si>
    <t>Current Body</t>
  </si>
  <si>
    <t>Reception Colis</t>
  </si>
  <si>
    <t>Seeding</t>
  </si>
  <si>
    <t>Poremizing</t>
  </si>
  <si>
    <t>PM Clay Stick</t>
  </si>
  <si>
    <t>https://www.tiktok.com/@anaiswairyy/video/7455393883908771094?lang=en</t>
  </si>
  <si>
    <t>Relief</t>
  </si>
  <si>
    <t>https://www.tiktok.com/@anaiswairyy/video/7469871245606030614?lang=en</t>
  </si>
  <si>
    <t>Rachel</t>
  </si>
  <si>
    <t>video+ description</t>
  </si>
  <si>
    <t>2-Double Cleansing</t>
  </si>
  <si>
    <t>https://www.tiktok.com/@___oraane/video/7450792735776296214?lang=en</t>
  </si>
  <si>
    <t>Arwen</t>
  </si>
  <si>
    <t>3-Sun Serum Hyalu</t>
  </si>
  <si>
    <t>4-Tone Brightening</t>
  </si>
  <si>
    <t>https://www.tiktok.com/@___oraane/video/7449648582451350806?lang=en</t>
  </si>
  <si>
    <t>Iman</t>
  </si>
  <si>
    <t>Tiktok</t>
  </si>
  <si>
    <t>activer la fonctionnalité "collaboration commercial"</t>
  </si>
  <si>
    <t>Moped</t>
  </si>
  <si>
    <t>Dounia</t>
  </si>
  <si>
    <t>Mega Haul + Full Face Campaign</t>
  </si>
  <si>
    <t>Aïa Curl</t>
  </si>
  <si>
    <t>Aromazone</t>
  </si>
  <si>
    <t>https://www.tiktok.com/@melf.fnt/video/7441913953858489633</t>
  </si>
  <si>
    <t>5- Glow Project</t>
  </si>
  <si>
    <t>Gurbet</t>
  </si>
  <si>
    <t>iHerb</t>
  </si>
  <si>
    <t>j'ai envoyé une facture en € mais c'est en dollar</t>
  </si>
  <si>
    <t>https://www.tiktok.com/@paupibeauty/video/7442018892454694176?_r=1&amp;_t=8rkWjFn0wJa</t>
  </si>
  <si>
    <t>https://www.tiktok.com/@anaiswairyy?lang=en</t>
  </si>
  <si>
    <t>Mova</t>
  </si>
  <si>
    <t>L'Oréal</t>
  </si>
  <si>
    <t>https://www.tiktok.com/@lilyy.nl/video/7443863318730689814</t>
  </si>
  <si>
    <t>Black Friday et du Cyber Monday de SHEIN</t>
  </si>
  <si>
    <t xml:space="preserve">125 de media à confimer </t>
  </si>
  <si>
    <t>https://www.tiktok.com/@jeanne_bayart/video/7442798993492479265?lang=en</t>
  </si>
  <si>
    <t xml:space="preserve"> 💎SHEGLAM Partnership: SHEGLAM Liquid Fam Festival Glow Set</t>
  </si>
  <si>
    <t>déc</t>
  </si>
  <si>
    <t>ANNULÉ NE PAS SUPP</t>
  </si>
  <si>
    <t>Hacoo</t>
  </si>
  <si>
    <t>https://www.tiktok.com/@iman_cvls/video/7451924438834089238?_r=1&amp;_t=8sTta62xc1u</t>
  </si>
  <si>
    <t>https://www.tiktok.com/@iman_cvls/video/7452023214944947478?_r=1&amp;_t=8sWEGQqinJO</t>
  </si>
  <si>
    <t>https://www.tiktok.com/@iman_cvls/video/7452403635708775702</t>
  </si>
  <si>
    <t>date à confirmer (7jours apres réception colis</t>
  </si>
  <si>
    <t>https://www.tiktok.com/@jasmiinelife/video/7453739165205777686?lang=en</t>
  </si>
  <si>
    <t>https://www.instagram.com/reel/DEKlEAhCcsg/</t>
  </si>
  <si>
    <t>Biocyte</t>
  </si>
  <si>
    <t>commande</t>
  </si>
  <si>
    <t>30j Myriam K entre chaque mois</t>
  </si>
  <si>
    <t>https://www.tiktok.com/@lavishhcam/video/7463441462252932374</t>
  </si>
  <si>
    <t>👐️ SHEGLAM: Partnership Opportunity</t>
  </si>
  <si>
    <t>Musc Intime</t>
  </si>
  <si>
    <t>https://www.tiktok.com/@iimslma/video/7465383468805999894?_r=1&amp;_t=ZN-8tTXg6qHkUY</t>
  </si>
  <si>
    <t>https://www.tiktok.com/@iman_cvls/video/7465390038260485398?_t=ZN-8tTZG4XbMr0&amp;_r=1</t>
  </si>
  <si>
    <t>1-PM Clay Stick</t>
  </si>
  <si>
    <t>https://www.tiktok.com/@liserdg/video/7465785595495763222?lang=en</t>
  </si>
  <si>
    <t>cross post IG TT</t>
  </si>
  <si>
    <t>NYX</t>
  </si>
  <si>
    <t>TT</t>
  </si>
  <si>
    <t>mediat</t>
  </si>
  <si>
    <t>ajouter lien en bio</t>
  </si>
  <si>
    <t>https://www.tiktok.com/@la_gur/video/7467998009230363926?lang=en</t>
  </si>
  <si>
    <t>L'Oreal</t>
  </si>
  <si>
    <t>Revitalift</t>
  </si>
  <si>
    <t>75 de media</t>
  </si>
  <si>
    <t>https://www.tiktok.com/@dounsbnl/video/7471295610063310102</t>
  </si>
  <si>
    <t>Remington</t>
  </si>
  <si>
    <t>Cross post IG + story swipe</t>
  </si>
  <si>
    <t>https://www.tiktok.com/@lolatagliaferroo?lang=en</t>
  </si>
  <si>
    <t>https://www.tiktok.com/@___oraane/video/7471294678306934038?lang=en</t>
  </si>
  <si>
    <t>https://www.tiktok.com/@shaa_dl/video/7471336075559046422</t>
  </si>
  <si>
    <t xml:space="preserve">poremizing quick clay stick mask </t>
  </si>
  <si>
    <t>https://www.tiktok.com/@dounsbnl/video/7451645404535442710</t>
  </si>
  <si>
    <t>rajouter code + 23% par contre impossible de refaire video modifs</t>
  </si>
  <si>
    <t>https://www.tiktok.com/@anaiswairyy/video/7471353868702502166?lang=en</t>
  </si>
  <si>
    <t>Dynveo</t>
  </si>
  <si>
    <t>ANAIS-10 Il offre -10% de réduction sur une commande sans minimum d’achat, hors frais de port, valable jusqu’au 30/04/2025</t>
  </si>
  <si>
    <t xml:space="preserve">Poremizing Clay Stick Mask </t>
  </si>
  <si>
    <t>hello kitty</t>
  </si>
  <si>
    <t>https://www.tiktok.com/@dounsbnl/video/7473150812873788674?_t=ZN-8u36zKwjrx0&amp;_r=1</t>
  </si>
  <si>
    <t>https://www.tiktok.com/@lolatagliaferroo/video/7473819808870534422?lang=en</t>
  </si>
  <si>
    <t>https://www.tiktok.com/@paupibeauty/video/7473538347969875222?_r=1&amp;_t=ZN-8u4tYDuW4wQ</t>
  </si>
  <si>
    <t>Vitavea</t>
  </si>
  <si>
    <t>Amani</t>
  </si>
  <si>
    <t>février</t>
  </si>
  <si>
    <t>mais ajouter ingrédient</t>
  </si>
  <si>
    <t>Bold Booster Lip Combo Campaign</t>
  </si>
  <si>
    <t>facture faite</t>
  </si>
  <si>
    <t>Hidaya</t>
  </si>
  <si>
    <t>https://www.tiktok.com/@perrine.trp/video/7476172058406194454?lang=en</t>
  </si>
  <si>
    <t>Uberliss</t>
  </si>
  <si>
    <t>boost</t>
  </si>
  <si>
    <t>Luxéol</t>
  </si>
  <si>
    <t>Darry Ring</t>
  </si>
  <si>
    <t>envoyer facture en anglais</t>
  </si>
  <si>
    <t>preview</t>
  </si>
  <si>
    <t>attente reception colis</t>
  </si>
  <si>
    <t>deja facture</t>
  </si>
  <si>
    <t>facture au 3/03 à faire et envoyer</t>
  </si>
  <si>
    <t>Sirine</t>
  </si>
  <si>
    <t>voir pour ajouter Ad</t>
  </si>
  <si>
    <t>Big Cil mars</t>
  </si>
  <si>
    <t>Capcut</t>
  </si>
  <si>
    <t>Eloise</t>
  </si>
  <si>
    <t>Blowdry</t>
  </si>
  <si>
    <t>https://www.tiktok.com/@eloiseaubeneauu/video/7482020827924401451</t>
  </si>
  <si>
    <t>Redken</t>
  </si>
  <si>
    <t xml:space="preserve"> </t>
  </si>
  <si>
    <t>500 médiat</t>
  </si>
  <si>
    <t>TT + Médiat</t>
  </si>
  <si>
    <t>script idée creat TT médiat : du 1er au 27 avril !</t>
  </si>
  <si>
    <t>Naali</t>
  </si>
  <si>
    <t>médiat de 100€ en plus validée?</t>
  </si>
  <si>
    <t>IGS à partager      IGs+ TIKTOK</t>
  </si>
  <si>
    <t>1 TT</t>
  </si>
  <si>
    <t>https://www.tiktok.com/@julianebernard/video/7496568197135486230?_r=1&amp;_t=ZN-8vmOTilRwgg</t>
  </si>
  <si>
    <t>BlowDry</t>
  </si>
  <si>
    <t>mars</t>
  </si>
  <si>
    <t>Pendant le repas</t>
  </si>
  <si>
    <t>IG Reel médiat 01/03 au 27/03</t>
  </si>
  <si>
    <t>THE Adventure Time X SHEGLAM COLLECTION</t>
  </si>
  <si>
    <t>Cerave</t>
  </si>
  <si>
    <t>02/03=&gt; idée creative ///// 10/03/2025 brouillon</t>
  </si>
  <si>
    <t>dont 150 de médiat</t>
  </si>
  <si>
    <t>envoyer facture en €</t>
  </si>
  <si>
    <t>https://www.tiktok.com/@iimslma/video/7485792482345618710?_r=1&amp;_t=ZN-8uz1T2hjhy6</t>
  </si>
  <si>
    <t>Imane</t>
  </si>
  <si>
    <t>1 IG reel + 1 IGs (3sets) AD CODE⚠️</t>
  </si>
  <si>
    <t>dont 250€ de mediat</t>
  </si>
  <si>
    <t>contrat à faire</t>
  </si>
  <si>
    <t>en attente retour de la marque pour feu vert post</t>
  </si>
  <si>
    <t>avril</t>
  </si>
  <si>
    <t>poster et partager ad code avant 12h</t>
  </si>
  <si>
    <t>médiat à confirmer 202,50€</t>
  </si>
  <si>
    <t>Paalm Cosmetics</t>
  </si>
  <si>
    <t>Full SkinCare Routine in 1 Box</t>
  </si>
  <si>
    <t>ajouter code promo</t>
  </si>
  <si>
    <t>Marine</t>
  </si>
  <si>
    <t>Shavest</t>
  </si>
  <si>
    <t>https://www.tiktok.com/@dounsbnl/video/7476794031935147286</t>
  </si>
  <si>
    <t>Double Cleansing</t>
  </si>
  <si>
    <t xml:space="preserve">x3 videos </t>
  </si>
  <si>
    <t>Inava</t>
  </si>
  <si>
    <t>Cellublue</t>
  </si>
  <si>
    <t>pas besoin de valider preview 2 stories (10/04 et 11/04)</t>
  </si>
  <si>
    <t>Caudalie</t>
  </si>
  <si>
    <t>https://www.tiktok.com/@eloiseaubeneauu/video/7495738839487581470?_t=ZP-8viaG7wegWt&amp;_r=1</t>
  </si>
  <si>
    <t>Voghion</t>
  </si>
  <si>
    <t>link in bio</t>
  </si>
  <si>
    <t>https://www.tiktok.com/@lilyy.nl/video/7493984160173034774</t>
  </si>
  <si>
    <t>lien en bio</t>
  </si>
  <si>
    <t>https://www.tiktok.com/@ttemarine/video/7495056234014379266</t>
  </si>
  <si>
    <t>avec ad code</t>
  </si>
  <si>
    <t>⚠️changement facture - se referer au mail</t>
  </si>
  <si>
    <t>https://www.tiktok.com/@ttemarine/video/7494670749865757974</t>
  </si>
  <si>
    <t>https://www.tiktok.com/@julianebernard/video/7493986086654315798?lang=en</t>
  </si>
  <si>
    <t>Big Cil avril</t>
  </si>
  <si>
    <t>https://www.tiktok.com/@paupibeauty/video/7493948630144011542</t>
  </si>
  <si>
    <t>médiatisation</t>
  </si>
  <si>
    <t>https://www.tiktok.com/@lavishhcam/video/7495428391882198295</t>
  </si>
  <si>
    <t>dont 250€ mediat</t>
  </si>
  <si>
    <t>rembourser Produits</t>
  </si>
  <si>
    <t xml:space="preserve">Lissage avril </t>
  </si>
  <si>
    <t>Sofia</t>
  </si>
  <si>
    <t>BeReal</t>
  </si>
  <si>
    <t>integration produit</t>
  </si>
  <si>
    <t>IG reel</t>
  </si>
  <si>
    <t>350€ au lieu de 195 pour la derniere</t>
  </si>
  <si>
    <t>https://www.tiktok.com/@la_gur/video/7499405044245204246?lang=en</t>
  </si>
  <si>
    <t xml:space="preserve">IGS  </t>
  </si>
  <si>
    <t>31/04/2025</t>
  </si>
  <si>
    <t>Sarah</t>
  </si>
  <si>
    <t>23/04/2025 preview et 16/04 idée creative</t>
  </si>
  <si>
    <t>https://www.tiktok.com/@sarah.bdii/video/7499149208293788950</t>
  </si>
  <si>
    <t xml:space="preserve">Current Body </t>
  </si>
  <si>
    <t>https://www.tiktok.com/@jasmiinelife/video/7499164614366645526?lang=en</t>
  </si>
  <si>
    <t>https://www.tiktok.com/@ttemarine/video/7499519504368569622</t>
  </si>
  <si>
    <t>https://www.tiktok.com/@lovelymorgane/video/7499894490853821718?_r=1&amp;_t=8kth38xkh3x</t>
  </si>
  <si>
    <t>Eiliassa</t>
  </si>
  <si>
    <t>Compléments alimentaire mai</t>
  </si>
  <si>
    <t>script  et preview le 01/05/2025</t>
  </si>
  <si>
    <t>https://www.tiktok.com/@arwen.arwen1/video/7506934371669101846?lang=en</t>
  </si>
  <si>
    <t>script</t>
  </si>
  <si>
    <t>Farah</t>
  </si>
  <si>
    <t>https://www.tiktok.com/@farahdisiaque/video/7505057972834372886</t>
  </si>
  <si>
    <t>Estelle</t>
  </si>
  <si>
    <t>TT IGreel SNAP</t>
  </si>
  <si>
    <t>poster sur TT</t>
  </si>
  <si>
    <t>Juliette</t>
  </si>
  <si>
    <t>Big Cil juin</t>
  </si>
  <si>
    <t>https://www.tiktok.com/@paupibeauty/video/7506557930817277206?_t=ZN-8wW7MsM3mNy&amp;_r=1</t>
  </si>
  <si>
    <t>Ali Express</t>
  </si>
  <si>
    <t>Keracare</t>
  </si>
  <si>
    <t>81€ en option?</t>
  </si>
  <si>
    <r>
      <rPr/>
      <t xml:space="preserve">: </t>
    </r>
    <r>
      <rPr>
        <color rgb="FF1155CC"/>
        <u/>
      </rPr>
      <t>https://amzn.to/3Eubtp1</t>
    </r>
  </si>
  <si>
    <t>ZIIP</t>
  </si>
  <si>
    <t>Comme beaucoup de followers lui demandent comment faire partir les taches d’acné, elle pourrait créer une vidéo sous l’un de ces formats : « J’ai trouvé un appareil magique pour éliminer les taches d’acné ! » Je présente le produit en détail.Je montre comment je l’utilise dans ma routine. Résultats avant/après</t>
  </si>
  <si>
    <t>https://www.tiktok.com/@lavishhcam/video/7505069359010794774</t>
  </si>
  <si>
    <t>avec 100e d'ad code inclu</t>
  </si>
  <si>
    <t>Feel My Skin</t>
  </si>
  <si>
    <t>vidéo ok descritpion a modifier</t>
  </si>
  <si>
    <t>facture déjà envoyée</t>
  </si>
  <si>
    <t>TT add code a recup</t>
  </si>
  <si>
    <t>Nidal</t>
  </si>
  <si>
    <t>BYD</t>
  </si>
  <si>
    <t>GR check dates</t>
  </si>
  <si>
    <t>ISIS Pharma</t>
  </si>
  <si>
    <t>https://www.tiktok.com/@paupibeauty/video/7507679880100810007?_r=1&amp;_t=ZN-8wbG54dkxtO</t>
  </si>
  <si>
    <t>https://www.tiktok.com/@iam.sissou/video/7526589360469265686?is_from_webapp=1&amp;sender_device=pc&amp;web_id=7504317976587437590</t>
  </si>
  <si>
    <t>pas besoin de revision</t>
  </si>
  <si>
    <t>Big Cil mai</t>
  </si>
  <si>
    <t>Sanytol</t>
  </si>
  <si>
    <t xml:space="preserve">Hyalu-Cica Sunserum </t>
  </si>
  <si>
    <t>https://www.tiktok.com/@mary.zhh/video/7462430581402520854</t>
  </si>
  <si>
    <t>Mavatys</t>
  </si>
  <si>
    <t>mai</t>
  </si>
  <si>
    <t xml:space="preserve">Glow project </t>
  </si>
  <si>
    <t>verifier si Lily a posté et partager lien video</t>
  </si>
  <si>
    <t xml:space="preserve">#1Bean Essence + Bean Cream + Centella Sun Cream routine </t>
  </si>
  <si>
    <t>Lola H.</t>
  </si>
  <si>
    <t>Sanex</t>
  </si>
  <si>
    <t>https://www.tiktok.com/@mary.zhh/video/7460561651675303190</t>
  </si>
  <si>
    <t>Tone-Brightening Ampoule</t>
  </si>
  <si>
    <t>Video tournée avant Script // envoyer video quand meme</t>
  </si>
  <si>
    <t>https://www.tiktok.com/@paupibeauty/video/7439768252269546785?_r=1&amp;_t=8raH38QLVtG</t>
  </si>
  <si>
    <t>Glow Project</t>
  </si>
  <si>
    <t xml:space="preserve">My Little Box </t>
  </si>
  <si>
    <t xml:space="preserve">PM Stick </t>
  </si>
  <si>
    <t>partager les captions modifier repost ig</t>
  </si>
  <si>
    <t>Lazartigue</t>
  </si>
  <si>
    <t>Lissage juin</t>
  </si>
  <si>
    <t>Contenu attendu par la marque</t>
  </si>
  <si>
    <t>https://www.tiktok.com/@amani_mee/video/7494728696528522518</t>
  </si>
  <si>
    <t>Solinotes</t>
  </si>
  <si>
    <t>IGs ANAIS20 20% valable sur ensemble produit du site</t>
  </si>
  <si>
    <t>médiat</t>
  </si>
  <si>
    <t>TT ANAIS20 20% valable sur ensemble produit du site</t>
  </si>
  <si>
    <t>It Fruit</t>
  </si>
  <si>
    <t>Script 18/06 TT</t>
  </si>
  <si>
    <t>TORRAS</t>
  </si>
  <si>
    <t>One INS reel + 30 days ad &amp; organic usage rights+ link in bio</t>
  </si>
  <si>
    <t>https://vm.tiktok.com/ZNdPeJgF7/</t>
  </si>
  <si>
    <t>Medicube</t>
  </si>
  <si>
    <t>https://www.tiktok.com/@ttemarine/video/7522142648207936790?_t=ZN-8xfVHZaTphe&amp;_r=1</t>
  </si>
  <si>
    <t xml:space="preserve">skin care routine for beginners </t>
  </si>
  <si>
    <t>Stick Mask</t>
  </si>
  <si>
    <t>Morgane C</t>
  </si>
  <si>
    <t>Beginner Routine</t>
  </si>
  <si>
    <t>SKIN MASK CLAY</t>
  </si>
  <si>
    <t>https://www.tiktok.com/@iam.sissou/video/7513475563936369942</t>
  </si>
  <si>
    <t>Tone Brightening</t>
  </si>
  <si>
    <t>H&amp;S</t>
  </si>
  <si>
    <t>idée creative</t>
  </si>
  <si>
    <t>https://www.tiktok.com/@iimslma/video/7522888104374701335</t>
  </si>
  <si>
    <t>ad</t>
  </si>
  <si>
    <t>manque HD + Sous Titres</t>
  </si>
  <si>
    <t>https://drive.google.com/drive/folders/19ToYFCpY-wQNqLL1X6hkS610Je7ZJWpH?usp=sharing</t>
  </si>
  <si>
    <t>Chloe</t>
  </si>
  <si>
    <t>UGC Trousse</t>
  </si>
  <si>
    <t>idée creative à partager</t>
  </si>
  <si>
    <t>31/06/2025</t>
  </si>
  <si>
    <t>Perroy Parfum</t>
  </si>
  <si>
    <t>TT + Tiktok Shop (reassort le 12/06</t>
  </si>
  <si>
    <t>Script 18/06 IG + Cross Post Reel + IGs</t>
  </si>
  <si>
    <t>Beach Babe Hair Waver Campaign</t>
  </si>
  <si>
    <t>https://drive.google.com/drive/folders/1cqb0DvHrI2AEf5Y1mODPl-Wb-x2ZpIBF?usp=sharing</t>
  </si>
  <si>
    <t>Essentials home</t>
  </si>
  <si>
    <t>https://www.tiktok.com/@shaa_dl/video/7525111945536523542?_r=1&amp;_t=ZN-8xwa2XIbgXO</t>
  </si>
  <si>
    <t>partager les stats dès le 18 juillet ?</t>
  </si>
  <si>
    <t>https://www.instagram.com/p/DL9s1T-ucxx/?hl=fr</t>
  </si>
  <si>
    <t xml:space="preserve">Tiktok/ pas chez elle avant le 1 er juillet </t>
  </si>
  <si>
    <t>https://www.tiktok.com/@___oraane/video/7525503490924416279</t>
  </si>
  <si>
    <t>https://www.tiktok.com/@julianebernard/video/7522838166227864854?lang=en</t>
  </si>
  <si>
    <t>Laura</t>
  </si>
  <si>
    <t>https://www.tiktok.com/@laudewit/video/7519192074919365920</t>
  </si>
  <si>
    <t>partager dès le 24/07 les screens des statistiques de son contenu UGC aussi cession de droit partager la video en HD</t>
  </si>
  <si>
    <t xml:space="preserve">Beach day </t>
  </si>
  <si>
    <t>4EX</t>
  </si>
  <si>
    <t>Festival outfitxtravel</t>
  </si>
  <si>
    <t xml:space="preserve">Essentials home </t>
  </si>
  <si>
    <t>#2 Bean Essence</t>
  </si>
  <si>
    <t>https://www.tiktok.com/@asmaenel/video/7526542702301826326?is_from_webapp=1&amp;sender_device=pc&amp;web_id=7504317976587437590</t>
  </si>
  <si>
    <t>Beach day</t>
  </si>
  <si>
    <t>https://www.tiktok.com/@shaa_dl/video/7525111987638979862?_r=1&amp;_t=ZN-8xwa1oeBxCQ</t>
  </si>
  <si>
    <t>Script Revision Marque</t>
  </si>
  <si>
    <t>Nike</t>
  </si>
  <si>
    <t xml:space="preserve">essentials home </t>
  </si>
  <si>
    <t>https://www.tiktok.com/@juliette.pn/video/7525473712418622742?is_from_webapp=1&amp;sender_device=pc&amp;web_id=7504317976587437590</t>
  </si>
  <si>
    <t>Bella Barrnett</t>
  </si>
  <si>
    <t>https://www.tiktok.com/@laudewit/video/7525483945366998305</t>
  </si>
  <si>
    <t>Bean Essence + Bean Cream + Centella Sun Cream routine</t>
  </si>
  <si>
    <t>https://www.tiktok.com/@julianebernard/video/7526982773156924694?_r=1&amp;_t=ZN-8y1f4d2rh1K</t>
  </si>
  <si>
    <t>Bean Collagen Hydrogel Mask Pack</t>
  </si>
  <si>
    <t>Passion Marine</t>
  </si>
  <si>
    <t>TT + IGr</t>
  </si>
  <si>
    <t>on a pas le brief</t>
  </si>
  <si>
    <t>https://www.tiktok.com/@la_gur/video/7528400374802173206</t>
  </si>
  <si>
    <t>https://www.tiktok.com/@paupibeauty/video/7529220565756857622</t>
  </si>
  <si>
    <t>https://vm.tiktok.com/ZNHp1gFdSuU6L-Orqzs/</t>
  </si>
  <si>
    <t>https://www.tiktok.com/@melissa.pndd/video/7526574135296773398?is_from_webapp=1&amp;sender_device=pc&amp;web_id=7504317976587437590</t>
  </si>
  <si>
    <t>#3 Bean Collagen Hydrogel Mask Pack</t>
  </si>
  <si>
    <t>Video Validée Marque</t>
  </si>
  <si>
    <t>Video Revision Marque</t>
  </si>
  <si>
    <t>https://www.tiktok.com/@laudewit/video/7529089646714735905</t>
  </si>
  <si>
    <t xml:space="preserve">Festival outfit </t>
  </si>
  <si>
    <t>Collagen Cleansing Balm</t>
  </si>
  <si>
    <t>n'a pas le produit</t>
  </si>
  <si>
    <t>Centella Sun Cream</t>
  </si>
  <si>
    <t>Avene</t>
  </si>
  <si>
    <t>avec mediat</t>
  </si>
  <si>
    <t>Beauty Of Joseon</t>
  </si>
  <si>
    <t>Etiaxil</t>
  </si>
  <si>
    <t>Bean Cleansing Oil + Centella Cleansing Foam routine</t>
  </si>
  <si>
    <t>Sunscreen Comparison</t>
  </si>
  <si>
    <t>Soondy Centella Asiatica Essnece, Glacier Waster Hyaluronic Acid Serum, Bean Essence Layering</t>
  </si>
  <si>
    <t>Just Spin</t>
  </si>
  <si>
    <t>IG + TT cross post + ad code +UGC</t>
  </si>
  <si>
    <t>#4 Centella Sun Cream</t>
  </si>
  <si>
    <t>Lilou</t>
  </si>
  <si>
    <t>3 videos</t>
  </si>
  <si>
    <t>https://www.tiktok.com/@guenaire/video/7532570588146076950</t>
  </si>
  <si>
    <t xml:space="preserve">Temps forts </t>
  </si>
  <si>
    <t>https://www.tiktok.com/@laudewit/video/7525765188893674784</t>
  </si>
  <si>
    <t>Lily</t>
  </si>
  <si>
    <t xml:space="preserve">skin care for beginners </t>
  </si>
  <si>
    <t>https://www.tiktok.com/@sarah.bdii/video/7516951979084598550</t>
  </si>
  <si>
    <t>sun serum real</t>
  </si>
  <si>
    <t>lash idole</t>
  </si>
  <si>
    <t>NiceWork</t>
  </si>
  <si>
    <t>https://www.tiktok.com/@anaiswairyy/video/7466167514402229526?lang=en</t>
  </si>
  <si>
    <t>Masque</t>
  </si>
  <si>
    <t>Code promo perso à partager</t>
  </si>
  <si>
    <t xml:space="preserve">Tone brightening </t>
  </si>
  <si>
    <t>https://www.tiktok.com/@melissa.pndd/video/7514352561562946838</t>
  </si>
  <si>
    <t xml:space="preserve">Skin care routine for beginners </t>
  </si>
  <si>
    <t>mettre explications en anglais</t>
  </si>
  <si>
    <t>Amanda</t>
  </si>
  <si>
    <t xml:space="preserve">⚠️ Gifting voir avec Gauthier </t>
  </si>
  <si>
    <t>POUR CONTENU UGC AVANT AGENCE</t>
  </si>
  <si>
    <t>PAS REÇU</t>
  </si>
  <si>
    <t>Bean Essence</t>
  </si>
  <si>
    <t>PlanJoy</t>
  </si>
  <si>
    <t xml:space="preserve"> Precision Sculpt</t>
  </si>
  <si>
    <t>GLOW Project (Hyalu-Cica sun Serum + Probio-cica ampoule)</t>
  </si>
  <si>
    <r>
      <rPr>
        <rFont val="&quot;Helvetica Neue&quot;"/>
        <color rgb="FF1155CC"/>
        <u/>
      </rPr>
      <t>https://vm.tiktok.com/ZNdyXTXHb/</t>
    </r>
  </si>
  <si>
    <t>https://www.instagram.com/reel/DLc5EB4ogna/?utm_source=ig_web_copy_link</t>
  </si>
  <si>
    <t>Glenn</t>
  </si>
  <si>
    <t>https://www.tiktok.com/@glennwolff/video/7517353745353559318?is_from_webapp=1&amp;sender_device=pc&amp;web_id=7504317976587437590</t>
  </si>
  <si>
    <t>https://www.instagram.com/reel/DLXs9HIijUX/?utm_source=ig_web_copy_link&amp;igsh=MzEyc2ZyNmFwZTMw</t>
  </si>
  <si>
    <t>YTTP</t>
  </si>
  <si>
    <t>TT + Tiktok Shop</t>
  </si>
  <si>
    <t>https://www.tiktok.com/@lolatagliaferroo/video/7520567485473492246?is_from_webapp=1&amp;sender_device=pc&amp;web_id=7504317976587437590</t>
  </si>
  <si>
    <t>https://www.tiktok.com/@melissa.pndd/video/7519911199744494850?is_from_webapp=1&amp;sender_device=pc&amp;web_id=7504317976587437590</t>
  </si>
  <si>
    <t>https://www.tiktok.com/@___oraane/video/7518063433611480343?_t=ZN-8xMoEPKM08s&amp;_r=1</t>
  </si>
  <si>
    <t>https://www.tiktok.com/@paupibeauty/video/7521283052488641814?is_from_webapp=1&amp;sender_device=pc&amp;web_id=7504317976587437590</t>
  </si>
  <si>
    <t>https://www.tiktok.com/@sarah.bdii/video/7532173540204891414</t>
  </si>
  <si>
    <t xml:space="preserve">Sanytol </t>
  </si>
  <si>
    <t>partager stats</t>
  </si>
  <si>
    <t>--</t>
  </si>
  <si>
    <t>Dior</t>
  </si>
  <si>
    <t xml:space="preserve">pas fait </t>
  </si>
  <si>
    <t>Pretty Little Things</t>
  </si>
  <si>
    <t>https://www.tiktok.com/@shaa_dl/video/7414067609177476384</t>
  </si>
  <si>
    <t>L'Univers de Baya</t>
  </si>
  <si>
    <t>Bob Oré</t>
  </si>
  <si>
    <t>YSL</t>
  </si>
  <si>
    <t>Halloween</t>
  </si>
  <si>
    <t>https://www.tiktok.com/@shaa_dl/video/7430530285852167457</t>
  </si>
  <si>
    <t>Ouvéa</t>
  </si>
  <si>
    <t>Cider</t>
  </si>
  <si>
    <t>https://www.tiktok.com/@shaa_dl/video/7456916860278295830?_t=ZN-8sqlAIVsOJS&amp;_r=1</t>
  </si>
  <si>
    <t>Milk Make Up</t>
  </si>
  <si>
    <t>SPA &amp; BIEN ÊTRE - GRAVITI</t>
  </si>
  <si>
    <t>16h30</t>
  </si>
  <si>
    <t>partager à Jolt les détails pour la campagne (date, orna...)</t>
  </si>
  <si>
    <t>Ole Henriksen</t>
  </si>
  <si>
    <t>Nice Work</t>
  </si>
  <si>
    <t>https://www.tiktok.com/@amandambt_/video/7483639690327788822?lang=en</t>
  </si>
  <si>
    <r>
      <rPr/>
      <t xml:space="preserve">La première à 1 min 17 </t>
    </r>
    <r>
      <rPr>
        <color rgb="FF1155CC"/>
        <u/>
      </rPr>
      <t>https://vm.tiktok.com/ZNdMWypK4/</t>
    </r>
    <r>
      <rPr/>
      <t xml:space="preserve"> La seconde à 1 min 32 </t>
    </r>
    <r>
      <rPr>
        <color rgb="FF1155CC"/>
        <u/>
      </rPr>
      <t>https://vm.tiktok.com/ZNdMWUM5e/</t>
    </r>
  </si>
  <si>
    <t>Amelle</t>
  </si>
  <si>
    <t>Rare Beauty</t>
  </si>
  <si>
    <t>https://www.instagram.com/reel/DFqvAlCNUMN/</t>
  </si>
  <si>
    <t>Clarine</t>
  </si>
  <si>
    <t>SHU UEMURA</t>
  </si>
  <si>
    <t>Aveda</t>
  </si>
  <si>
    <t>Clinique</t>
  </si>
  <si>
    <t>Sol de Janeiro</t>
  </si>
  <si>
    <t>KIEHLS</t>
  </si>
  <si>
    <t>: #Kiehlsfrance (TikTok) et @kiehlsfrance (Instagram) et le hashtag : #HYDRATATION</t>
  </si>
  <si>
    <t>Embryolisse</t>
  </si>
  <si>
    <t>Focus Skincare</t>
  </si>
  <si>
    <t>Angie</t>
  </si>
  <si>
    <t>MILK</t>
  </si>
  <si>
    <t>Fonctionnement Nice Work</t>
  </si>
  <si>
    <t>Post Obligatoire</t>
  </si>
  <si>
    <t>Superdry</t>
  </si>
  <si>
    <t>https://www.tiktok.com/@arwen.arwen1/video/7453509821812280598?lang=en</t>
  </si>
  <si>
    <t>https://www.tiktok.com/@arwen.arwen1/video/7453509775200980246?lang=en</t>
  </si>
  <si>
    <t>https://www.tiktok.com/@arwen.arwen1/video/7453530509163973910?lang=en</t>
  </si>
  <si>
    <t>Prada</t>
  </si>
  <si>
    <t>3 contenus // pas d'exclu</t>
  </si>
  <si>
    <t xml:space="preserve">Non </t>
  </si>
  <si>
    <t>YSL Stylo Touche Éclat</t>
  </si>
  <si>
    <t>https://docs.google.com/presentation/d/1q4NE7BfV_3-rP4IUQJmAq-Et7OVpK16CYhR5OVpmQYo/edit?usp=sharing</t>
  </si>
  <si>
    <t>https://www.tiktok.com/@lavishhcam/video/7372599354646957344</t>
  </si>
  <si>
    <t>Fonctionnement Nice Work - Envoyer lien marque</t>
  </si>
  <si>
    <t>https://www.tiktok.com/@lavishhcam/video/7370721490632772896?lang=en</t>
  </si>
  <si>
    <t>R.E.M Beauty</t>
  </si>
  <si>
    <t>https://www.tiktok.com/@lavishhcam/video/7374120668813659425</t>
  </si>
  <si>
    <t>Affiliation 10% // 2 post/mois</t>
  </si>
  <si>
    <t>Pas de brief</t>
  </si>
  <si>
    <t>Affiliation</t>
  </si>
  <si>
    <t>SPF</t>
  </si>
  <si>
    <t>IT Cosmetics</t>
  </si>
  <si>
    <t>Lancôme - HYPNOSE DRAMA 🖤</t>
  </si>
  <si>
    <t>Charlotte Tilburry (Nice Work)</t>
  </si>
  <si>
    <t>https://www.tiktok.com/@lavishhcam/video/7384102579849956641?lang=en</t>
  </si>
  <si>
    <t>Consignes Nice Work</t>
  </si>
  <si>
    <t>YSL Beauty Summer Box</t>
  </si>
  <si>
    <t>https://vm.tiktok.com/ZGeGrsEfX/</t>
  </si>
  <si>
    <t>LIP IDÔLE 💄</t>
  </si>
  <si>
    <t>https://www.tiktok.com/@lavishhcam/video/7392636437163773217</t>
  </si>
  <si>
    <t>Fenty</t>
  </si>
  <si>
    <t>Dr. Dennis Gross (Nice Work)</t>
  </si>
  <si>
    <t>https://www.tiktok.com/@lavishhcam/video/7401082023797902625?lang=en</t>
  </si>
  <si>
    <t xml:space="preserve">YSL Blushs </t>
  </si>
  <si>
    <t>https://www.tiktok.com/@lavishhcam/video/7401156666479119649?lang=en</t>
  </si>
  <si>
    <t>Valentino</t>
  </si>
  <si>
    <t>https://www.tiktok.com/@lavishhcam/video/7415270528665046305?lang=en</t>
  </si>
  <si>
    <t>Huda Beauty</t>
  </si>
  <si>
    <t>https://www.tiktok.com/@lavishhcam/video/7414065973084359968?lang=en</t>
  </si>
  <si>
    <t>Juicy Tubes</t>
  </si>
  <si>
    <t>https://www.tiktok.com/@lavishhcam/video/7421861704159464736?lang=en</t>
  </si>
  <si>
    <t xml:space="preserve">Médiatisation </t>
  </si>
  <si>
    <t>envoyer facture MÉDIA EN OPTION 250€ 4semaines 7-18 Octobre</t>
  </si>
  <si>
    <t>Sephora</t>
  </si>
  <si>
    <t>Apres Collection Calendrier</t>
  </si>
  <si>
    <t>https://www.tiktok.com/@lavishhcam/video/7421578850808646944</t>
  </si>
  <si>
    <t>https://www.tiktok.com/@lavishhcam/video/7424528927714020641</t>
  </si>
  <si>
    <t>Candy Glow</t>
  </si>
  <si>
    <t>https://tiktok.com/@lavishhcam/video/7428536491384638753</t>
  </si>
  <si>
    <t>https://www.tiktok.com/@lavishhcam/video/7431968536773299489</t>
  </si>
  <si>
    <t>https://www.tiktok.com/@lavishhcam/video/7431640311199255840</t>
  </si>
  <si>
    <t>Charlotte Tilburry</t>
  </si>
  <si>
    <t>https://www.tiktok.com/@lavishhcam/video/7442372621200575776</t>
  </si>
  <si>
    <t>https://www.tiktok.com/@lavishhcam/video/7451273510346820886</t>
  </si>
  <si>
    <t>LASH IDÔLE</t>
  </si>
  <si>
    <t>https://www.tiktok.com/@lavishhcam/video/7465046952749616406</t>
  </si>
  <si>
    <t>The Inkey List</t>
  </si>
  <si>
    <t>Saint Valentin</t>
  </si>
  <si>
    <t>https://www.tiktok.com/@lavishhcam/video/7462439461763157270</t>
  </si>
  <si>
    <t>https://www.tiktok.com/@lavishhcam/video/7467602307832745238?_r=1&amp;_t=ZN-8tpZSV3gUPG</t>
  </si>
  <si>
    <t>Cecotec</t>
  </si>
  <si>
    <t>https://www.tiktok.com/@lavishhcam/video/7481621153107217686?_t=ZN-8ufuB4coZpW&amp;_r=1</t>
  </si>
  <si>
    <t>https://www.tiktok.com/@lavishhcam/video/7480248461112216854?_t=ZN-8uksUX9QNRG&amp;_r=1</t>
  </si>
  <si>
    <t>Vichy</t>
  </si>
  <si>
    <t>https://www.tiktok.com/@lavishhcam/video/7395231761887759649?lang=en</t>
  </si>
  <si>
    <t>https://www.tiktok.com/@lavishhcam/video/7398186484789988641?lang=en</t>
  </si>
  <si>
    <t>https://www.tiktok.com/@lavishhcam/video/7365759408892103969?lang=en</t>
  </si>
  <si>
    <t>Flower Knows</t>
  </si>
  <si>
    <t>https://www.tiktok.com/@lavishhcam/video/7401530328214441248?lang=en</t>
  </si>
  <si>
    <t>https://www.tiktok.com/@lavishhcam/video/7394844935842778400?lang=en</t>
  </si>
  <si>
    <t>Rituals</t>
  </si>
  <si>
    <t>Respire</t>
  </si>
  <si>
    <t>LANEIGE</t>
  </si>
  <si>
    <t>Glow Recipe</t>
  </si>
  <si>
    <t>Google Ads</t>
  </si>
  <si>
    <t>Franck Provost</t>
  </si>
  <si>
    <t>MAC Cosmetics</t>
  </si>
  <si>
    <t>Produits Cultes</t>
  </si>
  <si>
    <t>Milk Makeup (Nice Work)</t>
  </si>
  <si>
    <t>Best sellers</t>
  </si>
  <si>
    <r>
      <rPr>
        <rFont val="Arial"/>
        <color theme="1"/>
      </rPr>
      <t xml:space="preserve">Post obligatoire </t>
    </r>
    <r>
      <rPr>
        <rFont val="Arial"/>
        <b/>
        <color theme="1"/>
      </rPr>
      <t>sans brief</t>
    </r>
  </si>
  <si>
    <t>Typology</t>
  </si>
  <si>
    <t>Kiehl's</t>
  </si>
  <si>
    <t>La semaine du 1er avril</t>
  </si>
  <si>
    <t>JW PEI</t>
  </si>
  <si>
    <t>7 jours après reception sac</t>
  </si>
  <si>
    <t>ATTENTION NOUVEAU BRIEF?</t>
  </si>
  <si>
    <t>Bloom</t>
  </si>
  <si>
    <t>La semaine du 15 avril</t>
  </si>
  <si>
    <t xml:space="preserve">Loveshin &amp; Candy Glaze </t>
  </si>
  <si>
    <t>VOIR MAIL POUR BRIEF</t>
  </si>
  <si>
    <t>Nars</t>
  </si>
  <si>
    <t>The Commense</t>
  </si>
  <si>
    <t>⚠️chiara_12  + Lien dans bio</t>
  </si>
  <si>
    <t>1 Tiktok + 1 Reel</t>
  </si>
  <si>
    <t>10% Commission</t>
  </si>
  <si>
    <t>Bijoux Divins</t>
  </si>
  <si>
    <t>1 Tiktok + 1 IG story</t>
  </si>
  <si>
    <t>https://www.tiktok.com/@chiaraaaa.bnc/video/7391983750164319520?_r=1&amp;_t=8o3MXv1mvZJ</t>
  </si>
  <si>
    <t>https://www.tiktok.com/@chiaraaaa.bnc/video/7394423173132913952</t>
  </si>
  <si>
    <t>Biotherm</t>
  </si>
  <si>
    <t>Courrèges (Nice Work)</t>
  </si>
  <si>
    <t>https://www.tiktok.com/@chiaraaaa.bnc/video/7405297473117310240</t>
  </si>
  <si>
    <t>https://www.tiktok.com/@chiaraaaa.bnc/video/7404583889974480161</t>
  </si>
  <si>
    <t>https://www.tiktok.com/@chiaraaaa.bnc/video/7416745525149584673</t>
  </si>
  <si>
    <t>https://www.tiktok.com/@chiaraaaa.bnc/video/7415682356973014305?_r=1&amp;_t=8pnu1Dc4LKK</t>
  </si>
  <si>
    <t>https://www.tiktok.com/@chiaraaaa.bnc/video/7426062687051713824?lang=en</t>
  </si>
  <si>
    <t>https://www.tiktok.com/@chiaraaaa.bnc/video/7429003433572715809?lang=en</t>
  </si>
  <si>
    <t>Pulpe de Vie</t>
  </si>
  <si>
    <t>Post non obligatoire</t>
  </si>
  <si>
    <t>Libre - colis presse</t>
  </si>
  <si>
    <t>Dieti Natura</t>
  </si>
  <si>
    <t>Tester les produits et leur faire un retour. Si tu aimes pourquoi pas poster sur Tiktok</t>
  </si>
  <si>
    <t>Make Up For Ever</t>
  </si>
  <si>
    <t>Jimmy Fairly</t>
  </si>
  <si>
    <t>Lili Sidonio</t>
  </si>
  <si>
    <t>Dr Jart +</t>
  </si>
  <si>
    <t>Gallinée</t>
  </si>
  <si>
    <t>Photo avant/après</t>
  </si>
  <si>
    <t>Evoluderm</t>
  </si>
  <si>
    <t>pas reçu</t>
  </si>
  <si>
    <t>https://www.tiktok.com/@dounsbnl/video/7431205107913493793</t>
  </si>
  <si>
    <t>2024 Black Friday Product Review</t>
  </si>
  <si>
    <t>https://www.tiktok.com/@dounsbnl/video/7474747644808613142</t>
  </si>
  <si>
    <t>Drunk Elephant</t>
  </si>
  <si>
    <t>https://www.instagram.com/p/DHT2-JnIB-6/</t>
  </si>
  <si>
    <r>
      <rPr>
        <rFont val="&quot;Helvetica Neue&quot;"/>
        <color rgb="FF1155CC"/>
        <sz val="8.0"/>
        <u/>
      </rPr>
      <t>https://www.instagram.com/reel/DJMIRWMoL9E/?igsh=MTY5bnFnZW5mZGI2dA==</t>
    </r>
  </si>
  <si>
    <t>https://www.tiktok.com/@eloiseaubeneauu/video/7483491441663036718?_t=ZT-8uoTJcOEruw&amp;_r=1</t>
  </si>
  <si>
    <t>https://www.tiktok.com/@eloiseaubeneauu/video/7507226915682389279</t>
  </si>
  <si>
    <t>https://www.instagram.com/reel/DJPcuR3Idt7/?igsh=OW9lOXZyc2hucGI=</t>
  </si>
  <si>
    <t>Fanny</t>
  </si>
  <si>
    <t>Shokz</t>
  </si>
  <si>
    <t>fev</t>
  </si>
  <si>
    <t>https://www.tiktok.com/@farahdisiaque/video/7483922941864955158?_t=ZN-8uqT7rbpmb8&amp;_r=1</t>
  </si>
  <si>
    <t>c</t>
  </si>
  <si>
    <t>⚠️bleulividee_12 + Lien dans Bio</t>
  </si>
  <si>
    <t>https://www.tiktok.com/@bleulividee/video/7372251599776877856</t>
  </si>
  <si>
    <t>https://vm.tiktok.com/ZGepDFE5y/</t>
  </si>
  <si>
    <t>https://www.tiktok.com/@bleulividee/video/7391910299361709344</t>
  </si>
  <si>
    <t>https://www.tiktok.com/@bleulividee/video/7392682253026970912</t>
  </si>
  <si>
    <t>Fresh</t>
  </si>
  <si>
    <t>https://www.tiktok.com/@bleulividee/video/7410370727486049568</t>
  </si>
  <si>
    <t>Bourjois</t>
  </si>
  <si>
    <t>Too Faced</t>
  </si>
  <si>
    <t>https://www.tiktok.com/@bleulividee/video/7375559768552770849</t>
  </si>
  <si>
    <t>creme solaire</t>
  </si>
  <si>
    <t>https://www.tiktok.com/@bleulividee/video/7393388652753194273</t>
  </si>
  <si>
    <t>https://www.tiktok.com/@bleulividee/video/7397487380388744480</t>
  </si>
  <si>
    <t>https://www.tiktok.com/@bleulividee/video/7365539403646651680</t>
  </si>
  <si>
    <t>Benefit</t>
  </si>
  <si>
    <t>Pas reçu</t>
  </si>
  <si>
    <t>Showroom</t>
  </si>
  <si>
    <t>L'Oréal Professionnel</t>
  </si>
  <si>
    <t>https://www.tiktok.com/@la_gur/photo/7457999858377428246?lang=en</t>
  </si>
  <si>
    <t>https://www.tiktok.com/@la_gur/video/7485089693206433046?lang=en</t>
  </si>
  <si>
    <t>story juste</t>
  </si>
  <si>
    <t>https://www.tiktok.com/@la_gur/video/7495733948685815062?lang=en</t>
  </si>
  <si>
    <t>https://drive.google.com/drive/folders/1bllXfbrb3bUB07wpoG2Ebl0SK0IzuWTC?usp=sharing</t>
  </si>
  <si>
    <t>https://www.tiktok.com/@hidaya_bl/video/7484394919600213270</t>
  </si>
  <si>
    <t>NARS (Nice Work)</t>
  </si>
  <si>
    <t>https://www.tiktok.com/@iman_cvls/video/7397858754177551649</t>
  </si>
  <si>
    <t>https://www.tiktok.com/@iman_cvls/video/7404463230673849633</t>
  </si>
  <si>
    <t>Fenty (Nice Work)</t>
  </si>
  <si>
    <t>https://www.tiktok.com/@iman_cvls/video/7414564750392184096</t>
  </si>
  <si>
    <t>Black &amp; White Burger</t>
  </si>
  <si>
    <t>Evenement</t>
  </si>
  <si>
    <t>https://www.tiktok.com/@iman_cvls/video/7430007298031930656?lang=en</t>
  </si>
  <si>
    <t>Daylo</t>
  </si>
  <si>
    <t>Maria Nila</t>
  </si>
  <si>
    <t>https://www.tiktok.com/@iman_cvls/video/7442289270481636640?lang=en</t>
  </si>
  <si>
    <t>https://www.tiktok.com/@iman_cvls/video/7458583066676710678?_t=ZN-8syYtKZMQGF&amp;_r=1</t>
  </si>
  <si>
    <t>X2 video</t>
  </si>
  <si>
    <r>
      <rPr>
        <rFont val="&quot;Helvetica Neue&quot;"/>
        <color rgb="FF000000"/>
        <sz val="8.0"/>
        <u/>
      </rPr>
      <t>https://vm.tiktok.com/ZNdrMWKU9/</t>
    </r>
    <r>
      <rPr>
        <rFont val="&quot;Helvetica Neue&quot;"/>
        <color rgb="FF777777"/>
        <sz val="8.0"/>
        <u/>
      </rPr>
      <t xml:space="preserve">   </t>
    </r>
    <r>
      <rPr>
        <rFont val="&quot;Helvetica Neue&quot;"/>
        <color rgb="FF000000"/>
        <sz val="8.0"/>
        <u/>
      </rPr>
      <t xml:space="preserve">https://vm.tiktok.com/ZNdrMbUmK/
</t>
    </r>
  </si>
  <si>
    <t>https://www.tiktok.com/@iman_cvls/video/7405646497515113761</t>
  </si>
  <si>
    <t>https://www.tiktok.com/@jasmiinelife/video/7402157667159969057</t>
  </si>
  <si>
    <t>https://www.tiktok.com/@jasmiinelife/video/7398942773430308128</t>
  </si>
  <si>
    <t>https://www.tiktok.com/@jasmiinelife/video/7411133691189071137</t>
  </si>
  <si>
    <t>https://www.tiktok.com/@jasmiinelife/video/7431849329335209249?_t=8qzxJsLvUuH&amp;_r=1</t>
  </si>
  <si>
    <t>https://www.tiktok.com/@jasmiinelife/video/7481342810977881366?_r=1&amp;_t=ZN-8ued6vIUIJa</t>
  </si>
  <si>
    <t>https://www.tiktok.com/@jasmiinelife/video/7478010649835064598?_t=ZN-8uksMc15EkI&amp;_r=1</t>
  </si>
  <si>
    <t>https://vm.tiktok.com/ZNdr6BsyX/</t>
  </si>
  <si>
    <t>https://www.tiktok.com/@jasmiinelife/video/7406012010816638240</t>
  </si>
  <si>
    <t>https://www.instagram.com/reel/DAEGiSUicZy/</t>
  </si>
  <si>
    <t>The Inkey List (Nice Work)</t>
  </si>
  <si>
    <t>https://www.tiktok.com/@jeanne_bayart/video/7405111060274924832</t>
  </si>
  <si>
    <t>https://www.tiktok.com/@jeanne_bayart/video/7401629838697565472</t>
  </si>
  <si>
    <t>en attente Micro Entreprise Jeanne</t>
  </si>
  <si>
    <t>Calendrier</t>
  </si>
  <si>
    <t>https://www.instagram.com/reel/DHYZokMIocA/?igsh=MXJmNGNqYzdlNjZ6eg%3D%3D</t>
  </si>
  <si>
    <t>En Attente</t>
  </si>
  <si>
    <t>Wonderskin</t>
  </si>
  <si>
    <t>Sans obligation de post</t>
  </si>
  <si>
    <t>https://www.tiktok.com/@jessicadcstr/video/7374052571708771616</t>
  </si>
  <si>
    <t>https://www.tiktok.com/@jessicadcstr/video/7375545597094464801</t>
  </si>
  <si>
    <t>Olaplex (Nice Work)</t>
  </si>
  <si>
    <t>https://www.tiktok.com/@jessicadcstr/video/7388534640631450913</t>
  </si>
  <si>
    <t>https://www.tiktok.com/@jessicadcstr/video/7389326468137995552</t>
  </si>
  <si>
    <t>https://www.tiktok.com/@jessicadcstr/video/7402283442785766688</t>
  </si>
  <si>
    <t>Error: The parameters (String,String,(class)) don't match the method signature for CalendarApp.Calendar.createAllDayEvent.</t>
  </si>
  <si>
    <t>https://www.tiktok.com/@jessicadcstr/video/7400003750661819681</t>
  </si>
  <si>
    <t>reçu</t>
  </si>
  <si>
    <t>https://www.tiktok.com/@jessicadcstr/video/7401184127703108897</t>
  </si>
  <si>
    <t>Post obligatoire</t>
  </si>
  <si>
    <t>https://www.tiktok.com/@jessicadcstr/video/7379634512625487137</t>
  </si>
  <si>
    <t>https://www.tiktok.com/@jessicadcstr/video/7370005908706921761?q=jessicadcstr%20aromazone&amp;t=1716383408647</t>
  </si>
  <si>
    <t>Brief dans mail Sparkle</t>
  </si>
  <si>
    <t>Kurku-ma</t>
  </si>
  <si>
    <t>Origins</t>
  </si>
  <si>
    <t>https://www.tiktok.com/@julianebernard/video/7375950922876194080</t>
  </si>
  <si>
    <t>https://www.tiktok.com/@julianebernard/video/7394526025591409952</t>
  </si>
  <si>
    <t>https://www.tiktok.com/@julianebernard/video/7415662953526988065</t>
  </si>
  <si>
    <t>https://www.tiktok.com/@julianebernard/video/7422201837324979489</t>
  </si>
  <si>
    <t>Kielh's</t>
  </si>
  <si>
    <t>https://www.tiktok.com/@julianebernard/video/7423819976387218720?lang=en</t>
  </si>
  <si>
    <t>https://www.tiktok.com/@julianebernard/video/7428654055754353952?lang=en</t>
  </si>
  <si>
    <t>https://www.tiktok.com/@julianebernard/video/7431227139405466912?lang=en</t>
  </si>
  <si>
    <t>colis pas encore reçu (30/11)</t>
  </si>
  <si>
    <t>Mascara Flutter Extension</t>
  </si>
  <si>
    <t>https://www.tiktok.com/@julianebernard/video/7470566844924005654?lang=en</t>
  </si>
  <si>
    <t>https://www.tiktok.com/@julianebernard/video/7480957956545203478?_t=ZN-8uflzHw9hd0&amp;_r=1</t>
  </si>
  <si>
    <t>https://www.tiktok.com/@julianebernard/video/7483144981474053398?_r=1&amp;_t=ZN-8umtSsTCOtq</t>
  </si>
  <si>
    <t>Loveshine Plumping Lip Gloss</t>
  </si>
  <si>
    <t>https://www.tiktok.com/@julianebernard/video/7505188044769611030?_r=1&amp;_t=ZN-8wUPhwBCpra</t>
  </si>
  <si>
    <t>SAYANA</t>
  </si>
  <si>
    <t>Havaianas</t>
  </si>
  <si>
    <t>https://www.tiktok.com/@julianebernard/video/7387355316817612064</t>
  </si>
  <si>
    <t>Réelle</t>
  </si>
  <si>
    <t>https://www.tiktok.com/@laurieespamm/video/7373977897394048289</t>
  </si>
  <si>
    <t>https://www.tiktok.com/@laurieespamm/video/7372894690884029729</t>
  </si>
  <si>
    <t>https://www.tiktok.com/@laurieespamm/video/7385220213458980129</t>
  </si>
  <si>
    <t>https://www.tiktok.com/@laurieespamm/video/7403685503830084896?_r=1&amp;_t=8ouxXOOFEH3</t>
  </si>
  <si>
    <t>Rare Beauty (Nice Work)</t>
  </si>
  <si>
    <t>https://www.tiktok.com/@laurieespamm/video/7385584137039596833</t>
  </si>
  <si>
    <t>Laurine</t>
  </si>
  <si>
    <t>Boohoo</t>
  </si>
  <si>
    <t>Contenu libre</t>
  </si>
  <si>
    <t>Obligation de post</t>
  </si>
  <si>
    <t>Kylie</t>
  </si>
  <si>
    <t xml:space="preserve">Eau Thermale Jonzac </t>
  </si>
  <si>
    <t>laurine_12 + Lien dans bio</t>
  </si>
  <si>
    <t>Hawkers</t>
  </si>
  <si>
    <t>Post obligatoire sans brief</t>
  </si>
  <si>
    <t>SHEIN Grosses Remises Day ! 🔥 Réglez votre rappel maintenant !</t>
  </si>
  <si>
    <t>attendre description</t>
  </si>
  <si>
    <t>The Ordinary</t>
  </si>
  <si>
    <t>Dès que possible</t>
  </si>
  <si>
    <t>Myrimimi</t>
  </si>
  <si>
    <t>01/04/0204</t>
  </si>
  <si>
    <t>à poster dès que possible</t>
  </si>
  <si>
    <t>retard livraison</t>
  </si>
  <si>
    <t>Nice Work Fonctionnement</t>
  </si>
  <si>
    <t>Fenty Skin</t>
  </si>
  <si>
    <t xml:space="preserve">Nice Work Fonctionnement </t>
  </si>
  <si>
    <t>L'Oreal Luxe</t>
  </si>
  <si>
    <t>https://www.tiktok.com/@lilyy.nl/video/7372250529398836512</t>
  </si>
  <si>
    <t>https://www.tiktok.com/@lilyy.nl/video/7374127349601701153</t>
  </si>
  <si>
    <t>https://www.tiktok.com/@lilyy.nl/video/7377465554560453921</t>
  </si>
  <si>
    <t>Maybelline Concours</t>
  </si>
  <si>
    <t>https://www.tiktok.com/@lilyy.nl/video/7382595650866662688</t>
  </si>
  <si>
    <t>https://www.tiktok.com/@lilyy.nl/video/7387413713944333601</t>
  </si>
  <si>
    <t>https://www.tiktok.com/@lilyy.nl/video/7398197901182111008</t>
  </si>
  <si>
    <t>Sol de Janeiro (Nice Work)</t>
  </si>
  <si>
    <t>https://www.tiktok.com/@lilyy.nl/video/7400071344089533728</t>
  </si>
  <si>
    <t>https://www.tiktok.com/@lilyy.nl/video/7401181475330198816</t>
  </si>
  <si>
    <t>TOMO</t>
  </si>
  <si>
    <t>https://www.tiktok.com/@lilyy.nl/video/7416387740951956768</t>
  </si>
  <si>
    <t>https://www.tiktok.com/@lilyy.nl/video/7414163405205982497</t>
  </si>
  <si>
    <t>https://www.tiktok.com/@lilyy.nl/video/7424229467951729953</t>
  </si>
  <si>
    <t>https://www.tiktok.com/@lilyy.nl/video/7421229015719103776</t>
  </si>
  <si>
    <t>https://www.tiktok.com/@lilyy.nl/video/7432644019890539808</t>
  </si>
  <si>
    <t>KIEHL'S</t>
  </si>
  <si>
    <t>TABASQUISHY</t>
  </si>
  <si>
    <t>https://www.tiktok.com/@lilyy.nl/video/7467121622500003094</t>
  </si>
  <si>
    <t>https://www.tiktok.com/@lilyy.nl/video/7465615921470557462</t>
  </si>
  <si>
    <t>Armani Beauty</t>
  </si>
  <si>
    <t>https://www.tiktok.com/@lilyy.nl/video/7473378357531397398?_t=ZN-8uecd1X7Rby&amp;_r=1</t>
  </si>
  <si>
    <t>Summer Fridays</t>
  </si>
  <si>
    <t>Hydra Jelly Pocket Lip Jam Campaign</t>
  </si>
  <si>
    <t>https://www.tiktok.com/@lilyy.nl/video/7361800761090526497</t>
  </si>
  <si>
    <t>https://www.tiktok.com/@lilyy.nl/video/7381865050685934881</t>
  </si>
  <si>
    <t>Lanolips</t>
  </si>
  <si>
    <t>https://www.tiktok.com/@lilyy.nl/video/7397468947290918176</t>
  </si>
  <si>
    <t>https://www.tiktok.com/@lilyy.nl/video/7355571660520426784?q=lilyy.nl%20aromazone&amp;t=1716382679417</t>
  </si>
  <si>
    <t>https://www.tiktok.com/@lilyy.nl/video/7407474534565154081</t>
  </si>
  <si>
    <t>www.tiktok.com/@lilyy.nl/video/7402233435932216608?cid=NzQwMjIzNDY4NzAzMDE5OTA3Mg</t>
  </si>
  <si>
    <t xml:space="preserve">Attendre avant de facturer Médiatisation </t>
  </si>
  <si>
    <t>Médiatisation</t>
  </si>
  <si>
    <t>Kiko Milano</t>
  </si>
  <si>
    <t>Showroom 16h</t>
  </si>
  <si>
    <t>https://www.tiktok.com/@lina.mkrn2/video/7384054300869217569?browserMode=1</t>
  </si>
  <si>
    <t>Halal Nutrition</t>
  </si>
  <si>
    <t>RDV 11h Showroom</t>
  </si>
  <si>
    <t>https://www.tiktok.com/@liserdg/video/7399262478896614689</t>
  </si>
  <si>
    <t>https://www.tiktok.com/@liserdg/video/7399698677285014817</t>
  </si>
  <si>
    <t>https://www.tiktok.com/@liserdg/video/7404521868960501024</t>
  </si>
  <si>
    <t>https://www.tiktok.com/@liserdg/video/7407523195101728033</t>
  </si>
  <si>
    <t>pas de preview</t>
  </si>
  <si>
    <t>https://www.tiktok.com/@liserdg/video/7418260695130623264</t>
  </si>
  <si>
    <t>https://www.tiktok.com/@liserdg/video/7420486871957998880</t>
  </si>
  <si>
    <t>https://www.tiktok.com/@liserdg/video/7431256738801667360?lang=en</t>
  </si>
  <si>
    <t>https://www.tiktok.com/@liserdg/video/7441653570472135969?_t=8riqrKU7tr6&amp;_r=1</t>
  </si>
  <si>
    <t>https://www.tiktok.com/@liserdg/video/7408641991967378720</t>
  </si>
  <si>
    <t>https://www.tiktok.com/@liserdg/video/7381070326211317025</t>
  </si>
  <si>
    <t>https://tiktok.com/@liserdg/video/7422323883673423136</t>
  </si>
  <si>
    <t>https://www.tiktok.com/@lolatagliaferroo/video/7388560111800749345</t>
  </si>
  <si>
    <t>https://www.tiktok.com/@lolatagliaferroo/video/7417167690537717024</t>
  </si>
  <si>
    <t>https://www.tiktok.com/@lolatagliaferroo/video/7417539584071830816</t>
  </si>
  <si>
    <t>https://www.tiktok.com/@lolatagliaferroo/video/7428671047366348065?lang=en</t>
  </si>
  <si>
    <t>Brumes</t>
  </si>
  <si>
    <t>Kylie Cosmetics</t>
  </si>
  <si>
    <t>https://www.tiktok.com/@lolatagliaferroo/video/7445278458680266006?lang=en</t>
  </si>
  <si>
    <t>My Little Box</t>
  </si>
  <si>
    <t>Pimple Patch</t>
  </si>
  <si>
    <t>Marlène</t>
  </si>
  <si>
    <t>Cuure</t>
  </si>
  <si>
    <t>Skeepers</t>
  </si>
  <si>
    <t>Interview</t>
  </si>
  <si>
    <t>https://www.tiktok.com/@melf.fnt/video/7372218331379666209</t>
  </si>
  <si>
    <t>https://www.tiktok.com/@melf.fnt/video/7370750286744292641</t>
  </si>
  <si>
    <t>https://www.tiktok.com/@melf.fnt/video/7383665768757579041</t>
  </si>
  <si>
    <t>https://www.tiktok.com/@melf.fnt/video/7384078329554423073</t>
  </si>
  <si>
    <t>https://www.tiktok.com/@melf.fnt/video/7388460088819797280</t>
  </si>
  <si>
    <t>https://www.tiktok.com/@melf.fnt/video/7391885588057656609</t>
  </si>
  <si>
    <t>Le Petit Lunetier</t>
  </si>
  <si>
    <t>https://www.tiktok.com/@melf.fnt/video/7399939773575613728</t>
  </si>
  <si>
    <t>https://www.tiktok.com/@melf.fnt/video/7416390437692280096</t>
  </si>
  <si>
    <t>https://www.tiktok.com/@melf.fnt/video/7415636160636013856</t>
  </si>
  <si>
    <t>https://www.tiktok.com/@melf.fnt/video/7417407814903057697</t>
  </si>
  <si>
    <t>https://www.tiktok.com/@melf.fnt/video/7422664116545801504</t>
  </si>
  <si>
    <t>https://www.tiktok.com/@melf.fnt/video/7431619697042296096</t>
  </si>
  <si>
    <t>https://www.tiktok.com/@melf.fnt/video/7428571977918500128</t>
  </si>
  <si>
    <t>D'ici 2 semaines après 20/03/24</t>
  </si>
  <si>
    <t>https://www.tiktok.com/@melf.fnt/video/7360752268607491360</t>
  </si>
  <si>
    <t>En attente date</t>
  </si>
  <si>
    <t xml:space="preserve">Maybelline </t>
  </si>
  <si>
    <t>https://www.tiktok.com/@melf.fnt/video/7375924184494476577</t>
  </si>
  <si>
    <t>https://www.tiktok.com/@melf.fnt/video/7395873680867233057</t>
  </si>
  <si>
    <t>https://www.tiktok.com/@melf.fnt/video/7364824274315529505</t>
  </si>
  <si>
    <t>https://www.tiktok.com/@melf.fnt/video/7400756804549971232</t>
  </si>
  <si>
    <t>Kalista</t>
  </si>
  <si>
    <t>Neutrogena</t>
  </si>
  <si>
    <t>Néonail</t>
  </si>
  <si>
    <t>colis confidentiel jussqu'au 08/10</t>
  </si>
  <si>
    <t>Migos Media</t>
  </si>
  <si>
    <t>Apport D'affaire</t>
  </si>
  <si>
    <t>Rappel</t>
  </si>
  <si>
    <t>Milk Make Up (Nice Work)</t>
  </si>
  <si>
    <t>https://www.tiktok.com/@morgane.mrckk/video/7384031967643307296</t>
  </si>
  <si>
    <t>https://www.tiktok.com/@morgane.mrckk/video/7402654625314196769</t>
  </si>
  <si>
    <t>https://www.tiktok.com/@morgane.mrckk/video/7414534348910775584</t>
  </si>
  <si>
    <t>Ongle24</t>
  </si>
  <si>
    <t>https://www.tiktok.com/@morgane.mrckk/video/7413431476252970272</t>
  </si>
  <si>
    <t>https://www.tiktok.com/@morgane.mrckk/video/7412302749104114977</t>
  </si>
  <si>
    <t>https://www.tiktok.com/@morgane.mrckk/video/7423352236501241121</t>
  </si>
  <si>
    <t>https://www.tiktok.com/@morgane.mrckk/video/7424156968429833504?lang=en</t>
  </si>
  <si>
    <t>https://www.tiktok.com/@morgane.mrckk/video/7436771318671953185?lang=en</t>
  </si>
  <si>
    <t>https://www.tiktok.com/@morgane.mrckk/video/7385545243870973216</t>
  </si>
  <si>
    <t>Bobbi Brown</t>
  </si>
  <si>
    <t>https://www.tiktok.com/@morgane.mrckk/video/7397382935453764896</t>
  </si>
  <si>
    <t>https://www.tiktok.com/@morgane.mrckk/video/7381070101392477472</t>
  </si>
  <si>
    <t>https://www.tiktok.com/@morgane.mrckk/video/7416632134347033889</t>
  </si>
  <si>
    <t>https://www.instagram.com/p/DF3IS0nN9_G/?img_index=1</t>
  </si>
  <si>
    <t>10h à 18h</t>
  </si>
  <si>
    <t>https://www.instagram.com/p/DHTVmb9tQrc/</t>
  </si>
  <si>
    <t>https://www.instagram.com/p/DJtb4I3NWCt/?img_index=1&amp;igsh=cHBsdGw3bjhsaTd2</t>
  </si>
  <si>
    <t>Axis-Y</t>
  </si>
  <si>
    <t>https://www.tiktok.com/@___oraane/video/7370306532183002401</t>
  </si>
  <si>
    <t>partager video TT</t>
  </si>
  <si>
    <t>https://www.tiktok.com/@___oraane/video/7385808181940784417</t>
  </si>
  <si>
    <t>https://www.tiktok.com/@___oraane/video/7396281714101734689</t>
  </si>
  <si>
    <t>https://www.tiktok.com/@___oraane/video/7398824092297612576</t>
  </si>
  <si>
    <t>https://www.tiktok.com/@___oraane/video/7408970007402663200</t>
  </si>
  <si>
    <t>https://www.tiktok.com/@___oraane/video/7422246939724385569?lang=en</t>
  </si>
  <si>
    <t>https://www.tiktok.com/@___oraane/video/7427080640987712800?lang=en</t>
  </si>
  <si>
    <t>https://www.tiktok.com/@___oraane/video/7476554634371337495?_t=ZN-8uksMQy8spa&amp;_r=1</t>
  </si>
  <si>
    <r>
      <rPr>
        <color rgb="FF1155CC"/>
        <u/>
      </rPr>
      <t>https://www.tiktok.com/@___oraane/video/7497260335687142678?_r=1&amp;_t=ZN-8wK7rhJ1GDe</t>
    </r>
  </si>
  <si>
    <t>https://www.tiktok.com/@___oraane/video/7375468422068571424?_r=1&amp;_t=8krP3tfqVUH</t>
  </si>
  <si>
    <t>https://www.tiktok.com/@___oraane/video/7410372109068766496</t>
  </si>
  <si>
    <t>en attente validation contrat</t>
  </si>
  <si>
    <t>La roche posay</t>
  </si>
  <si>
    <t>sérum + gel crème hyalu B5</t>
  </si>
  <si>
    <t>Promouvoir les 2 produits</t>
  </si>
  <si>
    <t>Bell Hypoallergenique</t>
  </si>
  <si>
    <t>Brief</t>
  </si>
  <si>
    <t>Dès réception colis</t>
  </si>
  <si>
    <t>Voir Brief mail</t>
  </si>
  <si>
    <t>Filorga</t>
  </si>
  <si>
    <t>https://www.tiktok.com/@paupibeauty/video/7376008068775120160</t>
  </si>
  <si>
    <t>https://vm.tiktok.com/ZGeb3qMjG/</t>
  </si>
  <si>
    <t>https://www.tiktok.com/@paupibeauty/video/7388913023471176993</t>
  </si>
  <si>
    <t>YSL Beauty Summer Box (Nice Work)</t>
  </si>
  <si>
    <t>https://www.tiktok.com/@paupibeauty/video/7391913188587048224</t>
  </si>
  <si>
    <t>https://www.tiktok.com/@paupibeauty/video/7391464252877442336</t>
  </si>
  <si>
    <t>https://www.tiktok.com/@paupibeauty/video/7399701843338612001?_r=1&amp;_t=8ocjkRHNArg</t>
  </si>
  <si>
    <t>https://www.tiktok.com/@paupibeauty/video/7397104051248188704</t>
  </si>
  <si>
    <t>https://www.tiktok.com/@paupibeauty/video/7409632617487699233?_r=1&amp;_t=8pifPT1JA5h</t>
  </si>
  <si>
    <t>https://www.tiktok.com/@paupibeauty/video/7422233100345806113?_r=1&amp;_t=8qHw0Tc0W3d</t>
  </si>
  <si>
    <t>https://www.tiktok.com/@paupibeauty/video/7433470283073244449</t>
  </si>
  <si>
    <t>29/10/0204</t>
  </si>
  <si>
    <t>https://vm.tiktok.com/ZGdLKEWpH/</t>
  </si>
  <si>
    <t>CandyGlow</t>
  </si>
  <si>
    <t>Patch</t>
  </si>
  <si>
    <t>Estée Lauder</t>
  </si>
  <si>
    <t>https://www.tiktok.com/@paupibeauty/video/7469447565080005910</t>
  </si>
  <si>
    <t>https://www.tiktok.com/@paupibeauty/video/7483230429919677718?_r=1&amp;u_code=db2iba9fkd722g&amp;preview_pb=0&amp;sharer_language=fr&amp;_d=e50dm7j0f1glif&amp;share_item_id=7483230429919677718&amp;source=h5_m&amp;timestamp=1742383722&amp;utm_source=copy&amp;tt_from=copy&amp;enable_checksum=1&amp;utm_medium=ios&amp;share_link_id=24BD8EB9-538A-4B00-A8DC-BDB951F9A0D2&amp;user_id=6796</t>
  </si>
  <si>
    <r>
      <rPr>
        <rFont val="&quot;Helvetica Neue&quot;"/>
        <color rgb="FF000000"/>
        <sz val="8.0"/>
        <u/>
      </rPr>
      <t>https://vm.tiktok.com/ZNdr6B5df/</t>
    </r>
    <r>
      <rPr>
        <rFont val="&quot;Helvetica Neue&quot;"/>
        <color rgb="FF000000"/>
        <sz val="8.0"/>
      </rPr>
      <t xml:space="preserve">  </t>
    </r>
    <r>
      <rPr>
        <rFont val="&quot;Helvetica Neue&quot;"/>
        <color rgb="FF1155CC"/>
        <sz val="8.0"/>
        <u/>
      </rPr>
      <t>https://vm.tiktok.com/ZNdr62oeS/</t>
    </r>
  </si>
  <si>
    <t>ULIKE</t>
  </si>
  <si>
    <t>https://www.tiktok.com/@paupibeauty/video/7390429662033251617</t>
  </si>
  <si>
    <t>ads big cils</t>
  </si>
  <si>
    <t>https://www.tiktok.com/@paupibeauty/video/7364899892755565857</t>
  </si>
  <si>
    <t>https://www.tiktok.com/@paupibeauty/video/7400829639158992161</t>
  </si>
  <si>
    <t>CECOTEC</t>
  </si>
  <si>
    <t>Affiliate</t>
  </si>
  <si>
    <t>https://www.tiktok.com/@paupibeauty/video/7403338641294101793?_r=1&amp;_t=8otMyM33Aq9</t>
  </si>
  <si>
    <t>https://www.tiktok.com/@paupibeauty/video/7419986303070129441</t>
  </si>
  <si>
    <t>La Boutique du Coiffeur</t>
  </si>
  <si>
    <t>Weleda</t>
  </si>
  <si>
    <t>Revitalift IG</t>
  </si>
  <si>
    <t>enlever 75 media à facturer plus tard</t>
  </si>
  <si>
    <t>Seasonly</t>
  </si>
  <si>
    <t>https://www.tiktok.com/@perrine.trp/video/7388970033046736161</t>
  </si>
  <si>
    <t>https://www.tiktok.com/@perrine.trp/video/7391934268479425825</t>
  </si>
  <si>
    <t>https://www.tiktok.com/@perrine.trp/video/7388938973533490465</t>
  </si>
  <si>
    <t>https://www.tiktok.com/@perrine.trp/video/7404526978864270625</t>
  </si>
  <si>
    <t>https://www.tiktok.com/@perrine.trp/video/7416397579652549920</t>
  </si>
  <si>
    <t>https://www.tiktok.com/@perrine.trp/video/7420481706290990368</t>
  </si>
  <si>
    <t>https://www.tiktok.com/@perrine.trp/video/7432357615906082081?lang=en</t>
  </si>
  <si>
    <t xml:space="preserve">YSL </t>
  </si>
  <si>
    <t>Noël</t>
  </si>
  <si>
    <t>https://www.tiktok.com/@perrine.trp/video/7470594564579921174?_t=ZN-8trcT1kEJTq&amp;_r=1</t>
  </si>
  <si>
    <t>Air Up</t>
  </si>
  <si>
    <t>Saforelle</t>
  </si>
  <si>
    <t>Chantelle</t>
  </si>
  <si>
    <t>Romane</t>
  </si>
  <si>
    <t>https://www.tiktok.com/@romlabordelaise/photo/7374826918236949793?_d=secCgYIASAHKAESPgo8q9siUnZtyE0109XMp5dx3cMmVFVIaMGy%2BlAK8UtWtglSCdVgBy%2FzSdjJmzYWsISFC9%2B%2FlyF04TxmdiBEGgA%3D&amp;_r=1&amp;checksum=76ea1d67e0b71fc0c1e121f4b86c89eead08caa18274e51cbd7e8fffc45db1d5&amp;preview_pb=0&amp;sec_user_id=MS4wLjABAAAA5WAsY9if6sGpkTh7WMG-LZ13a7Fhz-UQEteoh5afNnaOqO_ikANGGYl5AT_LEaod&amp;share_app_id=1233&amp;share_item_id=7374826918236949793&amp;share_link_id=1FE47ACF-406A-41EB-AA25-0A1621898287&amp;sharer_language=en&amp;social_share_type=14&amp;source=h5_m&amp;timestamp=1717086266&amp;tt_from=copy&amp;u_code=da24lg4e7mb9ch&amp;ug_btm=b8727%2Cb2878&amp;user_id=6773729367979770886&amp;utm_campaign=client_share&amp;utm_medium=ios&amp;utm_source=copy</t>
  </si>
  <si>
    <t>RDV 12h Showroom</t>
  </si>
  <si>
    <t>https://www.tiktok.com/@romlabordelaise/video/7367768975154990369</t>
  </si>
  <si>
    <t>description</t>
  </si>
  <si>
    <t>https://www.tiktok.com/@iimslma/video/7437910864826486048?_r=1&amp;_t=8rRi7SCy1Ka</t>
  </si>
  <si>
    <t>Sélection</t>
  </si>
  <si>
    <t>https://www.tiktok.com/@iimslma/video/7396769960623738145</t>
  </si>
  <si>
    <t>https://www.tiktok.com/@iimslma/video/7403774825702886688</t>
  </si>
  <si>
    <t>https://www.tiktok.com/@iimslma/video/7399725613407309089</t>
  </si>
  <si>
    <t>https://www.tiktok.com/@iimslma/video/7400436730320456993</t>
  </si>
  <si>
    <t>https://www.tiktok.com/@iimslma/video/7407485284817882401</t>
  </si>
  <si>
    <t>Lancôme Event</t>
  </si>
  <si>
    <t>mercredi 18/09, de 19h à 21h30,</t>
  </si>
  <si>
    <t>Event</t>
  </si>
  <si>
    <t>Lissage mars</t>
  </si>
  <si>
    <t>https://www.tiktok.com/@iimslma/video/7412021525198425376</t>
  </si>
  <si>
    <t>https://www.tiktok.com/@iimslma/video/7408622473912061216</t>
  </si>
  <si>
    <t>https://www.tiktok.com/@iimslma/video/7413780170781347105</t>
  </si>
  <si>
    <t>https://www.tiktok.com/@iimslma/video/7431628369067838753?lang=en</t>
  </si>
  <si>
    <t>NARS</t>
  </si>
  <si>
    <t>https://www.tiktok.com/@iimslma/video/7435745133313805601?_r=1&amp;_t=8rleTqgb0vG</t>
  </si>
  <si>
    <t>https://www.tiktok.com/@iimslma/video/7468747433061944599?lang=en</t>
  </si>
  <si>
    <t>https://www.tiktok.com/@iimslma/video/7468781724462337302?lang=en</t>
  </si>
  <si>
    <t>Mascara</t>
  </si>
  <si>
    <t>https://www.tiktok.com/@iimslma/video/7472835179187424534?lang=en</t>
  </si>
  <si>
    <t>https://www.tiktok.com/@iimslma/video/7481752779980147990?_t=ZN-8ugXSybaIEw&amp;_r=1</t>
  </si>
  <si>
    <t>https://www.tiktok.com/@iimslma/video/7483594182083218710?_r=1&amp;_t=ZN-8uox8rOjAzm</t>
  </si>
  <si>
    <t>IG + TT Cross Post</t>
  </si>
  <si>
    <t>Poremizing Light Gel Cream</t>
  </si>
  <si>
    <t>n'a pas reçu les produits</t>
  </si>
  <si>
    <t>Skincare Routine for Beginners</t>
  </si>
  <si>
    <t>Collagen Glass Skin Mask</t>
  </si>
  <si>
    <t xml:space="preserve">GLOW Project (Hyalu-Cica sun Serum + Probio-cica ampoule) </t>
  </si>
  <si>
    <t>demander ce qu'elle pense du produit</t>
  </si>
  <si>
    <t>Hourglass</t>
  </si>
  <si>
    <t>colis non reçu</t>
  </si>
  <si>
    <t>https://vm.tiktok.com/ZNdrrBuVK/</t>
  </si>
  <si>
    <t>Colis Reçu?</t>
  </si>
  <si>
    <t>Celimax</t>
  </si>
  <si>
    <t>Script Validée Marque</t>
  </si>
  <si>
    <t>Maeva</t>
  </si>
  <si>
    <t>Médiat</t>
  </si>
  <si>
    <t>Cica-Hyal Sun Stick</t>
  </si>
  <si>
    <t>#5 Bean Cleansing Oil + Centella Cleansing Foam routine</t>
  </si>
  <si>
    <t>Centella Clenasing Foam + Centella Toner Pad + Soondy Centella Asiatica Essnece + Bean Cream + Centella Sun Cream Routine</t>
  </si>
  <si>
    <t xml:space="preserve">Tone-Brightening Ampoule </t>
  </si>
  <si>
    <t>1 mois d'utilisation? si elle a bien utiliser le produit? lui rappeler de bien mettre photo avant/après dans l video</t>
  </si>
  <si>
    <t>#6 Soondy Centella Asiatica Essnece, Glacier Waster Hyaluronic Acid Serum, Bean Essence Layering</t>
  </si>
  <si>
    <t>Dexeryl</t>
  </si>
  <si>
    <t>acheter produit Script 18/06 IG + Cross Post Reel + IGs</t>
  </si>
  <si>
    <t>#7 Bean Cream</t>
  </si>
  <si>
    <t>Double cleansing</t>
  </si>
  <si>
    <t>#8 Soybean Milk Serum</t>
  </si>
  <si>
    <t>#9 Cica-Hyal Sun Stick</t>
  </si>
  <si>
    <t>#10 Centella Clenasing Foam + Centella Toner Pad + Soondy Centella Asiatica Essnece + Bean Cream + Centella Sun Cream Routine</t>
  </si>
  <si>
    <t xml:space="preserve">Steam One </t>
  </si>
  <si>
    <t xml:space="preserve">colis recu ? </t>
  </si>
  <si>
    <t xml:space="preserve">Gurbet </t>
  </si>
  <si>
    <t xml:space="preserve">colis recu oui </t>
  </si>
  <si>
    <t>Juliette D</t>
  </si>
  <si>
    <t>Laura F</t>
  </si>
  <si>
    <t xml:space="preserve">colis recu ? oui </t>
  </si>
  <si>
    <t>Talisma</t>
  </si>
  <si>
    <t>Owari</t>
  </si>
  <si>
    <t>No More Beauty</t>
  </si>
  <si>
    <t>EA Pharma</t>
  </si>
  <si>
    <t>IG + Cross post TT</t>
  </si>
  <si>
    <t>Complement juillet</t>
  </si>
  <si>
    <t>Complement aout</t>
  </si>
  <si>
    <t>Mymosa</t>
  </si>
  <si>
    <t>Nuxe</t>
  </si>
  <si>
    <t>Coco &amp; Eve</t>
  </si>
  <si>
    <t>PR</t>
  </si>
  <si>
    <t>Divine Vanille</t>
  </si>
  <si>
    <t>Reel</t>
  </si>
  <si>
    <t>médiat à confirmer  67,50 €</t>
  </si>
  <si>
    <t>Arencia</t>
  </si>
  <si>
    <t>x5</t>
  </si>
  <si>
    <t>x6</t>
  </si>
  <si>
    <t xml:space="preserve">Programmé en septembre </t>
  </si>
  <si>
    <t>Axis Y</t>
  </si>
  <si>
    <t>SUM de Rémunération totale</t>
  </si>
  <si>
    <t>Total pour EA Pharma</t>
  </si>
  <si>
    <t>Total pour H&amp;S</t>
  </si>
  <si>
    <t>Total pour Myriam K Paris</t>
  </si>
  <si>
    <t>Total pour No More Beauty</t>
  </si>
  <si>
    <t>Total pour Owari</t>
  </si>
  <si>
    <t>Total pour Talisma</t>
  </si>
  <si>
    <t>Total général</t>
  </si>
  <si>
    <t>Date vente - Mois</t>
  </si>
  <si>
    <t>SUM de Commission</t>
  </si>
  <si>
    <t>févr.</t>
  </si>
  <si>
    <t>avr.</t>
  </si>
  <si>
    <t>juin</t>
  </si>
  <si>
    <t>juil.</t>
  </si>
  <si>
    <t>août</t>
  </si>
  <si>
    <t>sept.</t>
  </si>
  <si>
    <t>oct.</t>
  </si>
  <si>
    <t>nov.</t>
  </si>
  <si>
    <t>déc.</t>
  </si>
  <si>
    <t>janv.</t>
  </si>
  <si>
    <t>Total pour --</t>
  </si>
  <si>
    <t>Total pour Aïcha</t>
  </si>
  <si>
    <t>Total pour Amanda</t>
  </si>
  <si>
    <t>Total pour Amani</t>
  </si>
  <si>
    <t>Total pour Anaïs</t>
  </si>
  <si>
    <t>Total pour Arwen</t>
  </si>
  <si>
    <t>Total pour Asmae</t>
  </si>
  <si>
    <t>Total pour Camille</t>
  </si>
  <si>
    <t>Total pour Chiara</t>
  </si>
  <si>
    <t>Total pour Chloe</t>
  </si>
  <si>
    <t>Total pour Dounia</t>
  </si>
  <si>
    <t>Total pour Eiliassa</t>
  </si>
  <si>
    <t>Total pour Eloise</t>
  </si>
  <si>
    <t>Total pour Estelle</t>
  </si>
  <si>
    <t>Total pour Fanny</t>
  </si>
  <si>
    <t>Total pour Farah</t>
  </si>
  <si>
    <t>Total pour Flavie</t>
  </si>
  <si>
    <t>Total pour Gurbet</t>
  </si>
  <si>
    <t>Total pour Hidaya</t>
  </si>
  <si>
    <t>Total pour Iman</t>
  </si>
  <si>
    <t>Total pour Imane</t>
  </si>
  <si>
    <t>Total pour Jasmine</t>
  </si>
  <si>
    <t>Total pour Jeanne</t>
  </si>
  <si>
    <t>2600 mono Go</t>
  </si>
  <si>
    <t>Total pour Jessica</t>
  </si>
  <si>
    <t>Total pour Juliane</t>
  </si>
  <si>
    <t>Total pour Juliette</t>
  </si>
  <si>
    <t>Total pour Laura</t>
  </si>
  <si>
    <t>Total pour Laurie</t>
  </si>
  <si>
    <t>Total pour Lilou</t>
  </si>
  <si>
    <t>Total pour Lily</t>
  </si>
  <si>
    <t>Total pour Lily Noël</t>
  </si>
  <si>
    <t>Total pour Lise</t>
  </si>
  <si>
    <t>Total pour Lola</t>
  </si>
  <si>
    <t>Total pour Lola H.</t>
  </si>
  <si>
    <t>Total pour Maeva</t>
  </si>
  <si>
    <t>Total pour Marine</t>
  </si>
  <si>
    <t>Total pour Marlène</t>
  </si>
  <si>
    <t>Total pour Mary</t>
  </si>
  <si>
    <t>Total pour Melissa</t>
  </si>
  <si>
    <t>Total pour Melissa P</t>
  </si>
  <si>
    <t>Total pour Migos Media</t>
  </si>
  <si>
    <t>Total pour Moped</t>
  </si>
  <si>
    <t>Total pour Morgane</t>
  </si>
  <si>
    <t>Total pour Morgane C</t>
  </si>
  <si>
    <t>Total pour Nidal</t>
  </si>
  <si>
    <t>Total pour Orane</t>
  </si>
  <si>
    <t>Total pour Pauline</t>
  </si>
  <si>
    <t>Total pour Perrine</t>
  </si>
  <si>
    <t>Total pour Rachel</t>
  </si>
  <si>
    <t>Total pour Salma</t>
  </si>
  <si>
    <t>Total pour Sarah</t>
  </si>
  <si>
    <t>Total pour Sirine</t>
  </si>
  <si>
    <t>Total pour Sofia</t>
  </si>
  <si>
    <t>RoseSkinCo</t>
  </si>
  <si>
    <t>ILC BEAUTY</t>
  </si>
  <si>
    <t>Luxeol</t>
  </si>
  <si>
    <t>Knowmunity Sarah</t>
  </si>
  <si>
    <t>Curls Matter maeva</t>
  </si>
  <si>
    <t>Ariul Hidaya</t>
  </si>
  <si>
    <t xml:space="preserve">Feel my skIN Gurbet </t>
  </si>
  <si>
    <t>OroSkin Laura</t>
  </si>
  <si>
    <t>retour vacance 3 aout</t>
  </si>
  <si>
    <t>Nocibé Eiliassa</t>
  </si>
  <si>
    <t>Arencia Anaïs</t>
  </si>
  <si>
    <t xml:space="preserve">COSRX </t>
  </si>
  <si>
    <t>retour vacance 4 aout</t>
  </si>
  <si>
    <t>Madame La Présidente</t>
  </si>
  <si>
    <t>AXIS-Y Melissa</t>
  </si>
  <si>
    <t>Sheglam Laur</t>
  </si>
  <si>
    <t>Japhy</t>
  </si>
  <si>
    <t>Monoprix Marine</t>
  </si>
  <si>
    <t>Wandernana Aicha</t>
  </si>
  <si>
    <t>Laifen Amani Orane</t>
  </si>
  <si>
    <t>Mova anais Gurbet et autre</t>
  </si>
  <si>
    <t>Au 31/12/2024 Atteindre</t>
  </si>
  <si>
    <t>Actuel</t>
  </si>
  <si>
    <t>Reste</t>
  </si>
  <si>
    <t>Par mois</t>
  </si>
  <si>
    <t>Mois</t>
  </si>
  <si>
    <t>CA PREV</t>
  </si>
  <si>
    <t>CA REEL</t>
  </si>
  <si>
    <t>Marge</t>
  </si>
  <si>
    <t>Juillet</t>
  </si>
  <si>
    <t>Aout</t>
  </si>
  <si>
    <t>Septembre</t>
  </si>
  <si>
    <t>Octobre</t>
  </si>
  <si>
    <t>Novembre</t>
  </si>
  <si>
    <t>Décembre</t>
  </si>
  <si>
    <t>Total</t>
  </si>
  <si>
    <t>OBJECTIFS</t>
  </si>
  <si>
    <t>Au 31/12/2025 Atteindre</t>
  </si>
  <si>
    <t>CA Prévision</t>
  </si>
  <si>
    <t>Marge Prévision</t>
  </si>
  <si>
    <t>Objectif %</t>
  </si>
  <si>
    <t>Différence</t>
  </si>
  <si>
    <t>%marge</t>
  </si>
  <si>
    <t>Frais</t>
  </si>
  <si>
    <t>- Cout</t>
  </si>
  <si>
    <t>Salaire Brut</t>
  </si>
  <si>
    <t>Net</t>
  </si>
  <si>
    <t>IS</t>
  </si>
  <si>
    <t>Reste Treso Brut</t>
  </si>
  <si>
    <t>FACTURATION</t>
  </si>
  <si>
    <t>SUM de Bénéfice</t>
  </si>
  <si>
    <t>Vente en cours</t>
  </si>
  <si>
    <t>Facture à Envoyer</t>
  </si>
  <si>
    <t>Campagne à finaliser</t>
  </si>
  <si>
    <t>Marge totale</t>
  </si>
  <si>
    <t>Facturé</t>
  </si>
  <si>
    <t>à collecter</t>
  </si>
  <si>
    <t>à factuer</t>
  </si>
  <si>
    <t>Date Création - Année-mois</t>
  </si>
  <si>
    <t>2024-janv.</t>
  </si>
  <si>
    <t>2024-févr.</t>
  </si>
  <si>
    <t>2024-mars</t>
  </si>
  <si>
    <t>2024-avr.</t>
  </si>
  <si>
    <t>2024-mai</t>
  </si>
  <si>
    <t>2024-juin</t>
  </si>
  <si>
    <t>2024-juil.</t>
  </si>
  <si>
    <t>2024-août</t>
  </si>
  <si>
    <t>2024-sept.</t>
  </si>
  <si>
    <t>2024-oct.</t>
  </si>
  <si>
    <t>2024-nov.</t>
  </si>
  <si>
    <t>2024-déc.</t>
  </si>
  <si>
    <t>2025-janv.</t>
  </si>
  <si>
    <t>2025-févr.</t>
  </si>
  <si>
    <t>2025-mars</t>
  </si>
  <si>
    <t>2025-avr.</t>
  </si>
  <si>
    <t>2025-mai</t>
  </si>
  <si>
    <t>2025-juin</t>
  </si>
  <si>
    <t>2025-juil.</t>
  </si>
  <si>
    <t>ID</t>
  </si>
  <si>
    <t>Form Colis</t>
  </si>
  <si>
    <t>c_569af196f9b5e28fc536ca0422e6405e6d4e402300b9504eaa944f45c672daff@group.calendar.google.com</t>
  </si>
  <si>
    <t>alicemauguin.l@gmail.com</t>
  </si>
  <si>
    <t>c_15e3504fd6fde5b88106b6d99934e830e051067bbd4af855bfd432d30fc2f262@group.calendar.google.com</t>
  </si>
  <si>
    <t>cmepls.pro@gmail.com</t>
  </si>
  <si>
    <t>c_6fd5f3c25278bd569c413814d6452fc4f9cb936bb38174e89b1cb54f9ec7c89d@group.calendar.google.com</t>
  </si>
  <si>
    <t>chiara@grapperagency.com</t>
  </si>
  <si>
    <t>c_b412638d97e7dcffa392ccd62e6d5e2eccb052c0c08de7e1e7d547811d81c44c@group.calendar.google.com</t>
  </si>
  <si>
    <t>fgirault3@gmail.com</t>
  </si>
  <si>
    <t>c_007bb5dfd61adc34e7d7f1093213e03f31b2abfb546bee3afc00b412de414680@group.calendar.google.com</t>
  </si>
  <si>
    <t>imlolytahproacc@gmail.com</t>
  </si>
  <si>
    <t>c_f6970d92e9be72b1307e3c015a265d69ae87140c691e7728bc83462544d82455@group.calendar.google.com</t>
  </si>
  <si>
    <t>juliane.bernard57@icloud.com</t>
  </si>
  <si>
    <t>c_d711460494b2c9d7a466bc3cd0cd029a9c5b76b083052f7dc41ad949a3753d20@group.calendar.google.com</t>
  </si>
  <si>
    <t>lauclr.pro@gmail.com</t>
  </si>
  <si>
    <t>c_ef2f5a817a776785477f597bd1081d6a57d8380a8013026b8ce9895920f902e2@group.calendar.google.com</t>
  </si>
  <si>
    <t>Fontanel.lily@gmail.com</t>
  </si>
  <si>
    <t>c_665764ca21c8e4b3814e25bf24bc7074fa55890dce5d4073abb0fdddc70649d4@group.calendar.google.com</t>
  </si>
  <si>
    <r>
      <rPr>
        <rFont val="Arial"/>
        <color rgb="FF000000"/>
      </rPr>
      <t>lilyy.nl</t>
    </r>
    <r>
      <rPr>
        <rFont val="Arial"/>
        <color rgb="FF000000"/>
      </rPr>
      <t>@grapperagency.com</t>
    </r>
  </si>
  <si>
    <t>c_8d6793f7bb6abb58456593287891e1c91528d006316df4ef7bdb59fa0d40b64f@group.calendar.google.com</t>
  </si>
  <si>
    <t xml:space="preserve">liserdg.pro@gmail.com </t>
  </si>
  <si>
    <t>c_8f3f6ef786f2df9238426a478307dbddffb576ace587133cfa65ca553e2f967a@group.calendar.google.com</t>
  </si>
  <si>
    <t>lola140204@gmail.com</t>
  </si>
  <si>
    <t>c_b9aea0629908ddbafe7229688ea55dc9d65b9e6b1a8ed4492c7ca84aa703d076@group.calendar.google.com</t>
  </si>
  <si>
    <t>orane.baron1403@gmail.com</t>
  </si>
  <si>
    <t>c_a715193c206b2aa1e4b81b8a3772df33bf92c92611202a890a6bccecb2131fcb@group.calendar.google.com</t>
  </si>
  <si>
    <t>pauline@grapperagency.com</t>
  </si>
  <si>
    <t>c_3454aaede6db5cd8de24b4c70b8c6f3570b98e436e1f71e91d12b7a673ab3f97@group.calendar.google.com</t>
  </si>
  <si>
    <t>terpperrine@gmail.com</t>
  </si>
  <si>
    <t>c_82544f5a034269c2d78a04494afd80a3940635f25bd2a7f23eb7c2af3d0dd46f@group.calendar.google.com</t>
  </si>
  <si>
    <t>linamokrane75@yahoo.fr</t>
  </si>
  <si>
    <t>c_a80d776e58d8881ef4e876da99555e813842eeed9733f23e6f4b85d237e1fdec@group.calendar.google.com</t>
  </si>
  <si>
    <t>iimslmapro@outlook.fr</t>
  </si>
  <si>
    <t>c_0d9eaa4cfb55a8e552117f53a91a7c3c2f5164632253d0e265f7de4e3a4737c4@group.calendar.google.com</t>
  </si>
  <si>
    <t>ciman530@gmail.com</t>
  </si>
  <si>
    <t>c_d2ee2c2110f1f2bc5b089d0edb8b480581f78d93077274c225fcfc530518b2ca@group.calendar.google.com</t>
  </si>
  <si>
    <t>jeannebayart@gmail.com</t>
  </si>
  <si>
    <t>1F40mnL3JpqXpe0o5qrbDG4GuV9h68eR7gA-3pUAyNHM</t>
  </si>
  <si>
    <t>c_b534e1be73647e660d74cbb308a8c39b0102a8b56261b3886e0967d9ee34f368@group.calendar.google.com</t>
  </si>
  <si>
    <t xml:space="preserve">jasminepro26@icloud.com </t>
  </si>
  <si>
    <t>c_3d8e6f3013c2064d1cf20c38ef5246d33ef6635ebbbd3c9abb7c506fa9eefde3@group.calendar.google.com</t>
  </si>
  <si>
    <t xml:space="preserve">marylinezh@gmail.com </t>
  </si>
  <si>
    <t>c_2754856c5047affc6767bb85fb787591389bf7d14d3afd368efdff9979492ab5@group.calendar.google.com</t>
  </si>
  <si>
    <t>anaiswry@yahoo.fr</t>
  </si>
  <si>
    <t>c_9384058245a0bc66157c09691047ea8f88622323c6761b8606c18d9b08ee0bf8@group.calendar.google.com</t>
  </si>
  <si>
    <t>shaaadl.pro@gmail.com</t>
  </si>
  <si>
    <t>c_df86b3d6c5aa83af7e7dadc1108907ecb89d8fc7e4b645a62e375b31e7b5e3a3@group.calendar.google.com</t>
  </si>
  <si>
    <t>arwen.mechineau@outlook.fr</t>
  </si>
  <si>
    <t>c_14943542450de5ffc0c20a93db15c7c0757a89aaa373292182138a3a691be245@group.calendar.google.com</t>
  </si>
  <si>
    <t>truttirachel@gmail.com</t>
  </si>
  <si>
    <t>c_2208b8e561439ebc2637feb15fe2d308d5719cc64460071de6ba0c674eba6118@group.calendar.google.com</t>
  </si>
  <si>
    <t>Douns.collab@gmail.com</t>
  </si>
  <si>
    <t>c_82243c858a94977b161cc883035793aa376a03b467dcc33d001d9ca49835cdb3@group.calendar.google.com</t>
  </si>
  <si>
    <t>moped@grapperagency.com</t>
  </si>
  <si>
    <t>c_db1fbd259183311b30d5bfa9e5494d85e4aa71562c2d699763ba11e15f3e8a3b@group.calendar.google.com</t>
  </si>
  <si>
    <t xml:space="preserve">hello.gurbet@gmail.com </t>
  </si>
  <si>
    <t>c_056be6e79a6fa62e8f2a68280313995615b47a17f2b3679481d262413ec95701@group.calendar.google.com</t>
  </si>
  <si>
    <t xml:space="preserve">hidaya.7bl@gmail.com </t>
  </si>
  <si>
    <t>c_2ab5bc877123c6d06b681700306d382bcc765d7810badc543daeacf05260ecd9@group.calendar.google.com</t>
  </si>
  <si>
    <t xml:space="preserve">Lyassa.ospro@gmail.com </t>
  </si>
  <si>
    <t>c_4bf2087a99450838a520f4ce4fc6de01f87130a4f381347449792eaf1546cc46@group.calendar.google.com</t>
  </si>
  <si>
    <t>Sirine.yza@gmail.com</t>
  </si>
  <si>
    <t>c_35f3aada7c9c0ba626ac56e6cf10c5959c56663450ffd058a5bdc005508d0954@group.calendar.google.com</t>
  </si>
  <si>
    <t xml:space="preserve">asmae-nemar@hotmail.fr </t>
  </si>
  <si>
    <t>c_63ea68c9b2bd76e0f3279abf94d6d8255c36c6dc090b9a1df4d31db84c3a049c@group.calendar.google.com</t>
  </si>
  <si>
    <t xml:space="preserve">aubeneauu@gmail.com </t>
  </si>
  <si>
    <t>c_ebde6df3eb6b0899fbe6696247d2e4255b950c6e1d491bbce480648f603c2f22@group.calendar.google.com</t>
  </si>
  <si>
    <t xml:space="preserve">contact.amandambt@gmail.com </t>
  </si>
  <si>
    <t>c_0fe46f911aa7c417189a62fdd8716ddaaef232a02bd45c49b9c02c6d6e2e4815@group.calendar.google.com</t>
  </si>
  <si>
    <t>amani.mee10@gmail.com</t>
  </si>
  <si>
    <t>c_3049f29ec7ef21ab890fb708cade8a20fa94574faa4b9a9f528d8a665fbc6262@group.calendar.google.com</t>
  </si>
  <si>
    <t xml:space="preserve">nidal.daghmi.pro@gmail.com </t>
  </si>
  <si>
    <t>c_311aaffc8651807276a982d2e3621559621998746b9adad33a9304b73b24dbd9@group.calendar.google.com</t>
  </si>
  <si>
    <t>farahdisiaque@gmail.com</t>
  </si>
  <si>
    <t>c_c2a91e309d1b6dc37cabc837fe79ebdcdbabcaff13a6376ec109ab3d73862812@group.calendar.google.com</t>
  </si>
  <si>
    <t>stzmarine6@gmail.com</t>
  </si>
  <si>
    <t>c_68f94d9ebfae6399f09ec01b19d2012d5d2b7c5efbd47328c79c373cbeec7a5b@group.calendar.google.com</t>
  </si>
  <si>
    <t xml:space="preserve">lovelyMytb@gmail.com </t>
  </si>
  <si>
    <t>COUNTA de Talent</t>
  </si>
</sst>
</file>

<file path=xl/styles.xml><?xml version="1.0" encoding="utf-8"?>
<styleSheet xmlns="http://schemas.openxmlformats.org/spreadsheetml/2006/main" xmlns:x14ac="http://schemas.microsoft.com/office/spreadsheetml/2009/9/ac" xmlns:mc="http://schemas.openxmlformats.org/markup-compatibility/2006">
  <numFmts count="14">
    <numFmt numFmtId="164" formatCode="dd/mm/yyyy"/>
    <numFmt numFmtId="165" formatCode="dd/MM/yyyy"/>
    <numFmt numFmtId="166" formatCode="#,##0&quot;€&quot;"/>
    <numFmt numFmtId="167" formatCode="#,##0.00\ [$€-1]"/>
    <numFmt numFmtId="168" formatCode="#,##0.0&quot;€&quot;"/>
    <numFmt numFmtId="169" formatCode="#,##0\ [$€-1]"/>
    <numFmt numFmtId="170" formatCode="#,##0.00&quot;€&quot;"/>
    <numFmt numFmtId="171" formatCode="&quot;-&quot;mm&quot;-&quot;yyyy"/>
    <numFmt numFmtId="172" formatCode="d/m/yyyy"/>
    <numFmt numFmtId="173" formatCode="mm/yyyy"/>
    <numFmt numFmtId="174" formatCode="dd/mm"/>
    <numFmt numFmtId="175" formatCode="m/d/yyyy h:mm:ss"/>
    <numFmt numFmtId="176" formatCode="_(* #,##0.00_)\ [$€-1]_);\(#,##0.00\)\ [$€-1]_);_(* &quot;-&quot;??_)\ [$€-1]_);_(@"/>
    <numFmt numFmtId="177" formatCode="#,##0.0\ [$€-1]"/>
  </numFmts>
  <fonts count="45">
    <font>
      <sz val="10.0"/>
      <color rgb="FF000000"/>
      <name val="Arial"/>
      <scheme val="minor"/>
    </font>
    <font>
      <b/>
      <color rgb="FFFFFFFF"/>
      <name val="Arial"/>
    </font>
    <font>
      <b/>
      <color rgb="FFFF0000"/>
      <name val="Arial"/>
    </font>
    <font>
      <color theme="1"/>
      <name val="Arial"/>
    </font>
    <font>
      <color theme="1"/>
      <name val="Arial"/>
      <scheme val="minor"/>
    </font>
    <font>
      <u/>
      <color rgb="FF1155CC"/>
      <name val="Arial"/>
    </font>
    <font>
      <color rgb="FFFF0000"/>
      <name val="Arial"/>
      <scheme val="minor"/>
    </font>
    <font>
      <strike/>
      <color theme="1"/>
      <name val="Arial"/>
      <scheme val="minor"/>
    </font>
    <font>
      <u/>
      <color rgb="FF0000FF"/>
    </font>
    <font>
      <u/>
      <color rgb="FF0000FF"/>
    </font>
    <font>
      <u/>
      <color rgb="FF0000FF"/>
    </font>
    <font>
      <u/>
      <color rgb="FF0000FF"/>
      <name val="Arial"/>
    </font>
    <font>
      <u/>
      <color theme="1"/>
      <name val="Arial"/>
    </font>
    <font>
      <color rgb="FF222222"/>
      <name val="Arial"/>
    </font>
    <font>
      <color rgb="FF1F1F1F"/>
      <name val="&quot;Google Sans&quot;"/>
    </font>
    <font>
      <sz val="0.0"/>
      <color rgb="FF222222"/>
      <name val="&quot;Google Sans&quot;"/>
    </font>
    <font>
      <sz val="11.0"/>
      <color rgb="FF000000"/>
      <name val="微软雅黑"/>
    </font>
    <font>
      <u/>
      <color rgb="FF0000FF"/>
      <name val="Arial"/>
    </font>
    <font>
      <color rgb="FF222222"/>
      <name val="&quot;Helvetica Neue&quot;"/>
    </font>
    <font>
      <u/>
      <color rgb="FF0000FF"/>
    </font>
    <font>
      <u/>
      <color rgb="FF0000FF"/>
    </font>
    <font>
      <u/>
      <sz val="8.0"/>
      <color rgb="FF000000"/>
      <name val="&quot;Helvetica Neue&quot;"/>
    </font>
    <font>
      <color rgb="FF000000"/>
      <name val="Arial"/>
    </font>
    <font>
      <color theme="1"/>
      <name val="Helvetica Neue"/>
    </font>
    <font>
      <u/>
      <color rgb="FF0000FF"/>
      <name val="Arial"/>
    </font>
    <font>
      <u/>
      <color rgb="FFDCA10D"/>
      <name val="&quot;Helvetica Neue&quot;"/>
    </font>
    <font>
      <u/>
      <sz val="8.0"/>
      <color rgb="FF000000"/>
      <name val="&quot;Helvetica Neue&quot;"/>
    </font>
    <font>
      <sz val="8.0"/>
      <color rgb="FF000000"/>
      <name val="&quot;Helvetica Neue&quot;"/>
    </font>
    <font>
      <u/>
      <color rgb="FF0000FF"/>
      <name val="&quot;Helvetica Neue&quot;"/>
    </font>
    <font>
      <u/>
      <color rgb="FF0000FF"/>
      <name val="Arial"/>
    </font>
    <font>
      <u/>
      <sz val="8.0"/>
      <color rgb="FF0000FF"/>
      <name val="&quot;Helvetica Neue&quot;"/>
    </font>
    <font>
      <sz val="10.0"/>
      <color rgb="FF000000"/>
      <name val="Arial"/>
    </font>
    <font>
      <u/>
      <color rgb="FF1155CC"/>
      <name val="Arial"/>
    </font>
    <font>
      <u/>
      <color rgb="FF000000"/>
      <name val="Arial"/>
    </font>
    <font>
      <u/>
      <sz val="8.0"/>
      <color rgb="FF000000"/>
      <name val="&quot;Helvetica Neue&quot;"/>
    </font>
    <font>
      <b/>
      <color theme="1"/>
      <name val="Arial"/>
      <scheme val="minor"/>
    </font>
    <font>
      <b/>
      <color rgb="FF000000"/>
      <name val="Arial"/>
    </font>
    <font>
      <b/>
      <color rgb="FFFFFFFF"/>
      <name val="Arial"/>
      <scheme val="minor"/>
    </font>
    <font>
      <color rgb="FF000000"/>
      <name val="Arial"/>
      <scheme val="minor"/>
    </font>
    <font>
      <color theme="7"/>
      <name val="Arial"/>
      <scheme val="minor"/>
    </font>
    <font>
      <color rgb="FF34A853"/>
      <name val="Arial"/>
      <scheme val="minor"/>
    </font>
    <font>
      <b/>
      <sz val="10.0"/>
      <color theme="1"/>
      <name val="Arial"/>
      <scheme val="minor"/>
    </font>
    <font>
      <b/>
      <sz val="11.0"/>
      <color theme="1"/>
      <name val="Arial"/>
      <scheme val="minor"/>
    </font>
    <font>
      <sz val="11.0"/>
      <color theme="1"/>
      <name val="Arial"/>
      <scheme val="minor"/>
    </font>
    <font>
      <sz val="9.0"/>
      <color rgb="FF000000"/>
      <name val="&quot;Google Sans Mono&quot;"/>
    </font>
  </fonts>
  <fills count="42">
    <fill>
      <patternFill patternType="none"/>
    </fill>
    <fill>
      <patternFill patternType="lightGray"/>
    </fill>
    <fill>
      <patternFill patternType="solid">
        <fgColor rgb="FF34A853"/>
        <bgColor rgb="FF34A853"/>
      </patternFill>
    </fill>
    <fill>
      <patternFill patternType="solid">
        <fgColor rgb="FFFF0000"/>
        <bgColor rgb="FFFF0000"/>
      </patternFill>
    </fill>
    <fill>
      <patternFill patternType="solid">
        <fgColor rgb="FFFFFF00"/>
        <bgColor rgb="FFFFFF00"/>
      </patternFill>
    </fill>
    <fill>
      <patternFill patternType="solid">
        <fgColor rgb="FFFF9900"/>
        <bgColor rgb="FFFF9900"/>
      </patternFill>
    </fill>
    <fill>
      <patternFill patternType="solid">
        <fgColor rgb="FFFF5733"/>
        <bgColor rgb="FFFF5733"/>
      </patternFill>
    </fill>
    <fill>
      <patternFill patternType="solid">
        <fgColor rgb="FF33FF57"/>
        <bgColor rgb="FF33FF57"/>
      </patternFill>
    </fill>
    <fill>
      <patternFill patternType="solid">
        <fgColor rgb="FF3357FF"/>
        <bgColor rgb="FF3357FF"/>
      </patternFill>
    </fill>
    <fill>
      <patternFill patternType="solid">
        <fgColor rgb="FFFF33A8"/>
        <bgColor rgb="FFFF33A8"/>
      </patternFill>
    </fill>
    <fill>
      <patternFill patternType="solid">
        <fgColor rgb="FF33FFF6"/>
        <bgColor rgb="FF33FFF6"/>
      </patternFill>
    </fill>
    <fill>
      <patternFill patternType="solid">
        <fgColor rgb="FFFFDA33"/>
        <bgColor rgb="FFFFDA33"/>
      </patternFill>
    </fill>
    <fill>
      <patternFill patternType="solid">
        <fgColor rgb="FFB833FF"/>
        <bgColor rgb="FFB833FF"/>
      </patternFill>
    </fill>
    <fill>
      <patternFill patternType="solid">
        <fgColor rgb="FFFF8333"/>
        <bgColor rgb="FFFF8333"/>
      </patternFill>
    </fill>
    <fill>
      <patternFill patternType="solid">
        <fgColor rgb="FF33FF83"/>
        <bgColor rgb="FF33FF83"/>
      </patternFill>
    </fill>
    <fill>
      <patternFill patternType="solid">
        <fgColor rgb="FF3383FF"/>
        <bgColor rgb="FF3383FF"/>
      </patternFill>
    </fill>
    <fill>
      <patternFill patternType="solid">
        <fgColor rgb="FFFF3380"/>
        <bgColor rgb="FFFF3380"/>
      </patternFill>
    </fill>
    <fill>
      <patternFill patternType="solid">
        <fgColor rgb="FF33FFC3"/>
        <bgColor rgb="FF33FFC3"/>
      </patternFill>
    </fill>
    <fill>
      <patternFill patternType="solid">
        <fgColor rgb="FFFFC333"/>
        <bgColor rgb="FFFFC333"/>
      </patternFill>
    </fill>
    <fill>
      <patternFill patternType="solid">
        <fgColor rgb="FF8E44AD"/>
        <bgColor rgb="FF8E44AD"/>
      </patternFill>
    </fill>
    <fill>
      <patternFill patternType="solid">
        <fgColor rgb="FFF39C12"/>
        <bgColor rgb="FFF39C12"/>
      </patternFill>
    </fill>
    <fill>
      <patternFill patternType="solid">
        <fgColor rgb="FF3498DB"/>
        <bgColor rgb="FF3498DB"/>
      </patternFill>
    </fill>
    <fill>
      <patternFill patternType="solid">
        <fgColor rgb="FFE74C3C"/>
        <bgColor rgb="FFE74C3C"/>
      </patternFill>
    </fill>
    <fill>
      <patternFill patternType="solid">
        <fgColor rgb="FF1ABC9C"/>
        <bgColor rgb="FF1ABC9C"/>
      </patternFill>
    </fill>
    <fill>
      <patternFill patternType="solid">
        <fgColor rgb="FF9B59B6"/>
        <bgColor rgb="FF9B59B6"/>
      </patternFill>
    </fill>
    <fill>
      <patternFill patternType="solid">
        <fgColor rgb="FFD35400"/>
        <bgColor rgb="FFD35400"/>
      </patternFill>
    </fill>
    <fill>
      <patternFill patternType="solid">
        <fgColor rgb="FF2ECC71"/>
        <bgColor rgb="FF2ECC71"/>
      </patternFill>
    </fill>
    <fill>
      <patternFill patternType="solid">
        <fgColor rgb="FFC0392B"/>
        <bgColor rgb="FFC0392B"/>
      </patternFill>
    </fill>
    <fill>
      <patternFill patternType="solid">
        <fgColor rgb="FF2980B9"/>
        <bgColor rgb="FF2980B9"/>
      </patternFill>
    </fill>
    <fill>
      <patternFill patternType="solid">
        <fgColor rgb="FFFFFFFF"/>
        <bgColor rgb="FFFFFFFF"/>
      </patternFill>
    </fill>
    <fill>
      <patternFill patternType="solid">
        <fgColor rgb="FF27AE60"/>
        <bgColor rgb="FF27AE60"/>
      </patternFill>
    </fill>
    <fill>
      <patternFill patternType="solid">
        <fgColor rgb="FFE67E22"/>
        <bgColor rgb="FFE67E22"/>
      </patternFill>
    </fill>
    <fill>
      <patternFill patternType="solid">
        <fgColor rgb="FFF1C40F"/>
        <bgColor rgb="FFF1C40F"/>
      </patternFill>
    </fill>
    <fill>
      <patternFill patternType="solid">
        <fgColor rgb="FFECF0F1"/>
        <bgColor rgb="FFECF0F1"/>
      </patternFill>
    </fill>
    <fill>
      <patternFill patternType="solid">
        <fgColor rgb="FF95A5A6"/>
        <bgColor rgb="FF95A5A6"/>
      </patternFill>
    </fill>
    <fill>
      <patternFill patternType="solid">
        <fgColor rgb="FF34495E"/>
        <bgColor rgb="FF34495E"/>
      </patternFill>
    </fill>
    <fill>
      <patternFill patternType="solid">
        <fgColor rgb="FFF8F9FA"/>
        <bgColor rgb="FFF8F9FA"/>
      </patternFill>
    </fill>
    <fill>
      <patternFill patternType="solid">
        <fgColor rgb="FF16A085"/>
        <bgColor rgb="FF16A085"/>
      </patternFill>
    </fill>
    <fill>
      <patternFill patternType="solid">
        <fgColor rgb="FF00FF00"/>
        <bgColor rgb="FF00FF00"/>
      </patternFill>
    </fill>
    <fill>
      <patternFill patternType="solid">
        <fgColor rgb="FFFFF2CC"/>
        <bgColor rgb="FFFFF2CC"/>
      </patternFill>
    </fill>
    <fill>
      <patternFill patternType="solid">
        <fgColor rgb="FFFFE599"/>
        <bgColor rgb="FFFFE599"/>
      </patternFill>
    </fill>
    <fill>
      <patternFill patternType="solid">
        <fgColor rgb="FFFFD966"/>
        <bgColor rgb="FFFFD966"/>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60">
    <xf borderId="0" fillId="0" fontId="0" numFmtId="0" xfId="0" applyAlignment="1" applyFont="1">
      <alignment readingOrder="0" shrinkToFit="0" vertical="bottom" wrapText="0"/>
    </xf>
    <xf borderId="0" fillId="2" fontId="1" numFmtId="0" xfId="0" applyAlignment="1" applyFill="1" applyFont="1">
      <alignment horizontal="center" shrinkToFit="0" vertical="center" wrapText="1"/>
    </xf>
    <xf borderId="0" fillId="2" fontId="1" numFmtId="0" xfId="0" applyAlignment="1" applyFont="1">
      <alignment horizontal="center" readingOrder="0" shrinkToFit="0" vertical="center" wrapText="1"/>
    </xf>
    <xf borderId="0" fillId="3" fontId="1" numFmtId="0" xfId="0" applyAlignment="1" applyFill="1" applyFont="1">
      <alignment horizontal="center" shrinkToFit="0" vertical="center" wrapText="1"/>
    </xf>
    <xf borderId="0" fillId="3" fontId="1" numFmtId="0" xfId="0" applyAlignment="1" applyFont="1">
      <alignment horizontal="center" readingOrder="0" shrinkToFit="0" vertical="center" wrapText="1"/>
    </xf>
    <xf borderId="0" fillId="4" fontId="2" numFmtId="0" xfId="0" applyAlignment="1" applyFill="1" applyFont="1">
      <alignment horizontal="center" readingOrder="0" shrinkToFit="0" vertical="center" wrapText="1"/>
    </xf>
    <xf borderId="0" fillId="5" fontId="1" numFmtId="0" xfId="0" applyAlignment="1" applyFill="1" applyFont="1">
      <alignment horizontal="center" readingOrder="0" shrinkToFit="0" vertical="center" wrapText="1"/>
    </xf>
    <xf borderId="0" fillId="0" fontId="3" numFmtId="0" xfId="0" applyAlignment="1" applyFont="1">
      <alignment vertical="bottom"/>
    </xf>
    <xf borderId="0" fillId="0" fontId="3" numFmtId="164" xfId="0" applyAlignment="1" applyFont="1" applyNumberFormat="1">
      <alignment readingOrder="0" vertical="bottom"/>
    </xf>
    <xf borderId="0" fillId="0" fontId="4" numFmtId="3" xfId="0" applyFont="1" applyNumberFormat="1"/>
    <xf borderId="0" fillId="0" fontId="3" numFmtId="0" xfId="0" applyAlignment="1" applyFont="1">
      <alignment readingOrder="0" vertical="bottom"/>
    </xf>
    <xf borderId="0" fillId="0" fontId="3" numFmtId="164" xfId="0" applyAlignment="1" applyFont="1" applyNumberFormat="1">
      <alignment horizontal="right" vertical="bottom"/>
    </xf>
    <xf borderId="0" fillId="0" fontId="3" numFmtId="165" xfId="0" applyAlignment="1" applyFont="1" applyNumberFormat="1">
      <alignment horizontal="right" vertical="bottom"/>
    </xf>
    <xf borderId="0" fillId="0" fontId="3" numFmtId="165" xfId="0" applyAlignment="1" applyFont="1" applyNumberFormat="1">
      <alignment vertical="bottom"/>
    </xf>
    <xf borderId="0" fillId="0" fontId="3" numFmtId="166" xfId="0" applyAlignment="1" applyFont="1" applyNumberFormat="1">
      <alignment vertical="bottom"/>
    </xf>
    <xf borderId="0" fillId="0" fontId="3" numFmtId="166" xfId="0" applyAlignment="1" applyFont="1" applyNumberFormat="1">
      <alignment horizontal="right" vertical="bottom"/>
    </xf>
    <xf borderId="0" fillId="0" fontId="4" numFmtId="0" xfId="0" applyAlignment="1" applyFont="1">
      <alignment readingOrder="0"/>
    </xf>
    <xf borderId="0" fillId="0" fontId="4" numFmtId="164" xfId="0" applyAlignment="1" applyFont="1" applyNumberFormat="1">
      <alignment readingOrder="0"/>
    </xf>
    <xf borderId="0" fillId="0" fontId="4" numFmtId="166" xfId="0" applyFont="1" applyNumberFormat="1"/>
    <xf borderId="0" fillId="0" fontId="4" numFmtId="4" xfId="0" applyAlignment="1" applyFont="1" applyNumberFormat="1">
      <alignment readingOrder="0"/>
    </xf>
    <xf borderId="0" fillId="0" fontId="4" numFmtId="4" xfId="0" applyFont="1" applyNumberFormat="1"/>
    <xf borderId="0" fillId="6" fontId="3" numFmtId="164" xfId="0" applyAlignment="1" applyFill="1" applyFont="1" applyNumberFormat="1">
      <alignment horizontal="right" vertical="bottom"/>
    </xf>
    <xf borderId="0" fillId="7" fontId="3" numFmtId="165" xfId="0" applyAlignment="1" applyFill="1" applyFont="1" applyNumberFormat="1">
      <alignment horizontal="right" vertical="bottom"/>
    </xf>
    <xf borderId="0" fillId="0" fontId="3" numFmtId="0" xfId="0" applyAlignment="1" applyFont="1">
      <alignment vertical="bottom"/>
    </xf>
    <xf borderId="0" fillId="8" fontId="3" numFmtId="164" xfId="0" applyAlignment="1" applyFill="1" applyFont="1" applyNumberFormat="1">
      <alignment horizontal="right" vertical="bottom"/>
    </xf>
    <xf borderId="0" fillId="9" fontId="3" numFmtId="164" xfId="0" applyAlignment="1" applyFill="1" applyFont="1" applyNumberFormat="1">
      <alignment horizontal="right" vertical="bottom"/>
    </xf>
    <xf borderId="0" fillId="0" fontId="3" numFmtId="164" xfId="0" applyAlignment="1" applyFont="1" applyNumberFormat="1">
      <alignment vertical="bottom"/>
    </xf>
    <xf borderId="0" fillId="0" fontId="5" numFmtId="0" xfId="0" applyAlignment="1" applyFont="1">
      <alignment vertical="bottom"/>
    </xf>
    <xf borderId="0" fillId="10" fontId="4" numFmtId="164" xfId="0" applyAlignment="1" applyFill="1" applyFont="1" applyNumberFormat="1">
      <alignment readingOrder="0"/>
    </xf>
    <xf borderId="0" fillId="0" fontId="4" numFmtId="0" xfId="0" applyFont="1"/>
    <xf borderId="0" fillId="11" fontId="4" numFmtId="164" xfId="0" applyAlignment="1" applyFill="1" applyFont="1" applyNumberFormat="1">
      <alignment readingOrder="0"/>
    </xf>
    <xf borderId="0" fillId="0" fontId="4" numFmtId="166" xfId="0" applyAlignment="1" applyFont="1" applyNumberFormat="1">
      <alignment readingOrder="0"/>
    </xf>
    <xf borderId="0" fillId="0" fontId="4" numFmtId="164" xfId="0" applyFont="1" applyNumberFormat="1"/>
    <xf borderId="0" fillId="12" fontId="4" numFmtId="164" xfId="0" applyAlignment="1" applyFill="1" applyFont="1" applyNumberFormat="1">
      <alignment readingOrder="0"/>
    </xf>
    <xf borderId="0" fillId="0" fontId="4" numFmtId="167" xfId="0" applyAlignment="1" applyFont="1" applyNumberFormat="1">
      <alignment readingOrder="0"/>
    </xf>
    <xf borderId="0" fillId="13" fontId="4" numFmtId="164" xfId="0" applyAlignment="1" applyFill="1" applyFont="1" applyNumberFormat="1">
      <alignment readingOrder="0"/>
    </xf>
    <xf borderId="0" fillId="14" fontId="4" numFmtId="164" xfId="0" applyAlignment="1" applyFill="1" applyFont="1" applyNumberFormat="1">
      <alignment readingOrder="0"/>
    </xf>
    <xf borderId="0" fillId="0" fontId="6" numFmtId="0" xfId="0" applyAlignment="1" applyFont="1">
      <alignment readingOrder="0"/>
    </xf>
    <xf borderId="0" fillId="15" fontId="4" numFmtId="164" xfId="0" applyAlignment="1" applyFill="1" applyFont="1" applyNumberFormat="1">
      <alignment readingOrder="0"/>
    </xf>
    <xf borderId="0" fillId="0" fontId="4" numFmtId="168" xfId="0" applyAlignment="1" applyFont="1" applyNumberFormat="1">
      <alignment readingOrder="0"/>
    </xf>
    <xf borderId="0" fillId="0" fontId="4" numFmtId="168" xfId="0" applyFont="1" applyNumberFormat="1"/>
    <xf borderId="0" fillId="0" fontId="4" numFmtId="169" xfId="0" applyAlignment="1" applyFont="1" applyNumberFormat="1">
      <alignment readingOrder="0"/>
    </xf>
    <xf borderId="0" fillId="0" fontId="4" numFmtId="169" xfId="0" applyFont="1" applyNumberFormat="1"/>
    <xf borderId="0" fillId="16" fontId="4" numFmtId="164" xfId="0" applyAlignment="1" applyFill="1" applyFont="1" applyNumberFormat="1">
      <alignment readingOrder="0"/>
    </xf>
    <xf borderId="0" fillId="17" fontId="4" numFmtId="164" xfId="0" applyAlignment="1" applyFill="1" applyFont="1" applyNumberFormat="1">
      <alignment readingOrder="0"/>
    </xf>
    <xf borderId="0" fillId="17" fontId="7" numFmtId="164" xfId="0" applyAlignment="1" applyFont="1" applyNumberFormat="1">
      <alignment readingOrder="0"/>
    </xf>
    <xf borderId="0" fillId="0" fontId="7" numFmtId="0" xfId="0" applyFont="1"/>
    <xf borderId="0" fillId="18" fontId="7" numFmtId="164" xfId="0" applyAlignment="1" applyFill="1" applyFont="1" applyNumberFormat="1">
      <alignment readingOrder="0"/>
    </xf>
    <xf borderId="0" fillId="18" fontId="4" numFmtId="164" xfId="0" applyAlignment="1" applyFont="1" applyNumberFormat="1">
      <alignment readingOrder="0"/>
    </xf>
    <xf borderId="0" fillId="19" fontId="3" numFmtId="164" xfId="0" applyAlignment="1" applyFill="1" applyFont="1" applyNumberFormat="1">
      <alignment readingOrder="0" vertical="bottom"/>
    </xf>
    <xf borderId="0" fillId="20" fontId="3" numFmtId="164" xfId="0" applyAlignment="1" applyFill="1" applyFont="1" applyNumberFormat="1">
      <alignment readingOrder="0" vertical="bottom"/>
    </xf>
    <xf borderId="0" fillId="0" fontId="3" numFmtId="167" xfId="0" applyAlignment="1" applyFont="1" applyNumberFormat="1">
      <alignment horizontal="right" vertical="bottom"/>
    </xf>
    <xf borderId="0" fillId="19" fontId="4" numFmtId="164" xfId="0" applyAlignment="1" applyFont="1" applyNumberFormat="1">
      <alignment readingOrder="0"/>
    </xf>
    <xf borderId="0" fillId="20" fontId="4" numFmtId="164" xfId="0" applyAlignment="1" applyFont="1" applyNumberFormat="1">
      <alignment readingOrder="0"/>
    </xf>
    <xf borderId="0" fillId="0" fontId="3" numFmtId="164" xfId="0" applyAlignment="1" applyFont="1" applyNumberFormat="1">
      <alignment horizontal="right" readingOrder="0" vertical="bottom"/>
    </xf>
    <xf borderId="0" fillId="0" fontId="8" numFmtId="0" xfId="0" applyAlignment="1" applyFont="1">
      <alignment readingOrder="0"/>
    </xf>
    <xf borderId="0" fillId="0" fontId="9" numFmtId="0" xfId="0" applyFont="1"/>
    <xf borderId="0" fillId="20" fontId="4" numFmtId="165" xfId="0" applyAlignment="1" applyFont="1" applyNumberFormat="1">
      <alignment readingOrder="0"/>
    </xf>
    <xf borderId="0" fillId="21" fontId="4" numFmtId="164" xfId="0" applyAlignment="1" applyFill="1" applyFont="1" applyNumberFormat="1">
      <alignment readingOrder="0"/>
    </xf>
    <xf borderId="0" fillId="0" fontId="4" numFmtId="170" xfId="0" applyAlignment="1" applyFont="1" applyNumberFormat="1">
      <alignment readingOrder="0"/>
    </xf>
    <xf borderId="0" fillId="0" fontId="4" numFmtId="170" xfId="0" applyFont="1" applyNumberFormat="1"/>
    <xf borderId="0" fillId="22" fontId="4" numFmtId="164" xfId="0" applyAlignment="1" applyFill="1" applyFont="1" applyNumberFormat="1">
      <alignment readingOrder="0"/>
    </xf>
    <xf borderId="0" fillId="21" fontId="4" numFmtId="165" xfId="0" applyAlignment="1" applyFont="1" applyNumberFormat="1">
      <alignment readingOrder="0"/>
    </xf>
    <xf borderId="0" fillId="21" fontId="3" numFmtId="164" xfId="0" applyAlignment="1" applyFont="1" applyNumberFormat="1">
      <alignment readingOrder="0" vertical="bottom"/>
    </xf>
    <xf borderId="0" fillId="23" fontId="4" numFmtId="164" xfId="0" applyAlignment="1" applyFill="1" applyFont="1" applyNumberFormat="1">
      <alignment readingOrder="0"/>
    </xf>
    <xf borderId="0" fillId="0" fontId="10" numFmtId="0" xfId="0" applyAlignment="1" applyFont="1">
      <alignment readingOrder="0"/>
    </xf>
    <xf borderId="0" fillId="24" fontId="4" numFmtId="164" xfId="0" applyAlignment="1" applyFill="1" applyFont="1" applyNumberFormat="1">
      <alignment readingOrder="0"/>
    </xf>
    <xf borderId="0" fillId="25" fontId="4" numFmtId="164" xfId="0" applyAlignment="1" applyFill="1" applyFont="1" applyNumberFormat="1">
      <alignment readingOrder="0"/>
    </xf>
    <xf borderId="0" fillId="0" fontId="3" numFmtId="4" xfId="0" applyAlignment="1" applyFont="1" applyNumberFormat="1">
      <alignment vertical="bottom"/>
    </xf>
    <xf borderId="0" fillId="0" fontId="3" numFmtId="4" xfId="0" applyAlignment="1" applyFont="1" applyNumberFormat="1">
      <alignment horizontal="center" readingOrder="0"/>
    </xf>
    <xf borderId="0" fillId="0" fontId="3" numFmtId="4" xfId="0" applyAlignment="1" applyFont="1" applyNumberFormat="1">
      <alignment readingOrder="0" vertical="bottom"/>
    </xf>
    <xf borderId="0" fillId="0" fontId="3" numFmtId="4" xfId="0" applyAlignment="1" applyFont="1" applyNumberFormat="1">
      <alignment horizontal="center"/>
    </xf>
    <xf borderId="0" fillId="26" fontId="4" numFmtId="164" xfId="0" applyAlignment="1" applyFill="1" applyFont="1" applyNumberFormat="1">
      <alignment readingOrder="0"/>
    </xf>
    <xf borderId="0" fillId="27" fontId="4" numFmtId="164" xfId="0" applyAlignment="1" applyFill="1" applyFont="1" applyNumberFormat="1">
      <alignment readingOrder="0"/>
    </xf>
    <xf borderId="0" fillId="0" fontId="4" numFmtId="171" xfId="0" applyFont="1" applyNumberFormat="1"/>
    <xf borderId="0" fillId="0" fontId="3" numFmtId="170" xfId="0" applyAlignment="1" applyFont="1" applyNumberFormat="1">
      <alignment horizontal="right" vertical="bottom"/>
    </xf>
    <xf borderId="0" fillId="4" fontId="4" numFmtId="166" xfId="0" applyFont="1" applyNumberFormat="1"/>
    <xf borderId="0" fillId="0" fontId="3" numFmtId="4" xfId="0" applyAlignment="1" applyFont="1" applyNumberFormat="1">
      <alignment horizontal="center" readingOrder="0" vertical="bottom"/>
    </xf>
    <xf borderId="0" fillId="0" fontId="3" numFmtId="4" xfId="0" applyAlignment="1" applyFont="1" applyNumberFormat="1">
      <alignment horizontal="center" vertical="bottom"/>
    </xf>
    <xf borderId="0" fillId="0" fontId="11" numFmtId="170" xfId="0" applyAlignment="1" applyFont="1" applyNumberFormat="1">
      <alignment horizontal="right" readingOrder="0" vertical="bottom"/>
    </xf>
    <xf quotePrefix="1" borderId="0" fillId="0" fontId="4" numFmtId="0" xfId="0" applyAlignment="1" applyFont="1">
      <alignment readingOrder="0"/>
    </xf>
    <xf borderId="0" fillId="0" fontId="4" numFmtId="167" xfId="0" applyFont="1" applyNumberFormat="1"/>
    <xf borderId="0" fillId="0" fontId="4" numFmtId="172" xfId="0" applyAlignment="1" applyFont="1" applyNumberFormat="1">
      <alignment readingOrder="0"/>
    </xf>
    <xf borderId="0" fillId="0" fontId="3" numFmtId="167" xfId="0" applyAlignment="1" applyFont="1" applyNumberFormat="1">
      <alignment horizontal="right" readingOrder="0" vertical="bottom"/>
    </xf>
    <xf borderId="0" fillId="0" fontId="4" numFmtId="0" xfId="0" applyAlignment="1" applyFont="1">
      <alignment readingOrder="0"/>
    </xf>
    <xf borderId="0" fillId="14" fontId="4" numFmtId="164" xfId="0" applyFont="1" applyNumberFormat="1"/>
    <xf borderId="0" fillId="28" fontId="4" numFmtId="164" xfId="0" applyAlignment="1" applyFill="1" applyFont="1" applyNumberFormat="1">
      <alignment readingOrder="0"/>
    </xf>
    <xf borderId="0" fillId="29" fontId="12" numFmtId="0" xfId="0" applyAlignment="1" applyFill="1" applyFont="1">
      <alignment vertical="bottom"/>
    </xf>
    <xf borderId="0" fillId="0" fontId="3" numFmtId="172" xfId="0" applyAlignment="1" applyFont="1" applyNumberFormat="1">
      <alignment horizontal="right" vertical="bottom"/>
    </xf>
    <xf borderId="0" fillId="29" fontId="13" numFmtId="0" xfId="0" applyAlignment="1" applyFont="1">
      <alignment readingOrder="0"/>
    </xf>
    <xf borderId="0" fillId="29" fontId="14" numFmtId="0" xfId="0" applyAlignment="1" applyFont="1">
      <alignment readingOrder="0"/>
    </xf>
    <xf borderId="0" fillId="29" fontId="15" numFmtId="0" xfId="0" applyAlignment="1" applyFont="1">
      <alignment vertical="bottom"/>
    </xf>
    <xf borderId="0" fillId="29" fontId="16" numFmtId="0" xfId="0" applyAlignment="1" applyFont="1">
      <alignment horizontal="left" readingOrder="0"/>
    </xf>
    <xf borderId="0" fillId="0" fontId="3" numFmtId="166" xfId="0" applyAlignment="1" applyFont="1" applyNumberFormat="1">
      <alignment horizontal="right" readingOrder="0" vertical="bottom"/>
    </xf>
    <xf borderId="0" fillId="7" fontId="4" numFmtId="164" xfId="0" applyAlignment="1" applyFont="1" applyNumberFormat="1">
      <alignment readingOrder="0"/>
    </xf>
    <xf borderId="0" fillId="30" fontId="4" numFmtId="164" xfId="0" applyAlignment="1" applyFill="1" applyFont="1" applyNumberFormat="1">
      <alignment readingOrder="0"/>
    </xf>
    <xf borderId="0" fillId="31" fontId="4" numFmtId="164" xfId="0" applyAlignment="1" applyFill="1" applyFont="1" applyNumberFormat="1">
      <alignment readingOrder="0"/>
    </xf>
    <xf borderId="0" fillId="32" fontId="4" numFmtId="164" xfId="0" applyAlignment="1" applyFill="1" applyFont="1" applyNumberFormat="1">
      <alignment readingOrder="0"/>
    </xf>
    <xf borderId="0" fillId="32" fontId="3" numFmtId="164" xfId="0" applyAlignment="1" applyFont="1" applyNumberFormat="1">
      <alignment readingOrder="0" vertical="bottom"/>
    </xf>
    <xf borderId="0" fillId="0" fontId="17" numFmtId="0" xfId="0" applyAlignment="1" applyFont="1">
      <alignment vertical="bottom"/>
    </xf>
    <xf borderId="0" fillId="30" fontId="4" numFmtId="172" xfId="0" applyAlignment="1" applyFont="1" applyNumberFormat="1">
      <alignment readingOrder="0"/>
    </xf>
    <xf borderId="0" fillId="33" fontId="4" numFmtId="164" xfId="0" applyAlignment="1" applyFill="1" applyFont="1" applyNumberFormat="1">
      <alignment readingOrder="0"/>
    </xf>
    <xf borderId="0" fillId="8" fontId="4" numFmtId="164" xfId="0" applyAlignment="1" applyFont="1" applyNumberFormat="1">
      <alignment readingOrder="0"/>
    </xf>
    <xf borderId="0" fillId="34" fontId="3" numFmtId="164" xfId="0" applyAlignment="1" applyFill="1" applyFont="1" applyNumberFormat="1">
      <alignment readingOrder="0" vertical="bottom"/>
    </xf>
    <xf borderId="0" fillId="0" fontId="4" numFmtId="0" xfId="0" applyAlignment="1" applyFont="1">
      <alignment readingOrder="0"/>
    </xf>
    <xf borderId="0" fillId="34" fontId="4" numFmtId="164" xfId="0" applyAlignment="1" applyFont="1" applyNumberFormat="1">
      <alignment readingOrder="0"/>
    </xf>
    <xf borderId="0" fillId="35" fontId="4" numFmtId="164" xfId="0" applyAlignment="1" applyFill="1" applyFont="1" applyNumberFormat="1">
      <alignment readingOrder="0"/>
    </xf>
    <xf borderId="0" fillId="6" fontId="4" numFmtId="164" xfId="0" applyAlignment="1" applyFont="1" applyNumberFormat="1">
      <alignment readingOrder="0"/>
    </xf>
    <xf borderId="0" fillId="0" fontId="4" numFmtId="0" xfId="0" applyAlignment="1" applyFont="1">
      <alignment readingOrder="0"/>
    </xf>
    <xf borderId="0" fillId="29" fontId="3" numFmtId="0" xfId="0" applyAlignment="1" applyFont="1">
      <alignment readingOrder="0" vertical="bottom"/>
    </xf>
    <xf borderId="0" fillId="28" fontId="3" numFmtId="164" xfId="0" applyAlignment="1" applyFont="1" applyNumberFormat="1">
      <alignment readingOrder="0" vertical="bottom"/>
    </xf>
    <xf borderId="0" fillId="4" fontId="4" numFmtId="0" xfId="0" applyAlignment="1" applyFont="1">
      <alignment readingOrder="0"/>
    </xf>
    <xf borderId="0" fillId="4" fontId="4" numFmtId="164" xfId="0" applyAlignment="1" applyFont="1" applyNumberFormat="1">
      <alignment readingOrder="0"/>
    </xf>
    <xf borderId="0" fillId="4" fontId="4" numFmtId="0" xfId="0" applyFont="1"/>
    <xf borderId="0" fillId="4" fontId="4" numFmtId="166" xfId="0" applyAlignment="1" applyFont="1" applyNumberFormat="1">
      <alignment readingOrder="0"/>
    </xf>
    <xf borderId="0" fillId="4" fontId="3" numFmtId="0" xfId="0" applyAlignment="1" applyFont="1">
      <alignment vertical="bottom"/>
    </xf>
    <xf borderId="0" fillId="4" fontId="4" numFmtId="4" xfId="0" applyFont="1" applyNumberFormat="1"/>
    <xf borderId="0" fillId="4" fontId="3" numFmtId="4" xfId="0" applyAlignment="1" applyFont="1" applyNumberFormat="1">
      <alignment vertical="bottom"/>
    </xf>
    <xf borderId="0" fillId="4" fontId="3" numFmtId="4" xfId="0" applyAlignment="1" applyFont="1" applyNumberFormat="1">
      <alignment horizontal="center"/>
    </xf>
    <xf borderId="0" fillId="7" fontId="3" numFmtId="164" xfId="0" applyAlignment="1" applyFont="1" applyNumberFormat="1">
      <alignment readingOrder="0" vertical="bottom"/>
    </xf>
    <xf borderId="0" fillId="8" fontId="3" numFmtId="164" xfId="0" applyAlignment="1" applyFont="1" applyNumberFormat="1">
      <alignment readingOrder="0" vertical="bottom"/>
    </xf>
    <xf borderId="0" fillId="29" fontId="18" numFmtId="0" xfId="0" applyAlignment="1" applyFont="1">
      <alignment readingOrder="0"/>
    </xf>
    <xf borderId="0" fillId="9" fontId="4" numFmtId="164" xfId="0" applyAlignment="1" applyFont="1" applyNumberFormat="1">
      <alignment readingOrder="0"/>
    </xf>
    <xf borderId="0" fillId="7" fontId="3" numFmtId="164" xfId="0" applyAlignment="1" applyFont="1" applyNumberFormat="1">
      <alignment horizontal="right" vertical="bottom"/>
    </xf>
    <xf borderId="0" fillId="10" fontId="3" numFmtId="164" xfId="0" applyAlignment="1" applyFont="1" applyNumberFormat="1">
      <alignment horizontal="right" vertical="bottom"/>
    </xf>
    <xf borderId="0" fillId="7" fontId="3" numFmtId="164" xfId="0" applyAlignment="1" applyFont="1" applyNumberFormat="1">
      <alignment horizontal="right" readingOrder="0" vertical="bottom"/>
    </xf>
    <xf borderId="1" fillId="17" fontId="4" numFmtId="164" xfId="0" applyAlignment="1" applyBorder="1" applyFont="1" applyNumberFormat="1">
      <alignment readingOrder="0"/>
    </xf>
    <xf borderId="0" fillId="11" fontId="3" numFmtId="164" xfId="0" applyAlignment="1" applyFont="1" applyNumberFormat="1">
      <alignment horizontal="right" readingOrder="0" vertical="bottom"/>
    </xf>
    <xf borderId="0" fillId="0" fontId="4" numFmtId="0" xfId="0" applyAlignment="1" applyFont="1">
      <alignment readingOrder="0"/>
    </xf>
    <xf borderId="0" fillId="4" fontId="19" numFmtId="0" xfId="0" applyAlignment="1" applyFont="1">
      <alignment readingOrder="0"/>
    </xf>
    <xf borderId="0" fillId="4" fontId="3" numFmtId="4" xfId="0" applyAlignment="1" applyFont="1" applyNumberFormat="1">
      <alignment horizontal="center" readingOrder="0"/>
    </xf>
    <xf borderId="0" fillId="4" fontId="3" numFmtId="4" xfId="0" applyAlignment="1" applyFont="1" applyNumberFormat="1">
      <alignment readingOrder="0" vertical="bottom"/>
    </xf>
    <xf borderId="0" fillId="17" fontId="3" numFmtId="164" xfId="0" applyAlignment="1" applyFont="1" applyNumberFormat="1">
      <alignment readingOrder="0" vertical="bottom"/>
    </xf>
    <xf borderId="0" fillId="0" fontId="4" numFmtId="173" xfId="0" applyAlignment="1" applyFont="1" applyNumberFormat="1">
      <alignment readingOrder="0"/>
    </xf>
    <xf borderId="0" fillId="36" fontId="3" numFmtId="0" xfId="0" applyAlignment="1" applyFill="1" applyFont="1">
      <alignment readingOrder="0" vertical="bottom"/>
    </xf>
    <xf borderId="0" fillId="15" fontId="3" numFmtId="164" xfId="0" applyAlignment="1" applyFont="1" applyNumberFormat="1">
      <alignment readingOrder="0" vertical="bottom"/>
    </xf>
    <xf borderId="0" fillId="4" fontId="20" numFmtId="0" xfId="0" applyAlignment="1" applyFont="1">
      <alignment readingOrder="0"/>
    </xf>
    <xf borderId="0" fillId="0" fontId="4" numFmtId="0" xfId="0" applyAlignment="1" applyFont="1">
      <alignment readingOrder="0" shrinkToFit="0" wrapText="0"/>
    </xf>
    <xf borderId="0" fillId="0" fontId="21" numFmtId="0" xfId="0" applyFont="1"/>
    <xf borderId="0" fillId="37" fontId="4" numFmtId="164" xfId="0" applyAlignment="1" applyFill="1" applyFont="1" applyNumberFormat="1">
      <alignment readingOrder="0"/>
    </xf>
    <xf borderId="0" fillId="32" fontId="3" numFmtId="172" xfId="0" applyAlignment="1" applyFont="1" applyNumberFormat="1">
      <alignment horizontal="right" readingOrder="0" vertical="bottom"/>
    </xf>
    <xf borderId="0" fillId="13" fontId="3" numFmtId="164" xfId="0" applyAlignment="1" applyFont="1" applyNumberFormat="1">
      <alignment horizontal="right" readingOrder="0" vertical="bottom"/>
    </xf>
    <xf borderId="0" fillId="21" fontId="22" numFmtId="164" xfId="0" applyAlignment="1" applyFont="1" applyNumberFormat="1">
      <alignment horizontal="right" readingOrder="0" shrinkToFit="0" vertical="bottom" wrapText="0"/>
    </xf>
    <xf borderId="0" fillId="0" fontId="22" numFmtId="0" xfId="0" applyAlignment="1" applyFont="1">
      <alignment shrinkToFit="0" vertical="bottom" wrapText="0"/>
    </xf>
    <xf borderId="0" fillId="12" fontId="3" numFmtId="164" xfId="0" applyAlignment="1" applyFont="1" applyNumberFormat="1">
      <alignment horizontal="right" readingOrder="0" vertical="bottom"/>
    </xf>
    <xf borderId="0" fillId="36" fontId="3" numFmtId="0" xfId="0" applyAlignment="1" applyFont="1">
      <alignment vertical="bottom"/>
    </xf>
    <xf borderId="0" fillId="20" fontId="22" numFmtId="164" xfId="0" applyAlignment="1" applyFont="1" applyNumberFormat="1">
      <alignment horizontal="right" readingOrder="0" shrinkToFit="0" vertical="bottom" wrapText="0"/>
    </xf>
    <xf borderId="0" fillId="0" fontId="22" numFmtId="164" xfId="0" applyAlignment="1" applyFont="1" applyNumberFormat="1">
      <alignment shrinkToFit="0" vertical="bottom" wrapText="0"/>
    </xf>
    <xf borderId="0" fillId="29" fontId="4" numFmtId="0" xfId="0" applyFont="1"/>
    <xf borderId="0" fillId="0" fontId="23" numFmtId="0" xfId="0" applyAlignment="1" applyFont="1">
      <alignment vertical="bottom"/>
    </xf>
    <xf borderId="0" fillId="23" fontId="3" numFmtId="164" xfId="0" applyAlignment="1" applyFont="1" applyNumberFormat="1">
      <alignment horizontal="right" readingOrder="0" vertical="bottom"/>
    </xf>
    <xf borderId="0" fillId="25" fontId="3" numFmtId="164" xfId="0" applyAlignment="1" applyFont="1" applyNumberFormat="1">
      <alignment readingOrder="0" vertical="bottom"/>
    </xf>
    <xf borderId="0" fillId="0" fontId="24" numFmtId="0" xfId="0" applyAlignment="1" applyFont="1">
      <alignment readingOrder="0" vertical="bottom"/>
    </xf>
    <xf borderId="0" fillId="29" fontId="4" numFmtId="0" xfId="0" applyAlignment="1" applyFont="1">
      <alignment readingOrder="0"/>
    </xf>
    <xf borderId="0" fillId="23" fontId="22" numFmtId="164" xfId="0" applyAlignment="1" applyFont="1" applyNumberFormat="1">
      <alignment horizontal="right" readingOrder="0" shrinkToFit="0" vertical="bottom" wrapText="0"/>
    </xf>
    <xf borderId="0" fillId="24" fontId="22" numFmtId="164" xfId="0" applyAlignment="1" applyFont="1" applyNumberFormat="1">
      <alignment horizontal="right" readingOrder="0" shrinkToFit="0" vertical="bottom" wrapText="0"/>
    </xf>
    <xf borderId="0" fillId="23" fontId="3" numFmtId="164" xfId="0" applyAlignment="1" applyFont="1" applyNumberFormat="1">
      <alignment horizontal="right" vertical="bottom"/>
    </xf>
    <xf borderId="0" fillId="25" fontId="3" numFmtId="164" xfId="0" applyAlignment="1" applyFont="1" applyNumberFormat="1">
      <alignment horizontal="right" vertical="bottom"/>
    </xf>
    <xf borderId="0" fillId="24" fontId="3" numFmtId="164" xfId="0" applyAlignment="1" applyFont="1" applyNumberFormat="1">
      <alignment horizontal="right" vertical="bottom"/>
    </xf>
    <xf borderId="0" fillId="0" fontId="25" numFmtId="0" xfId="0" applyAlignment="1" applyFont="1">
      <alignment readingOrder="0"/>
    </xf>
    <xf borderId="0" fillId="0" fontId="22" numFmtId="0" xfId="0" applyAlignment="1" applyFont="1">
      <alignment readingOrder="0" shrinkToFit="0" vertical="bottom" wrapText="0"/>
    </xf>
    <xf borderId="0" fillId="31" fontId="4" numFmtId="172" xfId="0" applyAlignment="1" applyFont="1" applyNumberFormat="1">
      <alignment readingOrder="0"/>
    </xf>
    <xf borderId="0" fillId="0" fontId="4" numFmtId="164" xfId="0" applyAlignment="1" applyFont="1" applyNumberFormat="1">
      <alignment readingOrder="0"/>
    </xf>
    <xf borderId="0" fillId="0" fontId="13" numFmtId="174" xfId="0" applyAlignment="1" applyFont="1" applyNumberFormat="1">
      <alignment readingOrder="0"/>
    </xf>
    <xf borderId="0" fillId="24" fontId="3" numFmtId="164" xfId="0" applyAlignment="1" applyFont="1" applyNumberFormat="1">
      <alignment horizontal="right" readingOrder="0" vertical="bottom"/>
    </xf>
    <xf borderId="0" fillId="0" fontId="4" numFmtId="165" xfId="0" applyFont="1" applyNumberFormat="1"/>
    <xf borderId="0" fillId="0" fontId="3" numFmtId="0" xfId="0" applyAlignment="1" applyFont="1">
      <alignment horizontal="right" readingOrder="0" vertical="bottom"/>
    </xf>
    <xf borderId="0" fillId="0" fontId="3" numFmtId="173" xfId="0" applyAlignment="1" applyFont="1" applyNumberFormat="1">
      <alignment vertical="bottom"/>
    </xf>
    <xf borderId="0" fillId="10" fontId="3" numFmtId="164" xfId="0" applyAlignment="1" applyFont="1" applyNumberFormat="1">
      <alignment horizontal="right" readingOrder="0" vertical="bottom"/>
    </xf>
    <xf borderId="0" fillId="11" fontId="3" numFmtId="164" xfId="0" applyAlignment="1" applyFont="1" applyNumberFormat="1">
      <alignment horizontal="right" vertical="bottom"/>
    </xf>
    <xf borderId="0" fillId="12" fontId="3" numFmtId="164" xfId="0" applyAlignment="1" applyFont="1" applyNumberFormat="1">
      <alignment horizontal="right" vertical="bottom"/>
    </xf>
    <xf borderId="0" fillId="12" fontId="3" numFmtId="164" xfId="0" applyAlignment="1" applyFont="1" applyNumberFormat="1">
      <alignment readingOrder="0" vertical="bottom"/>
    </xf>
    <xf borderId="0" fillId="0" fontId="26" numFmtId="0" xfId="0" applyAlignment="1" applyFont="1">
      <alignment readingOrder="0"/>
    </xf>
    <xf borderId="0" fillId="0" fontId="27" numFmtId="0" xfId="0" applyAlignment="1" applyFont="1">
      <alignment readingOrder="0"/>
    </xf>
    <xf borderId="0" fillId="0" fontId="28" numFmtId="0" xfId="0" applyAlignment="1" applyFont="1">
      <alignment readingOrder="0"/>
    </xf>
    <xf borderId="0" fillId="0" fontId="29" numFmtId="0" xfId="0" applyAlignment="1" applyFont="1">
      <alignment readingOrder="0" vertical="bottom"/>
    </xf>
    <xf borderId="0" fillId="0" fontId="3" numFmtId="0" xfId="0" applyAlignment="1" applyFont="1">
      <alignment shrinkToFit="0" vertical="bottom" wrapText="0"/>
    </xf>
    <xf borderId="0" fillId="6" fontId="3" numFmtId="173" xfId="0" applyAlignment="1" applyFont="1" applyNumberFormat="1">
      <alignment horizontal="right" vertical="bottom"/>
    </xf>
    <xf borderId="0" fillId="29" fontId="4" numFmtId="164" xfId="0" applyAlignment="1" applyFont="1" applyNumberFormat="1">
      <alignment readingOrder="0"/>
    </xf>
    <xf borderId="0" fillId="36" fontId="4" numFmtId="164" xfId="0" applyAlignment="1" applyFont="1" applyNumberFormat="1">
      <alignment readingOrder="0"/>
    </xf>
    <xf borderId="0" fillId="0" fontId="30" numFmtId="0" xfId="0" applyAlignment="1" applyFont="1">
      <alignment readingOrder="0"/>
    </xf>
    <xf borderId="0" fillId="29" fontId="31" numFmtId="0" xfId="0" applyAlignment="1" applyFont="1">
      <alignment readingOrder="0"/>
    </xf>
    <xf borderId="0" fillId="14" fontId="4" numFmtId="164" xfId="0" applyAlignment="1" applyFont="1" applyNumberFormat="1">
      <alignment readingOrder="0" shrinkToFit="0" wrapText="1"/>
    </xf>
    <xf borderId="0" fillId="0" fontId="3" numFmtId="166" xfId="0" applyAlignment="1" applyFont="1" applyNumberFormat="1">
      <alignment readingOrder="0" vertical="bottom"/>
    </xf>
    <xf borderId="0" fillId="18" fontId="3" numFmtId="164" xfId="0" applyAlignment="1" applyFont="1" applyNumberFormat="1">
      <alignment readingOrder="0" vertical="bottom"/>
    </xf>
    <xf borderId="0" fillId="0" fontId="3" numFmtId="173" xfId="0" applyAlignment="1" applyFont="1" applyNumberFormat="1">
      <alignment horizontal="right" vertical="bottom"/>
    </xf>
    <xf borderId="0" fillId="34" fontId="3" numFmtId="164" xfId="0" applyAlignment="1" applyFont="1" applyNumberFormat="1">
      <alignment horizontal="right" readingOrder="0" vertical="bottom"/>
    </xf>
    <xf borderId="0" fillId="6" fontId="3" numFmtId="164" xfId="0" applyAlignment="1" applyFont="1" applyNumberFormat="1">
      <alignment horizontal="right" readingOrder="0" vertical="bottom"/>
    </xf>
    <xf borderId="0" fillId="9" fontId="3" numFmtId="165" xfId="0" applyAlignment="1" applyFont="1" applyNumberFormat="1">
      <alignment readingOrder="0" vertical="bottom"/>
    </xf>
    <xf borderId="0" fillId="29" fontId="32" numFmtId="0" xfId="0" applyAlignment="1" applyFont="1">
      <alignment readingOrder="0"/>
    </xf>
    <xf borderId="0" fillId="0" fontId="3" numFmtId="0" xfId="0" applyAlignment="1" applyFont="1">
      <alignment shrinkToFit="0" vertical="bottom" wrapText="1"/>
    </xf>
    <xf borderId="0" fillId="29" fontId="22" numFmtId="0" xfId="0" applyAlignment="1" applyFont="1">
      <alignment readingOrder="0"/>
    </xf>
    <xf borderId="0" fillId="29" fontId="33" numFmtId="0" xfId="0" applyAlignment="1" applyFont="1">
      <alignment horizontal="left" readingOrder="0"/>
    </xf>
    <xf borderId="0" fillId="29" fontId="3" numFmtId="0" xfId="0" applyAlignment="1" applyFont="1">
      <alignment vertical="bottom"/>
    </xf>
    <xf borderId="0" fillId="36" fontId="3" numFmtId="0" xfId="0" applyAlignment="1" applyFont="1">
      <alignment vertical="bottom"/>
    </xf>
    <xf borderId="0" fillId="36" fontId="4" numFmtId="0" xfId="0" applyAlignment="1" applyFont="1">
      <alignment readingOrder="0"/>
    </xf>
    <xf borderId="0" fillId="36" fontId="3" numFmtId="0" xfId="0" applyAlignment="1" applyFont="1">
      <alignment readingOrder="0" vertical="bottom"/>
    </xf>
    <xf borderId="0" fillId="36" fontId="3" numFmtId="0" xfId="0" applyAlignment="1" applyFont="1">
      <alignment vertical="bottom"/>
    </xf>
    <xf borderId="0" fillId="29" fontId="3" numFmtId="0" xfId="0" applyAlignment="1" applyFont="1">
      <alignment vertical="bottom"/>
    </xf>
    <xf borderId="0" fillId="34" fontId="3" numFmtId="165" xfId="0" applyAlignment="1" applyFont="1" applyNumberFormat="1">
      <alignment horizontal="right" vertical="bottom"/>
    </xf>
    <xf borderId="0" fillId="34" fontId="3" numFmtId="173" xfId="0" applyAlignment="1" applyFont="1" applyNumberFormat="1">
      <alignment horizontal="right" vertical="bottom"/>
    </xf>
    <xf borderId="0" fillId="6" fontId="3" numFmtId="165" xfId="0" applyAlignment="1" applyFont="1" applyNumberFormat="1">
      <alignment horizontal="right" vertical="bottom"/>
    </xf>
    <xf borderId="0" fillId="36" fontId="22" numFmtId="0" xfId="0" applyAlignment="1" applyFont="1">
      <alignment readingOrder="0" shrinkToFit="0" vertical="bottom" wrapText="0"/>
    </xf>
    <xf borderId="0" fillId="29" fontId="22" numFmtId="0" xfId="0" applyAlignment="1" applyFont="1">
      <alignment readingOrder="0" shrinkToFit="0" vertical="bottom" wrapText="0"/>
    </xf>
    <xf borderId="0" fillId="0" fontId="3" numFmtId="172" xfId="0" applyAlignment="1" applyFont="1" applyNumberFormat="1">
      <alignment horizontal="right" readingOrder="0" vertical="bottom"/>
    </xf>
    <xf borderId="0" fillId="26" fontId="3" numFmtId="164" xfId="0" applyAlignment="1" applyFont="1" applyNumberFormat="1">
      <alignment horizontal="right" vertical="bottom"/>
    </xf>
    <xf borderId="0" fillId="0" fontId="34" numFmtId="0" xfId="0" applyAlignment="1" applyFont="1">
      <alignment readingOrder="0"/>
    </xf>
    <xf borderId="0" fillId="27" fontId="3" numFmtId="164" xfId="0" applyAlignment="1" applyFont="1" applyNumberFormat="1">
      <alignment horizontal="right" vertical="bottom"/>
    </xf>
    <xf borderId="0" fillId="0" fontId="4" numFmtId="175" xfId="0" applyFont="1" applyNumberFormat="1"/>
    <xf borderId="0" fillId="38" fontId="4" numFmtId="166" xfId="0" applyFill="1" applyFont="1" applyNumberFormat="1"/>
    <xf borderId="0" fillId="38" fontId="4" numFmtId="167" xfId="0" applyFont="1" applyNumberFormat="1"/>
    <xf borderId="0" fillId="0" fontId="4" numFmtId="176" xfId="0" applyAlignment="1" applyFont="1" applyNumberFormat="1">
      <alignment readingOrder="0"/>
    </xf>
    <xf borderId="0" fillId="0" fontId="4" numFmtId="176" xfId="0" applyFont="1" applyNumberFormat="1"/>
    <xf borderId="0" fillId="0" fontId="4" numFmtId="10" xfId="0" applyFont="1" applyNumberFormat="1"/>
    <xf borderId="0" fillId="0" fontId="3" numFmtId="0" xfId="0" applyAlignment="1" applyFont="1">
      <alignment horizontal="right" vertical="bottom"/>
    </xf>
    <xf borderId="0" fillId="0" fontId="35" numFmtId="0" xfId="0" applyAlignment="1" applyFont="1">
      <alignment readingOrder="0"/>
    </xf>
    <xf borderId="0" fillId="0" fontId="35" numFmtId="167" xfId="0" applyAlignment="1" applyFont="1" applyNumberFormat="1">
      <alignment readingOrder="0"/>
    </xf>
    <xf borderId="0" fillId="0" fontId="35" numFmtId="169" xfId="0" applyAlignment="1" applyFont="1" applyNumberFormat="1">
      <alignment readingOrder="0"/>
    </xf>
    <xf borderId="0" fillId="0" fontId="36" numFmtId="0" xfId="0" applyAlignment="1" applyFont="1">
      <alignment readingOrder="0"/>
    </xf>
    <xf borderId="0" fillId="0" fontId="36" numFmtId="0" xfId="0" applyFont="1"/>
    <xf borderId="0" fillId="2" fontId="37" numFmtId="0" xfId="0" applyAlignment="1" applyFont="1">
      <alignment horizontal="center" readingOrder="0" vertical="center"/>
    </xf>
    <xf borderId="0" fillId="4" fontId="4" numFmtId="175" xfId="0" applyFont="1" applyNumberFormat="1"/>
    <xf borderId="0" fillId="0" fontId="38" numFmtId="10" xfId="0" applyAlignment="1" applyFont="1" applyNumberFormat="1">
      <alignment readingOrder="0"/>
    </xf>
    <xf borderId="0" fillId="0" fontId="39" numFmtId="166" xfId="0" applyAlignment="1" applyFont="1" applyNumberFormat="1">
      <alignment readingOrder="0"/>
    </xf>
    <xf borderId="0" fillId="0" fontId="35" numFmtId="169" xfId="0" applyFont="1" applyNumberFormat="1"/>
    <xf borderId="0" fillId="0" fontId="35" numFmtId="168" xfId="0" applyFont="1" applyNumberFormat="1"/>
    <xf borderId="0" fillId="0" fontId="39" numFmtId="168" xfId="0" applyAlignment="1" applyFont="1" applyNumberFormat="1">
      <alignment readingOrder="0"/>
    </xf>
    <xf borderId="0" fillId="39" fontId="4" numFmtId="175" xfId="0" applyFill="1" applyFont="1" applyNumberFormat="1"/>
    <xf borderId="0" fillId="0" fontId="40" numFmtId="170" xfId="0" applyAlignment="1" applyFont="1" applyNumberFormat="1">
      <alignment readingOrder="0"/>
    </xf>
    <xf borderId="0" fillId="39" fontId="4" numFmtId="0" xfId="0" applyAlignment="1" applyFont="1">
      <alignment readingOrder="0"/>
    </xf>
    <xf borderId="0" fillId="0" fontId="6" numFmtId="166" xfId="0" applyAlignment="1" applyFont="1" applyNumberFormat="1">
      <alignment readingOrder="0"/>
    </xf>
    <xf borderId="0" fillId="40" fontId="4" numFmtId="0" xfId="0" applyAlignment="1" applyFill="1" applyFont="1">
      <alignment readingOrder="0"/>
    </xf>
    <xf borderId="0" fillId="0" fontId="35" numFmtId="0" xfId="0" applyFont="1"/>
    <xf borderId="0" fillId="41" fontId="4" numFmtId="0" xfId="0" applyAlignment="1" applyFill="1" applyFont="1">
      <alignment readingOrder="0"/>
    </xf>
    <xf borderId="0" fillId="0" fontId="41" numFmtId="0" xfId="0" applyAlignment="1" applyFont="1">
      <alignment readingOrder="0"/>
    </xf>
    <xf borderId="0" fillId="0" fontId="41" numFmtId="176" xfId="0" applyFont="1" applyNumberFormat="1"/>
    <xf borderId="0" fillId="0" fontId="41" numFmtId="166" xfId="0" applyFont="1" applyNumberFormat="1"/>
    <xf borderId="0" fillId="0" fontId="41" numFmtId="176" xfId="0" applyAlignment="1" applyFont="1" applyNumberFormat="1">
      <alignment readingOrder="0"/>
    </xf>
    <xf borderId="0" fillId="0" fontId="41" numFmtId="10" xfId="0" applyFont="1" applyNumberFormat="1"/>
    <xf borderId="0" fillId="0" fontId="42" numFmtId="0" xfId="0" applyFont="1"/>
    <xf borderId="0" fillId="0" fontId="42" numFmtId="168" xfId="0" applyFont="1" applyNumberFormat="1"/>
    <xf borderId="0" fillId="0" fontId="4" numFmtId="169" xfId="0" applyFont="1" applyNumberFormat="1"/>
    <xf borderId="0" fillId="0" fontId="43" numFmtId="0" xfId="0" applyAlignment="1" applyFont="1">
      <alignment readingOrder="0"/>
    </xf>
    <xf borderId="0" fillId="0" fontId="4" numFmtId="0" xfId="0" applyAlignment="1" applyFont="1">
      <alignment horizontal="center" readingOrder="0"/>
    </xf>
    <xf borderId="0" fillId="0" fontId="4" numFmtId="0" xfId="0" applyAlignment="1" applyFont="1">
      <alignment shrinkToFit="0" vertical="center" wrapText="1"/>
    </xf>
    <xf borderId="0" fillId="0" fontId="4" numFmtId="0" xfId="0" applyAlignment="1" applyFont="1">
      <alignment readingOrder="0" shrinkToFit="0" vertical="center" wrapText="1"/>
    </xf>
    <xf borderId="0" fillId="0" fontId="35" numFmtId="166" xfId="0" applyFont="1" applyNumberFormat="1"/>
    <xf borderId="0" fillId="0" fontId="35" numFmtId="9" xfId="0" applyAlignment="1" applyFont="1" applyNumberFormat="1">
      <alignment readingOrder="0"/>
    </xf>
    <xf borderId="0" fillId="38" fontId="4" numFmtId="10" xfId="0" applyFont="1" applyNumberFormat="1"/>
    <xf borderId="0" fillId="0" fontId="4" numFmtId="10" xfId="0" applyAlignment="1" applyFont="1" applyNumberFormat="1">
      <alignment horizontal="center" vertical="center"/>
    </xf>
    <xf borderId="0" fillId="0" fontId="4" numFmtId="169" xfId="0" applyAlignment="1" applyFont="1" applyNumberFormat="1">
      <alignment horizontal="center" vertical="center"/>
    </xf>
    <xf borderId="0" fillId="5" fontId="4" numFmtId="10" xfId="0" applyFont="1" applyNumberFormat="1"/>
    <xf borderId="0" fillId="3" fontId="4" numFmtId="10" xfId="0" applyFont="1" applyNumberFormat="1"/>
    <xf borderId="0" fillId="0" fontId="4" numFmtId="10" xfId="0" applyAlignment="1" applyFont="1" applyNumberFormat="1">
      <alignment horizontal="center"/>
    </xf>
    <xf borderId="0" fillId="0" fontId="4" numFmtId="166" xfId="0" applyAlignment="1" applyFont="1" applyNumberFormat="1">
      <alignment horizontal="center"/>
    </xf>
    <xf borderId="0" fillId="0" fontId="4" numFmtId="172" xfId="0" applyFont="1" applyNumberFormat="1"/>
    <xf borderId="0" fillId="0" fontId="4" numFmtId="1" xfId="0" applyFont="1" applyNumberFormat="1"/>
    <xf borderId="0" fillId="0" fontId="4" numFmtId="177" xfId="0" applyFont="1" applyNumberFormat="1"/>
    <xf borderId="0" fillId="29" fontId="44" numFmtId="0" xfId="0" applyAlignment="1" applyFont="1">
      <alignment readingOrder="0"/>
    </xf>
    <xf borderId="0" fillId="29" fontId="44" numFmtId="0" xfId="0" applyFont="1"/>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20" Type="http://schemas.openxmlformats.org/officeDocument/2006/relationships/pivotCacheDefinition" Target="pivotCache/pivotCacheDefinition6.xml"/><Relationship Id="rId22" Type="http://schemas.openxmlformats.org/officeDocument/2006/relationships/pivotCacheDefinition" Target="pivotCache/pivotCacheDefinition8.xml"/><Relationship Id="rId21" Type="http://schemas.openxmlformats.org/officeDocument/2006/relationships/pivotCacheDefinition" Target="pivotCache/pivotCacheDefinition7.xml"/><Relationship Id="rId24" Type="http://schemas.openxmlformats.org/officeDocument/2006/relationships/pivotCacheDefinition" Target="pivotCache/pivotCacheDefinition10.xml"/><Relationship Id="rId23" Type="http://schemas.openxmlformats.org/officeDocument/2006/relationships/pivotCacheDefinition" Target="pivotCache/pivotCacheDefinition9.xml"/><Relationship Id="rId26" Type="http://schemas.openxmlformats.org/officeDocument/2006/relationships/pivotCacheDefinition" Target="pivotCache/pivotCacheDefinition12.xml"/><Relationship Id="rId25" Type="http://schemas.openxmlformats.org/officeDocument/2006/relationships/pivotCacheDefinition" Target="pivotCache/pivotCacheDefinition11.xml"/><Relationship Id="rId28" Type="http://schemas.openxmlformats.org/officeDocument/2006/relationships/pivotCacheDefinition" Target="pivotCache/pivotCacheDefinition14.xml"/><Relationship Id="rId27" Type="http://schemas.openxmlformats.org/officeDocument/2006/relationships/pivotCacheDefinition" Target="pivotCache/pivotCacheDefinition13.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pivotCacheDefinition" Target="pivotCache/pivotCacheDefinition1.xml"/><Relationship Id="rId14" Type="http://schemas.openxmlformats.org/officeDocument/2006/relationships/worksheet" Target="worksheets/sheet11.xml"/><Relationship Id="rId17" Type="http://schemas.openxmlformats.org/officeDocument/2006/relationships/pivotCacheDefinition" Target="pivotCache/pivotCacheDefinition3.xml"/><Relationship Id="rId16" Type="http://schemas.openxmlformats.org/officeDocument/2006/relationships/pivotCacheDefinition" Target="pivotCache/pivotCacheDefinition2.xml"/><Relationship Id="rId19" Type="http://schemas.openxmlformats.org/officeDocument/2006/relationships/pivotCacheDefinition" Target="pivotCache/pivotCacheDefinition5.xml"/><Relationship Id="rId18" Type="http://schemas.openxmlformats.org/officeDocument/2006/relationships/pivotCacheDefinition" Target="pivotCache/pivotCacheDefinition4.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tx>
            <c:v>Enero</c:v>
          </c:tx>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'CA2024'!$B$45:$B$78</c:f>
              <c:numCache/>
            </c:numRef>
          </c:val>
        </c:ser>
        <c:ser>
          <c:idx val="1"/>
          <c:order val="1"/>
          <c:tx>
            <c:v>Febrero</c:v>
          </c:tx>
          <c:spPr>
            <a:solidFill>
              <a:schemeClr val="accent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'CA2024'!$C$45:$C$78</c:f>
              <c:numCache/>
            </c:numRef>
          </c:val>
        </c:ser>
        <c:ser>
          <c:idx val="2"/>
          <c:order val="2"/>
          <c:tx>
            <c:v>Marzo</c:v>
          </c:tx>
          <c:spPr>
            <a:solidFill>
              <a:schemeClr val="accent3"/>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'CA2024'!$D$45:$D$78</c:f>
              <c:numCache/>
            </c:numRef>
          </c:val>
        </c:ser>
        <c:ser>
          <c:idx val="3"/>
          <c:order val="3"/>
          <c:tx>
            <c:v>Abril</c:v>
          </c:tx>
          <c:spPr>
            <a:solidFill>
              <a:schemeClr val="accent4"/>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'CA2024'!$E$45:$E$78</c:f>
              <c:numCache/>
            </c:numRef>
          </c:val>
        </c:ser>
        <c:ser>
          <c:idx val="4"/>
          <c:order val="4"/>
          <c:tx>
            <c:v>Mayo</c:v>
          </c:tx>
          <c:spPr>
            <a:solidFill>
              <a:schemeClr val="accent5"/>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'CA2024'!$F$45:$F$78</c:f>
              <c:numCache/>
            </c:numRef>
          </c:val>
        </c:ser>
        <c:ser>
          <c:idx val="5"/>
          <c:order val="5"/>
          <c:tx>
            <c:v>Junio</c:v>
          </c:tx>
          <c:spPr>
            <a:solidFill>
              <a:schemeClr val="accent6"/>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'CA2024'!$G$45:$G$78</c:f>
              <c:numCache/>
            </c:numRef>
          </c:val>
        </c:ser>
        <c:ser>
          <c:idx val="6"/>
          <c:order val="6"/>
          <c:tx>
            <c:v>Julio</c:v>
          </c:tx>
          <c:spPr>
            <a:solidFill>
              <a:schemeClr val="accent1">
                <a:lumOff val="30000"/>
              </a:schemeClr>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'CA2024'!$H$45:$H$78</c:f>
              <c:numCache/>
            </c:numRef>
          </c:val>
        </c:ser>
        <c:ser>
          <c:idx val="7"/>
          <c:order val="7"/>
          <c:tx>
            <c:v>Agosto</c:v>
          </c:tx>
          <c:spPr>
            <a:solidFill>
              <a:schemeClr val="accent2">
                <a:lumOff val="30000"/>
              </a:schemeClr>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'CA2024'!$I$45:$I$78</c:f>
              <c:numCache/>
            </c:numRef>
          </c:val>
        </c:ser>
        <c:ser>
          <c:idx val="8"/>
          <c:order val="8"/>
          <c:tx>
            <c:v>Septiembre</c:v>
          </c:tx>
          <c:spPr>
            <a:solidFill>
              <a:schemeClr val="accent3">
                <a:lumOff val="30000"/>
              </a:schemeClr>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'CA2024'!$J$45:$J$78</c:f>
              <c:numCache/>
            </c:numRef>
          </c:val>
        </c:ser>
        <c:ser>
          <c:idx val="9"/>
          <c:order val="9"/>
          <c:val>
            <c:numRef>
              <c:f>'CA2024'!$B$2</c:f>
              <c:numCache/>
            </c:numRef>
          </c:val>
        </c:ser>
        <c:ser>
          <c:idx val="10"/>
          <c:order val="10"/>
          <c:val>
            <c:numRef>
              <c:f>'CA2024'!$C$2</c:f>
              <c:numCache/>
            </c:numRef>
          </c:val>
        </c:ser>
        <c:ser>
          <c:idx val="11"/>
          <c:order val="11"/>
          <c:val>
            <c:numRef>
              <c:f>'CA2024'!$D$2</c:f>
              <c:numCache/>
            </c:numRef>
          </c:val>
        </c:ser>
        <c:ser>
          <c:idx val="12"/>
          <c:order val="12"/>
          <c:val>
            <c:numRef>
              <c:f>'CA2024'!$E$2</c:f>
              <c:numCache/>
            </c:numRef>
          </c:val>
        </c:ser>
        <c:ser>
          <c:idx val="13"/>
          <c:order val="13"/>
          <c:val>
            <c:numRef>
              <c:f>'CA2024'!$F$2</c:f>
              <c:numCache/>
            </c:numRef>
          </c:val>
        </c:ser>
        <c:ser>
          <c:idx val="14"/>
          <c:order val="14"/>
          <c:val>
            <c:numRef>
              <c:f>'CA2024'!$G$2</c:f>
              <c:numCache/>
            </c:numRef>
          </c:val>
        </c:ser>
        <c:ser>
          <c:idx val="15"/>
          <c:order val="15"/>
          <c:val>
            <c:numRef>
              <c:f>'CA2024'!$H$2</c:f>
              <c:numCache/>
            </c:numRef>
          </c:val>
        </c:ser>
        <c:ser>
          <c:idx val="16"/>
          <c:order val="16"/>
          <c:val>
            <c:numRef>
              <c:f>'CA2024'!$I$2</c:f>
              <c:numCache/>
            </c:numRef>
          </c:val>
        </c:ser>
        <c:ser>
          <c:idx val="17"/>
          <c:order val="17"/>
          <c:val>
            <c:numRef>
              <c:f>'CA2024'!$J$2</c:f>
              <c:numCache/>
            </c:numRef>
          </c:val>
        </c:ser>
        <c:axId val="306860819"/>
        <c:axId val="456405337"/>
      </c:barChart>
      <c:catAx>
        <c:axId val="30686081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Més</a:t>
                </a:r>
              </a:p>
            </c:rich>
          </c:tx>
          <c:overlay val="0"/>
        </c:title>
        <c:numFmt formatCode="General" sourceLinked="1"/>
        <c:majorTickMark val="cross"/>
        <c:minorTickMark val="none"/>
        <c:spPr/>
        <c:txPr>
          <a:bodyPr/>
          <a:lstStyle/>
          <a:p>
            <a:pPr lvl="0">
              <a:defRPr b="0">
                <a:solidFill>
                  <a:srgbClr val="000000"/>
                </a:solidFill>
                <a:latin typeface="+mn-lt"/>
              </a:defRPr>
            </a:pPr>
          </a:p>
        </c:txPr>
        <c:crossAx val="456405337"/>
      </c:catAx>
      <c:valAx>
        <c:axId val="45640533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Ventas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06860819"/>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Total général par rapport à Campagne</a:t>
            </a:r>
          </a:p>
        </c:rich>
      </c:tx>
      <c:overlay val="0"/>
    </c:title>
    <c:plotArea>
      <c:layout/>
      <c:barChart>
        <c:barDir val="col"/>
        <c:ser>
          <c:idx val="0"/>
          <c:order val="0"/>
          <c:tx>
            <c:strRef>
              <c:f>'CA2024'!$K$1:$K$2</c:f>
            </c:strRef>
          </c:tx>
          <c:spPr>
            <a:solidFill>
              <a:schemeClr val="accent1"/>
            </a:solidFill>
            <a:ln cmpd="sng">
              <a:solidFill>
                <a:srgbClr val="000000"/>
              </a:solidFill>
            </a:ln>
          </c:spPr>
          <c:cat>
            <c:strRef>
              <c:f>'CA2024'!$A$3:$A$53</c:f>
            </c:strRef>
          </c:cat>
          <c:val>
            <c:numRef>
              <c:f>'CA2024'!$K$3:$K$40</c:f>
              <c:numCache/>
            </c:numRef>
          </c:val>
        </c:ser>
        <c:axId val="2006744068"/>
        <c:axId val="805922489"/>
      </c:barChart>
      <c:catAx>
        <c:axId val="200674406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Campagne</a:t>
                </a:r>
              </a:p>
            </c:rich>
          </c:tx>
          <c:overlay val="0"/>
        </c:title>
        <c:numFmt formatCode="General" sourceLinked="1"/>
        <c:majorTickMark val="none"/>
        <c:minorTickMark val="none"/>
        <c:spPr/>
        <c:txPr>
          <a:bodyPr/>
          <a:lstStyle/>
          <a:p>
            <a:pPr lvl="0">
              <a:defRPr b="0">
                <a:solidFill>
                  <a:srgbClr val="000000"/>
                </a:solidFill>
                <a:latin typeface="+mn-lt"/>
              </a:defRPr>
            </a:pPr>
          </a:p>
        </c:txPr>
        <c:crossAx val="805922489"/>
      </c:catAx>
      <c:valAx>
        <c:axId val="80592248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Total général</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06744068"/>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Total général par rapport à Talent</a:t>
            </a:r>
          </a:p>
        </c:rich>
      </c:tx>
      <c:overlay val="0"/>
    </c:title>
    <c:plotArea>
      <c:layout/>
      <c:barChart>
        <c:barDir val="col"/>
        <c:ser>
          <c:idx val="0"/>
          <c:order val="0"/>
          <c:tx>
            <c:strRef>
              <c:f>'CA2024'!$AT$1:$AT$2</c:f>
            </c:strRef>
          </c:tx>
          <c:spPr>
            <a:solidFill>
              <a:schemeClr val="accent1"/>
            </a:solidFill>
            <a:ln cmpd="sng">
              <a:solidFill>
                <a:srgbClr val="000000"/>
              </a:solidFill>
            </a:ln>
          </c:spPr>
          <c:cat>
            <c:strRef>
              <c:f>'CA2024'!$AG$3:$AG$32</c:f>
            </c:strRef>
          </c:cat>
          <c:val>
            <c:numRef>
              <c:f>'CA2024'!$AT$3:$AT$32</c:f>
              <c:numCache/>
            </c:numRef>
          </c:val>
        </c:ser>
        <c:axId val="1974394140"/>
        <c:axId val="447401372"/>
      </c:barChart>
      <c:catAx>
        <c:axId val="197439414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Talent</a:t>
                </a:r>
              </a:p>
            </c:rich>
          </c:tx>
          <c:overlay val="0"/>
        </c:title>
        <c:numFmt formatCode="General" sourceLinked="1"/>
        <c:majorTickMark val="none"/>
        <c:minorTickMark val="none"/>
        <c:spPr/>
        <c:txPr>
          <a:bodyPr/>
          <a:lstStyle/>
          <a:p>
            <a:pPr lvl="0">
              <a:defRPr b="0">
                <a:solidFill>
                  <a:srgbClr val="000000"/>
                </a:solidFill>
                <a:latin typeface="+mn-lt"/>
              </a:defRPr>
            </a:pPr>
          </a:p>
        </c:txPr>
        <c:crossAx val="447401372"/>
      </c:catAx>
      <c:valAx>
        <c:axId val="44740137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Total général</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974394140"/>
      </c:valAx>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tx>
            <c:strRef>
              <c:f>Objectifs25!$B$9</c:f>
            </c:strRef>
          </c:tx>
          <c:spPr>
            <a:solidFill>
              <a:schemeClr val="accent1"/>
            </a:solidFill>
            <a:ln cmpd="sng">
              <a:solidFill>
                <a:srgbClr val="000000"/>
              </a:solidFill>
            </a:ln>
          </c:spPr>
          <c:cat>
            <c:strRef>
              <c:f>Objectifs25!$A$10:$A$21</c:f>
            </c:strRef>
          </c:cat>
          <c:val>
            <c:numRef>
              <c:f>Objectifs25!$B$10:$B$21</c:f>
              <c:numCache/>
            </c:numRef>
          </c:val>
        </c:ser>
        <c:ser>
          <c:idx val="1"/>
          <c:order val="1"/>
          <c:tx>
            <c:strRef>
              <c:f>Objectifs25!$D$9</c:f>
            </c:strRef>
          </c:tx>
          <c:spPr>
            <a:solidFill>
              <a:schemeClr val="accent2"/>
            </a:solidFill>
            <a:ln cmpd="sng">
              <a:solidFill>
                <a:srgbClr val="000000"/>
              </a:solidFill>
            </a:ln>
          </c:spPr>
          <c:cat>
            <c:strRef>
              <c:f>Objectifs25!$A$10:$A$21</c:f>
            </c:strRef>
          </c:cat>
          <c:val>
            <c:numRef>
              <c:f>Objectifs25!$D$10:$D$21</c:f>
              <c:numCache/>
            </c:numRef>
          </c:val>
        </c:ser>
        <c:ser>
          <c:idx val="2"/>
          <c:order val="2"/>
          <c:tx>
            <c:strRef>
              <c:f>Objectifs25!$G$9</c:f>
            </c:strRef>
          </c:tx>
          <c:spPr>
            <a:solidFill>
              <a:schemeClr val="accent3"/>
            </a:solidFill>
            <a:ln cmpd="sng">
              <a:solidFill>
                <a:srgbClr val="000000"/>
              </a:solidFill>
            </a:ln>
          </c:spPr>
          <c:cat>
            <c:strRef>
              <c:f>Objectifs25!$A$10:$A$21</c:f>
            </c:strRef>
          </c:cat>
          <c:val>
            <c:numRef>
              <c:f>Objectifs25!$G$10:$G$21</c:f>
              <c:numCache/>
            </c:numRef>
          </c:val>
        </c:ser>
        <c:axId val="2023995619"/>
        <c:axId val="1963324606"/>
      </c:barChart>
      <c:catAx>
        <c:axId val="202399561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963324606"/>
      </c:catAx>
      <c:valAx>
        <c:axId val="196332460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23995619"/>
      </c:valAx>
    </c:plotArea>
    <c:legend>
      <c:legendPos val="r"/>
      <c:overlay val="0"/>
      <c:txPr>
        <a:bodyPr/>
        <a:lstStyle/>
        <a:p>
          <a:pPr lvl="0">
            <a:defRPr b="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SUM de Commission par rapport à Date Création - Année-mois</a:t>
            </a:r>
          </a:p>
        </c:rich>
      </c:tx>
      <c:overlay val="0"/>
    </c:title>
    <c:plotArea>
      <c:layout/>
      <c:barChart>
        <c:barDir val="col"/>
        <c:ser>
          <c:idx val="0"/>
          <c:order val="0"/>
          <c:spPr>
            <a:solidFill>
              <a:schemeClr val="accent1"/>
            </a:solidFill>
            <a:ln cmpd="sng">
              <a:solidFill>
                <a:srgbClr val="000000"/>
              </a:solidFill>
            </a:ln>
          </c:spPr>
          <c:trendline>
            <c:name>Courbe de tendance pour série 1</c:name>
            <c:spPr>
              <a:ln w="19050">
                <a:solidFill>
                  <a:srgbClr val="000000"/>
                </a:solidFill>
              </a:ln>
            </c:spPr>
            <c:trendlineType val="linear"/>
            <c:dispRSqr val="1"/>
            <c:dispEq val="0"/>
          </c:trendline>
          <c:cat>
            <c:strRef>
              <c:f>'Tableau croisé dynamique 14'!$A$2:$A$20</c:f>
            </c:strRef>
          </c:cat>
          <c:val>
            <c:numRef>
              <c:f>'Tableau croisé dynamique 14'!$B$2:$B$20</c:f>
              <c:numCache/>
            </c:numRef>
          </c:val>
        </c:ser>
        <c:axId val="611196636"/>
        <c:axId val="859096531"/>
      </c:barChart>
      <c:catAx>
        <c:axId val="61119663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 Création - Année-mois</a:t>
                </a:r>
              </a:p>
            </c:rich>
          </c:tx>
          <c:overlay val="0"/>
        </c:title>
        <c:numFmt formatCode="General" sourceLinked="1"/>
        <c:majorTickMark val="none"/>
        <c:minorTickMark val="none"/>
        <c:spPr/>
        <c:txPr>
          <a:bodyPr/>
          <a:lstStyle/>
          <a:p>
            <a:pPr lvl="0">
              <a:defRPr b="0">
                <a:solidFill>
                  <a:srgbClr val="000000"/>
                </a:solidFill>
                <a:latin typeface="+mn-lt"/>
              </a:defRPr>
            </a:pPr>
          </a:p>
        </c:txPr>
        <c:crossAx val="859096531"/>
      </c:catAx>
      <c:valAx>
        <c:axId val="85909653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 de Commission</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611196636"/>
      </c:valAx>
    </c:plotArea>
    <c:legend>
      <c:legendPos val="r"/>
      <c:overlay val="0"/>
      <c:txPr>
        <a:bodyPr/>
        <a:lstStyle/>
        <a:p>
          <a:pPr lvl="0">
            <a:defRPr b="0">
              <a:solidFill>
                <a:srgbClr val="1A1A1A"/>
              </a:solidFill>
              <a:latin typeface="+mn-lt"/>
            </a:defRPr>
          </a:pPr>
        </a:p>
      </c:txPr>
    </c:legend>
    <c:plotVisOnly val="1"/>
  </c:chart>
</c:chartSpac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4.xml"/></Relationships>
</file>

<file path=xl/drawings/_rels/drawing8.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800100</xdr:colOff>
      <xdr:row>103</xdr:row>
      <xdr:rowOff>114300</xdr:rowOff>
    </xdr:from>
    <xdr:ext cx="5715000" cy="3533775"/>
    <xdr:graphicFrame>
      <xdr:nvGraphicFramePr>
        <xdr:cNvPr id="1" name="Chart 1" title="Graphique"/>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866775</xdr:colOff>
      <xdr:row>58</xdr:row>
      <xdr:rowOff>171450</xdr:rowOff>
    </xdr:from>
    <xdr:ext cx="5715000" cy="3533775"/>
    <xdr:graphicFrame>
      <xdr:nvGraphicFramePr>
        <xdr:cNvPr id="2" name="Chart 2" title="Graphique"/>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37</xdr:col>
      <xdr:colOff>361950</xdr:colOff>
      <xdr:row>38</xdr:row>
      <xdr:rowOff>19050</xdr:rowOff>
    </xdr:from>
    <xdr:ext cx="5715000" cy="3533775"/>
    <xdr:graphicFrame>
      <xdr:nvGraphicFramePr>
        <xdr:cNvPr id="3" name="Chart 3" title="Graphique"/>
        <xdr:cNvGraphicFramePr/>
      </xdr:nvGraphicFramePr>
      <xdr:xfrm>
        <a:off x="0" y="0"/>
        <a:ext cx="0" cy="0"/>
      </xdr:xfrm>
      <a:graphic>
        <a:graphicData uri="http://schemas.openxmlformats.org/drawingml/2006/chart">
          <c:chart r:id="rId3"/>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15</xdr:col>
      <xdr:colOff>752475</xdr:colOff>
      <xdr:row>2</xdr:row>
      <xdr:rowOff>161925</xdr:rowOff>
    </xdr:from>
    <xdr:ext cx="5715000" cy="3533775"/>
    <xdr:graphicFrame>
      <xdr:nvGraphicFramePr>
        <xdr:cNvPr id="4" name="Chart 4" title="Graphique"/>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676275</xdr:colOff>
      <xdr:row>5</xdr:row>
      <xdr:rowOff>66675</xdr:rowOff>
    </xdr:from>
    <xdr:ext cx="5715000" cy="3533775"/>
    <xdr:graphicFrame>
      <xdr:nvGraphicFramePr>
        <xdr:cNvPr id="5" name="Chart 5" title="Graphique"/>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3.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4.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5.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6.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7.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8.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9.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10.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1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12.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13.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14.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AC1322" sheet="Global1"/>
  </cacheSource>
  <cacheFields>
    <cacheField name="Talent" numFmtId="0">
      <sharedItems>
        <s v="Pauline"/>
        <s v="Chiara"/>
        <s v="Melissa"/>
        <s v="Camille"/>
        <s v="Lily Noël"/>
        <s v="Lina"/>
        <s v="Flavie"/>
        <s v="Jessica"/>
        <s v="Orane"/>
        <s v="Lola"/>
        <s v="Juliane"/>
        <s v="Alice"/>
        <s v="Laurie"/>
        <s v="Perrine"/>
        <s v="Morgane"/>
        <s v="Lise"/>
        <s v="Jeanne"/>
        <s v="Mary"/>
        <s v="Melissa P"/>
        <s v="Anaïs"/>
        <s v="Salma"/>
        <s v="Aïcha"/>
        <s v="Jasmine"/>
        <s v="Asmae"/>
        <s v="Rachel"/>
        <s v="Arwen"/>
        <s v="Iman"/>
        <s v="Moped"/>
        <s v="Dounia"/>
        <s v="Gurbet"/>
        <s v="Amani"/>
        <s v="Hidaya"/>
        <s v="Sirine"/>
        <s v="Eloise"/>
        <s v="Imane"/>
        <s v="Marine"/>
        <s v="Sofia"/>
        <s v="Sarah"/>
        <s v="Eiliassa"/>
        <s v="Farah"/>
        <s v="Estelle"/>
        <s v="Juliette"/>
        <s v="Nidal"/>
        <s v="Lola H."/>
        <s v="Morgane C"/>
        <s v="Chloe"/>
        <s v="Laura"/>
        <s v="Lilou"/>
        <s v="Lily"/>
        <s v="Amanda"/>
        <s v="Glenn"/>
        <s v="--"/>
        <s v="Amelle"/>
        <s v="Angie"/>
        <s v="Fanny"/>
        <s v="Laurine"/>
        <s v="Marlène"/>
        <s v="Migos Media"/>
        <s v="Romane"/>
        <s v="Maeva"/>
        <s v="Gurbet "/>
        <s v="Juliette D"/>
        <s v="Laura F"/>
      </sharedItems>
    </cacheField>
    <cacheField name="Date Création" numFmtId="164">
      <sharedItems containsDate="1" containsString="0" containsBlank="1">
        <d v="2024-03-01T00:00:00Z"/>
        <d v="2024-03-15T00:00:00Z"/>
        <m/>
        <d v="2024-03-30T00:00:00Z"/>
        <d v="2024-03-25T00:00:00Z"/>
        <d v="2024-04-08T00:00:00Z"/>
        <d v="2024-04-11T00:00:00Z"/>
        <d v="2024-03-21T00:00:00Z"/>
        <d v="2024-04-25T00:00:00Z"/>
        <d v="2024-04-19T00:00:00Z"/>
        <d v="2024-05-07T00:00:00Z"/>
        <d v="2024-05-06T00:00:00Z"/>
        <d v="2024-05-02T00:00:00Z"/>
        <d v="2024-05-13T00:00:00Z"/>
        <d v="2024-05-14T00:00:00Z"/>
        <d v="2024-03-20T00:00:00Z"/>
        <d v="2024-04-10T00:00:00Z"/>
        <d v="2024-05-30T00:00:00Z"/>
        <d v="2024-05-11T00:00:00Z"/>
        <d v="2024-04-30T00:00:00Z"/>
        <d v="2024-05-23T00:00:00Z"/>
        <d v="2024-05-16T00:00:00Z"/>
        <d v="2024-06-08T00:00:00Z"/>
        <d v="2024-06-20T00:00:00Z"/>
        <d v="2024-06-18T00:00:00Z"/>
        <d v="2024-06-12T00:00:00Z"/>
        <d v="2024-06-24T00:00:00Z"/>
        <d v="2024-06-11T00:00:00Z"/>
        <d v="2024-07-16T00:00:00Z"/>
        <d v="2024-07-25T00:00:00Z"/>
        <d v="2024-07-03T00:00:00Z"/>
        <d v="2024-06-17T00:00:00Z"/>
        <d v="2024-06-27T00:00:00Z"/>
        <d v="2024-07-06T00:00:00Z"/>
        <d v="2024-06-14T00:00:00Z"/>
        <d v="2024-07-24T00:00:00Z"/>
        <d v="2024-07-10T00:00:00Z"/>
        <d v="2024-08-01T00:00:00Z"/>
        <d v="2024-07-04T00:00:00Z"/>
        <d v="2024-07-23T00:00:00Z"/>
        <d v="2024-07-21T00:00:00Z"/>
        <d v="2024-08-06T00:00:00Z"/>
        <d v="2024-07-29T00:00:00Z"/>
        <d v="2024-07-30T00:00:00Z"/>
        <d v="2024-07-17T00:00:00Z"/>
        <d v="2024-08-02T00:00:00Z"/>
        <d v="2024-07-31T00:00:00Z"/>
        <d v="2024-08-21T00:00:00Z"/>
        <d v="2024-08-19T00:00:00Z"/>
        <d v="2024-08-13T00:00:00Z"/>
        <d v="2024-09-11T00:00:00Z"/>
        <d v="2024-08-16T00:00:00Z"/>
        <d v="2024-09-12T00:00:00Z"/>
        <d v="2024-08-23T00:00:00Z"/>
        <d v="2024-09-04T00:00:00Z"/>
        <d v="2025-05-20T00:00:00Z"/>
        <d v="2024-09-09T00:00:00Z"/>
        <d v="2024-08-28T00:00:00Z"/>
        <d v="2024-09-14T00:00:00Z"/>
        <d v="2024-09-13T00:00:00Z"/>
        <d v="2024-08-20T00:00:00Z"/>
        <d v="2024-09-26T00:00:00Z"/>
        <d v="2024-08-29T00:00:00Z"/>
        <d v="2025-05-13T00:00:00Z"/>
        <d v="2024-09-03T00:00:00Z"/>
        <d v="2024-09-27T00:00:00Z"/>
        <d v="2024-10-01T00:00:00Z"/>
        <d v="2025-05-07T00:00:00Z"/>
        <d v="2024-10-28T00:00:00Z"/>
        <d v="2024-09-10T00:00:00Z"/>
        <d v="2024-10-15T00:00:00Z"/>
        <d v="2024-10-29T00:00:00Z"/>
        <d v="2024-10-24T00:00:00Z"/>
        <d v="2024-10-02T00:00:00Z"/>
        <d v="2024-10-30T00:00:00Z"/>
        <d v="2024-10-14T00:00:00Z"/>
        <d v="2024-10-25T00:00:00Z"/>
        <d v="2024-11-05T00:00:00Z"/>
        <d v="2024-11-08T00:00:00Z"/>
        <d v="2024-11-04T00:00:00Z"/>
        <d v="2024-10-23T00:00:00Z"/>
        <d v="2024-11-29T00:00:00Z"/>
        <d v="2024-11-19T00:00:00Z"/>
        <d v="2024-12-09T00:00:00Z"/>
        <d v="2024-11-26T00:00:00Z"/>
        <d v="2024-11-25T00:00:00Z"/>
        <d v="2024-12-05T00:00:00Z"/>
        <d v="2024-12-16T00:00:00Z"/>
        <d v="2024-11-11T00:00:00Z"/>
        <d v="2024-12-03T00:00:00Z"/>
        <d v="2024-12-24T00:00:00Z"/>
        <d v="2025-02-20T00:00:00Z"/>
        <d v="2024-12-23T00:00:00Z"/>
        <d v="2025-01-07T00:00:00Z"/>
        <d v="2024-12-12T00:00:00Z"/>
        <d v="2025-01-21T00:00:00Z"/>
        <d v="2025-01-24T00:00:00Z"/>
        <d v="2025-01-17T00:00:00Z"/>
        <d v="2025-01-09T00:00:00Z"/>
        <d v="2025-01-27T00:00:00Z"/>
        <d v="2025-01-23T00:00:00Z"/>
        <d v="2024-10-22T00:00:00Z"/>
        <d v="2024-10-21T00:00:00Z"/>
        <d v="2025-01-22T00:00:00Z"/>
        <d v="2025-01-16T00:00:00Z"/>
        <d v="2025-02-12T00:00:00Z"/>
        <d v="2025-02-18T00:00:00Z"/>
        <d v="2025-01-29T00:00:00Z"/>
        <d v="2025-02-14T00:00:00Z"/>
        <d v="2025-02-15T00:00:00Z"/>
        <d v="2025-02-06T00:00:00Z"/>
        <d v="2025-02-21T00:00:00Z"/>
        <d v="2025-03-31T00:00:00Z"/>
        <d v="2025-02-26T00:00:00Z"/>
        <d v="2025-02-28T00:00:00Z"/>
        <d v="2025-02-25T00:00:00Z"/>
        <d v="2025-02-19T00:00:00Z"/>
        <d v="2025-03-11T00:00:00Z"/>
        <d v="2025-03-21T00:00:00Z"/>
        <d v="2025-03-12T00:00:00Z"/>
        <d v="2025-03-17T00:00:00Z"/>
        <d v="2025-03-24T00:00:00Z"/>
        <d v="2025-03-10T00:00:00Z"/>
        <d v="2025-03-14T00:00:00Z"/>
        <d v="2025-04-17T00:00:00Z"/>
        <d v="2025-03-16T00:00:00Z"/>
        <d v="2025-04-04T00:00:00Z"/>
        <d v="2025-04-07T00:00:00Z"/>
        <d v="2025-04-15T00:00:00Z"/>
        <d v="2025-04-25T00:00:00Z"/>
        <d v="2025-05-16T00:00:00Z"/>
        <d v="2025-04-14T00:00:00Z"/>
        <d v="2025-03-28T00:00:00Z"/>
        <d v="2025-03-06T00:00:00Z"/>
        <d v="2025-03-20T00:00:00Z"/>
        <d v="2025-04-09T00:00:00Z"/>
        <d v="2025-04-11T00:00:00Z"/>
        <d v="2025-03-13T00:00:00Z"/>
        <d v="2025-04-08T00:00:00Z"/>
        <d v="2025-04-30T00:00:00Z"/>
        <d v="2025-04-21T00:00:00Z"/>
        <d v="2025-06-02T00:00:00Z"/>
        <d v="2025-06-10T00:00:00Z"/>
        <d v="2025-03-30T00:00:00Z"/>
        <d v="2025-03-26T00:00:00Z"/>
        <d v="2025-06-20T00:00:00Z"/>
        <d v="2025-02-10T00:00:00Z"/>
        <d v="2025-05-19T00:00:00Z"/>
        <d v="2025-04-24T00:00:00Z"/>
        <d v="2025-06-26T00:00:00Z"/>
        <d v="2025-05-23T00:00:00Z"/>
        <d v="2025-05-06T00:00:00Z"/>
        <d v="2025-05-24T00:00:00Z"/>
        <d v="2025-06-05T00:00:00Z"/>
        <d v="2025-05-27T00:00:00Z"/>
        <d v="2025-06-12T00:00:00Z"/>
        <d v="2025-05-28T00:00:00Z"/>
        <d v="2025-06-16T00:00:00Z"/>
        <d v="2025-06-18T00:00:00Z"/>
        <d v="2025-06-11T00:00:00Z"/>
        <d v="2025-06-23T00:00:00Z"/>
        <d v="2025-02-03T00:00:00Z"/>
        <d v="2025-06-04T00:00:00Z"/>
        <d v="2025-05-22T00:00:00Z"/>
        <d v="2025-06-22T00:00:00Z"/>
        <d v="2025-07-16T00:00:00Z"/>
        <d v="2025-06-19T00:00:00Z"/>
        <d v="2025-07-01T00:00:00Z"/>
        <d v="2025-06-17T00:00:00Z"/>
        <d v="2025-06-13T00:00:00Z"/>
        <d v="2025-07-03T00:00:00Z"/>
        <d v="2024-10-18T00:00:00Z"/>
        <d v="2025-05-29T00:00:00Z"/>
        <d v="2025-06-30T00:00:00Z"/>
        <d v="2025-03-07T00:00:00Z"/>
        <d v="2024-09-08T00:00:00Z"/>
        <d v="2024-10-08T00:00:00Z"/>
        <d v="2024-11-13T00:00:00Z"/>
        <d v="2024-12-10T00:00:00Z"/>
        <d v="2024-12-04T00:00:00Z"/>
        <d v="2024-06-07T00:00:00Z"/>
        <d v="2024-05-31T00:00:00Z"/>
        <d v="2025-02-23T00:00:00Z"/>
        <d v="2024-11-07T00:00:00Z"/>
        <d v="2024-11-28T00:00:00Z"/>
        <d v="2024-12-18T00:00:00Z"/>
        <d v="2025-02-11T00:00:00Z"/>
        <d v="2025-02-07T00:00:00Z"/>
        <d v="2024-09-05T00:00:00Z"/>
        <d v="2024-12-13T00:00:00Z"/>
        <d v="2024-03-08T00:00:00Z"/>
        <d v="2024-04-22T00:00:00Z"/>
        <d v="2024-05-17T00:00:00Z"/>
        <d v="2024-04-24T00:00:00Z"/>
        <d v="2024-05-24T00:00:00Z"/>
        <d v="2024-07-19T00:00:00Z"/>
        <d v="2024-08-09T00:00:00Z"/>
        <d v="2024-07-01T00:00:00Z"/>
        <d v="2024-08-26T00:00:00Z"/>
        <d v="2024-09-17T00:00:00Z"/>
        <d v="2024-09-25T00:00:00Z"/>
        <d v="2024-09-30T00:00:00Z"/>
        <d v="2024-10-10T00:00:00Z"/>
        <d v="2024-12-02T00:00:00Z"/>
        <d v="2025-01-06T00:00:00Z"/>
        <d v="2025-01-13T00:00:00Z"/>
        <d v="2024-06-26T00:00:00Z"/>
        <d v="2024-08-07T00:00:00Z"/>
        <d v="2024-07-11T00:00:00Z"/>
        <d v="2024-09-16T00:00:00Z"/>
        <d v="2024-11-14T00:00:00Z"/>
        <d v="2024-03-22T00:00:00Z"/>
        <d v="2024-04-06T00:00:00Z"/>
        <d v="2024-04-07T00:00:00Z"/>
        <d v="2024-06-04T00:00:00Z"/>
        <d v="2024-10-11T00:00:00Z"/>
        <d v="2024-03-23T00:00:00Z"/>
        <d v="2024-04-04T00:00:00Z"/>
        <d v="2024-04-09T00:00:00Z"/>
        <d v="2024-05-21T00:00:00Z"/>
        <d v="2024-05-27T00:00:00Z"/>
        <d v="2024-08-27T00:00:00Z"/>
        <d v="2025-04-12T00:00:00Z"/>
        <d v="2024-02-28T00:00:00Z"/>
        <d v="2024-05-28T00:00:00Z"/>
        <d v="2024-09-23T00:00:00Z"/>
        <d v="2024-06-30T00:00:00Z"/>
        <d v="2024-09-20T00:00:00Z"/>
        <d v="2024-10-07T00:00:00Z"/>
        <d v="2024-03-27T00:00:00Z"/>
        <d v="2024-04-13T00:00:00Z"/>
        <d v="2024-04-27T00:00:00Z"/>
        <d v="2024-01-15T00:00:00Z"/>
        <d v="2024-01-14T00:00:00Z"/>
        <d v="2025-03-18T00:00:00Z"/>
        <d v="2024-05-18T00:00:00Z"/>
        <d v="2024-06-19T00:00:00Z"/>
        <d v="2024-10-09T00:00:00Z"/>
        <d v="2024-11-12T00:00:00Z"/>
        <d v="2024-12-19T00:00:00Z"/>
        <d v="2025-02-22T00:00:00Z"/>
        <d v="2024-03-26T00:00:00Z"/>
        <d v="2024-05-20T00:00:00Z"/>
        <d v="2024-07-08T00:00:00Z"/>
        <d v="2024-11-22T00:00:00Z"/>
        <d v="2024-10-31T00:00:00Z"/>
        <d v="2024-07-15T00:00:00Z"/>
        <d v="2024-09-24T00:00:00Z"/>
        <d v="2024-02-15T00:00:00Z"/>
        <d v="2024-04-26T00:00:00Z"/>
        <d v="2024-06-03T00:00:00Z"/>
        <d v="2024-04-12T00:00:00Z"/>
        <d v="2024-07-09T00:00:00Z"/>
        <d v="2024-09-29T00:00:00Z"/>
        <d v="2024-10-06T00:00:00Z"/>
        <d v="2024-10-16T00:00:00Z"/>
        <d v="2024-09-19T00:00:00Z"/>
        <d v="2024-03-28T00:00:00Z"/>
        <d v="2024-10-17T00:00:00Z"/>
        <d v="2025-04-29T00:00:00Z"/>
        <d v="2024-03-18T00:00:00Z"/>
        <d v="2024-08-14T00:00:00Z"/>
        <d v="2024-09-01T00:00:00Z"/>
        <d v="2024-11-15T00:00:00Z"/>
        <d v="2025-01-03T00:00:00Z"/>
        <d v="2024-07-18T00:00:00Z"/>
        <d v="2025-07-11T00:00:00Z"/>
        <d v="2025-07-18T00:00:00Z"/>
        <d v="2025-07-21T00:00:00Z"/>
        <d v="2025-07-22T00:00:00Z"/>
        <d v="2025-07-24T00:00:00Z"/>
        <d v="2025-07-25T00:00:00Z"/>
        <d v="2025-07-28T00:00:00Z"/>
        <d v="2025-06-24T00:00:00Z"/>
        <d v="2025-07-14T00:00:00Z"/>
        <d v="2025-06-27T00:00:00Z"/>
      </sharedItems>
    </cacheField>
    <cacheField name="Marque" numFmtId="3">
      <sharedItems>
        <s v="BYS Maquillage"/>
        <s v="Yepoda"/>
        <s v="Rimmel London"/>
        <s v="SHEIN"/>
        <s v="Yves Rocher"/>
        <s v="Temu"/>
        <s v="Anua"/>
        <s v="SOS Beauty"/>
        <s v="Haru Haru Wonder"/>
        <s v="Maybelline"/>
        <s v="Koru"/>
        <s v="PINKO PAZZESCO"/>
        <s v="GHD"/>
        <s v="SKIN1004"/>
        <s v="Les Pistolets en Plastique"/>
        <s v="Rose Skin Co."/>
        <s v="Skin &amp; Out"/>
        <s v="Dyson"/>
        <s v="Satinée"/>
        <s v="BodyCross"/>
        <s v="Garnier"/>
        <s v="Eau Thermale Jonzac"/>
        <s v="So Bio Etic"/>
        <s v="Terre de Mars"/>
        <s v="Commonlabs"/>
        <s v="BENEFIT"/>
        <s v="Anastasia Beverly Hills"/>
        <s v="Grande Cosmetics"/>
        <s v="Mixa"/>
        <s v="My House of Jewels"/>
        <s v="Uriage"/>
        <s v="Erborian"/>
        <s v="Lancôme "/>
        <s v="Nocibé"/>
        <s v="Crocs"/>
        <s v="JOLT"/>
        <s v="Ducray"/>
        <s v="Bioré"/>
        <s v="La Roche Posay"/>
        <s v="Yesstyle"/>
        <s v="Sheglam"/>
        <s v="Abib"/>
        <s v="Bershka"/>
        <s v="Dr.Althea"/>
        <s v="Stylevana"/>
        <s v="Dreame"/>
        <s v="Lancôme"/>
        <s v="Wandernana"/>
        <s v="Essence"/>
        <s v="Monopoly Go"/>
        <s v="Frank Provost"/>
        <s v="Myriam K Paris"/>
        <s v="Sol De Janeiro"/>
        <s v="Mixsoon"/>
        <s v="Current Body"/>
        <s v="Aïa Curl"/>
        <s v="Aromazone"/>
        <s v="iHerb"/>
        <s v="Mova"/>
        <s v="L'Oréal"/>
        <s v="Hacoo"/>
        <s v="Biocyte"/>
        <s v="Musc Intime"/>
        <s v="NYX"/>
        <s v="L'Oreal"/>
        <s v="Remington"/>
        <s v="Dynveo"/>
        <s v="Vitavea"/>
        <s v="Uberliss"/>
        <s v="Luxéol"/>
        <s v="Darry Ring"/>
        <s v="Capcut"/>
        <s v="Redken"/>
        <s v="Naali"/>
        <s v="Cerave"/>
        <s v="Paalm Cosmetics"/>
        <s v="Shavest"/>
        <s v="Inava"/>
        <s v="Cellublue"/>
        <s v="Caudalie"/>
        <s v="Voghion"/>
        <s v="BeReal"/>
        <s v="Current Body "/>
        <s v="Ali Express"/>
        <s v="Keracare"/>
        <s v="ZIIP"/>
        <s v="Feel My Skin"/>
        <s v="BYD"/>
        <s v="ISIS Pharma"/>
        <s v="Sanytol"/>
        <s v="Mavatys"/>
        <s v="Sanex"/>
        <s v="My Little Box "/>
        <s v="Lazartigue"/>
        <s v="Solinotes"/>
        <s v="It Fruit"/>
        <s v="TORRAS"/>
        <s v="Medicube"/>
        <s v="H&amp;S"/>
        <s v="Perroy Parfum"/>
        <s v="Nike"/>
        <s v="Bella Barrnett"/>
        <s v="Passion Marine"/>
        <s v="Avene"/>
        <s v="Beauty Of Joseon"/>
        <s v="Etiaxil"/>
        <s v="Just Spin"/>
        <s v="PlanJoy"/>
        <s v="YTTP"/>
        <s v="Sanytol "/>
        <s v="Dior"/>
        <s v="Pretty Little Things"/>
        <s v="L'Univers de Baya"/>
        <s v="Bob Oré"/>
        <s v="YSL"/>
        <s v="Ouvéa"/>
        <s v="Cider"/>
        <s v="Milk Make Up"/>
        <s v="SPA &amp; BIEN ÊTRE - GRAVITI"/>
        <s v="Ole Henriksen"/>
        <s v="Rare Beauty"/>
        <s v="Lancôme #MWL"/>
        <s v="Clarine"/>
        <s v="SHU UEMURA"/>
        <s v="Aveda"/>
        <s v="Clinique"/>
        <s v="KIEHLS"/>
        <s v="Embryolisse"/>
        <s v="Focus Skincare"/>
        <s v="MILK"/>
        <s v="Superdry"/>
        <s v="Prada"/>
        <s v="YSL Stylo Touche Éclat"/>
        <s v="R.E.M Beauty"/>
        <s v="IT Cosmetics"/>
        <s v="Lancôme - HYPNOSE DRAMA 🖤"/>
        <s v="Charlotte Tilburry (Nice Work)"/>
        <s v="YSL Beauty Summer Box"/>
        <s v="Fenty"/>
        <s v="Dr. Dennis Gross (Nice Work)"/>
        <s v="YSL Blushs "/>
        <s v="Valentino"/>
        <s v="Huda Beauty"/>
        <s v="Sephora"/>
        <s v="Charlotte Tilburry"/>
        <s v="The Inkey List"/>
        <s v="Cecotec"/>
        <s v="Vichy"/>
        <s v="Flower Knows"/>
        <s v="Rituals"/>
        <s v="Respire"/>
        <s v="LANEIGE"/>
        <s v="Glow Recipe"/>
        <s v="Franck Provost"/>
        <s v="MAC Cosmetics"/>
        <s v="Milk Makeup (Nice Work)"/>
        <s v="Typology"/>
        <s v="Kiehl's"/>
        <s v="JW PEI"/>
        <s v="Bloom"/>
        <s v="Nars"/>
        <s v="The Commense"/>
        <s v="Bijoux Divins"/>
        <s v="Biotherm"/>
        <s v="Courrèges (Nice Work)"/>
        <s v="Pulpe de Vie"/>
        <s v="Dieti Natura"/>
        <s v="Make Up For Ever"/>
        <s v="Jimmy Fairly"/>
        <s v="Lili Sidonio"/>
        <s v="Dr Jart +"/>
        <s v="Gallinée"/>
        <s v="Evoluderm"/>
        <s v="Drunk Elephant"/>
        <s v="Shokz"/>
        <s v="Fresh"/>
        <s v="Bourjois"/>
        <s v="Too Faced"/>
        <s v="L'Oréal Professionnel"/>
        <s v="NARS (Nice Work)"/>
        <s v="Fenty (Nice Work)"/>
        <s v="Black &amp; White Burger"/>
        <s v="Daylo"/>
        <s v="Maria Nila"/>
        <s v="The Inkey List (Nice Work)"/>
        <s v="Wonderskin"/>
        <s v="Olaplex (Nice Work)"/>
        <s v="Kurku-ma"/>
        <s v="Origins"/>
        <s v="Kielh's"/>
        <s v="SAYANA"/>
        <s v="Havaianas"/>
        <s v="Réelle"/>
        <s v="Rare Beauty (Nice Work)"/>
        <s v="Boohoo"/>
        <s v="Kylie"/>
        <s v="Eau Thermale Jonzac "/>
        <s v="Hawkers"/>
        <s v="The Ordinary"/>
        <s v="Myrimimi"/>
        <s v="Fenty Skin"/>
        <s v="L'Oreal Luxe"/>
        <s v="Maybelline Concours"/>
        <s v="Sol de Janeiro (Nice Work)"/>
        <s v="TOMO"/>
        <s v="TABASQUISHY"/>
        <s v="Armani Beauty"/>
        <s v="Summer Fridays"/>
        <s v="Lanolips"/>
        <s v="Kiko Milano"/>
        <s v="Halal Nutrition"/>
        <s v="Kylie Cosmetics"/>
        <s v="My Little Box"/>
        <s v="Cuure"/>
        <s v="Interview"/>
        <s v="Le Petit Lunetier"/>
        <s v="Maybelline "/>
        <s v="Kalista"/>
        <s v="Neutrogena"/>
        <s v="Néonail"/>
        <s v="Milk Make Up (Nice Work)"/>
        <s v="Ongle24"/>
        <s v="Bobbi Brown"/>
        <s v="Axis-Y"/>
        <s v="Filorga"/>
        <s v="YSL Beauty Summer Box (Nice Work)"/>
        <s v="Estée Lauder"/>
        <s v="ULIKE"/>
        <s v="La Boutique du Coiffeur"/>
        <s v="Weleda"/>
        <s v="Seasonly"/>
        <s v="YSL "/>
        <s v="Air Up"/>
        <s v="Saforelle"/>
        <s v="Chantelle"/>
        <s v="Lancôme Event"/>
        <s v="Hourglass"/>
        <s v="Celimax"/>
        <s v="Dexeryl"/>
        <s v="Steam One "/>
        <s v="Talisma"/>
        <s v="Owari"/>
        <s v="No More Beauty"/>
        <s v="EA Pharma"/>
        <s v="Mymosa"/>
        <s v="Nuxe"/>
        <s v="Coco &amp; Eve"/>
      </sharedItems>
    </cacheField>
    <cacheField name="Complément">
      <sharedItems containsBlank="1" containsMixedTypes="1" containsNumber="1" containsInteger="1">
        <m/>
        <s v="CA"/>
        <s v="BOURS"/>
        <s v="Lancôme #MWL"/>
        <n v="2.0"/>
        <s v="GRWM for bed"/>
        <s v="Whats in my bag"/>
        <n v="1.0"/>
        <s v="Woo Juicy Tubes"/>
        <s v="Army"/>
        <s v="Shein deals "/>
        <s v="nov"/>
        <s v="janv"/>
        <s v="AMZ"/>
        <s v="Juicy"/>
        <s v="Sun Serum"/>
        <s v="Poremizing"/>
        <s v="PM Clay Stick"/>
        <s v="Relief"/>
        <s v="2-Double Cleansing"/>
        <s v="3-Sun Serum Hyalu"/>
        <s v="4-Tone Brightening"/>
        <s v="Tiktok"/>
        <s v="Mega Haul + Full Face Campaign"/>
        <s v="5- Glow Project"/>
        <s v="Black Friday et du Cyber Monday de SHEIN"/>
        <s v=" 💎SHEGLAM Partnership: SHEGLAM Liquid Fam Festival Glow Set"/>
        <s v="déc"/>
        <s v="👐️ SHEGLAM: Partnership Opportunity"/>
        <s v="1-PM Clay Stick"/>
        <s v="TT"/>
        <s v="Revitalift"/>
        <s v="poremizing quick clay stick mask "/>
        <s v="Poremizing Clay Stick Mask "/>
        <s v="hello kitty"/>
        <s v="février"/>
        <s v="Bold Booster Lip Combo Campaign"/>
        <s v="Big Cil mars"/>
        <s v="Blowdry"/>
        <s v="mars"/>
        <s v="THE Adventure Time X SHEGLAM COLLECTION"/>
        <s v="avril"/>
        <s v="Full SkinCare Routine in 1 Box"/>
        <s v="Double Cleansing"/>
        <s v="Big Cil avril"/>
        <s v="Lissage avril "/>
        <s v="Compléments alimentaire mai"/>
        <s v="Big Cil juin"/>
        <s v="Big Cil mai"/>
        <s v="Hyalu-Cica Sunserum "/>
        <s v="mai"/>
        <s v="Glow project "/>
        <s v="#1Bean Essence + Bean Cream + Centella Sun Cream routine "/>
        <s v="Tone-Brightening Ampoule"/>
        <s v="Glow Project"/>
        <s v="PM Stick "/>
        <s v="Lissage juin"/>
        <s v="skin care routine for beginners "/>
        <s v="Stick Mask"/>
        <s v="Beginner Routine"/>
        <s v="SKIN MASK CLAY"/>
        <s v="Tone Brightening"/>
        <s v="ad"/>
        <s v="UGC Trousse"/>
        <s v="Essentials home"/>
        <s v="UGC"/>
        <s v="Beach day "/>
        <s v="Festival outfitxtravel"/>
        <s v="Essentials home "/>
        <s v="#2 Bean Essence"/>
        <s v="Beach day"/>
        <s v="Bean Essence + Bean Cream + Centella Sun Cream routine"/>
        <s v="Bean Collagen Hydrogel Mask Pack"/>
        <s v="#3 Bean Collagen Hydrogel Mask Pack"/>
        <s v="Festival outfit "/>
        <s v="Collagen Cleansing Balm"/>
        <s v="Centella Sun Cream"/>
        <s v="Bean Cleansing Oil + Centella Cleansing Foam routine"/>
        <s v="Sunscreen Comparison"/>
        <s v="Soondy Centella Asiatica Essnece, Glacier Waster Hyaluronic Acid Serum, Bean Essence Layering"/>
        <s v="#4 Centella Sun Cream"/>
        <s v="Temps forts "/>
        <s v="skin care for beginners "/>
        <s v="sun serum real"/>
        <s v="lash idole"/>
        <s v="Masque"/>
        <s v="Tone brightening "/>
        <s v="PAS REÇU"/>
        <s v="Bean Essence"/>
        <s v=" Precision Sculpt"/>
        <s v="GLOW Project (Hyalu-Cica sun Serum + Probio-cica ampoule)"/>
        <s v="Halloween"/>
        <n v="3.0"/>
        <s v="SPF"/>
        <s v="LIP IDÔLE 💄"/>
        <s v="Juicy Tubes"/>
        <s v="Apres Collection Calendrier"/>
        <s v="Candy Glow"/>
        <s v="LASH IDÔLE"/>
        <s v="Saint Valentin"/>
        <s v="Produits Cultes"/>
        <s v="Best sellers"/>
        <s v="Loveshin &amp; Candy Glaze "/>
        <s v="2024 Black Friday Product Review"/>
        <s v="fev"/>
        <s v="creme solaire"/>
        <s v="Nice Work"/>
        <s v="Calendrier"/>
        <s v="Mascara Flutter Extension"/>
        <s v="Loveshine Plumping Lip Gloss"/>
        <s v="SHEIN Grosses Remises Day ! 🔥 Réglez votre rappel maintenant !"/>
        <s v="Fenty (Nice Work)"/>
        <s v="Hydra Jelly Pocket Lip Jam Campaign"/>
        <s v="Brumes"/>
        <s v="Pimple Patch"/>
        <s v="sérum + gel crème hyalu B5"/>
        <s v="Bell Hypoallergenique"/>
        <s v="CandyGlow"/>
        <s v="Patch"/>
        <s v="Revitalift IG"/>
        <s v="Noël"/>
        <s v="Sélection"/>
        <s v="Lissage mars"/>
        <s v="Mascara"/>
        <s v="Poremizing Light Gel Cream"/>
        <s v="Skincare Routine for Beginners"/>
        <s v="Collagen Glass Skin Mask"/>
        <s v="GLOW Project (Hyalu-Cica sun Serum + Probio-cica ampoule) "/>
        <s v="Cica-Hyal Sun Stick"/>
        <s v="#5 Bean Cleansing Oil + Centella Cleansing Foam routine"/>
        <s v="Centella Clenasing Foam + Centella Toner Pad + Soondy Centella Asiatica Essnece + Bean Cream + Centella Sun Cream Routine"/>
        <s v="Tone-Brightening Ampoule "/>
        <s v="#6 Soondy Centella Asiatica Essnece, Glacier Waster Hyaluronic Acid Serum, Bean Essence Layering"/>
        <s v="#7 Bean Cream"/>
        <s v="#8 Soybean Milk Serum"/>
        <s v="#9 Cica-Hyal Sun Stick"/>
        <s v="#10 Centella Clenasing Foam + Centella Toner Pad + Soondy Centella Asiatica Essnece + Bean Cream + Centella Sun Cream Routine"/>
        <s v="Complement juillet"/>
        <s v="Complement aout"/>
      </sharedItems>
    </cacheField>
    <cacheField name=" Brouillon draft">
      <sharedItems containsDate="1" containsBlank="1" containsMixedTypes="1">
        <d v="2024-02-29T00:00:00Z"/>
        <d v="2024-03-14T00:00:00Z"/>
        <d v="2024-04-03T00:00:00Z"/>
        <d v="2024-04-05T00:00:00Z"/>
        <d v="2024-04-15T00:00:00Z"/>
        <d v="2024-04-19T00:00:00Z"/>
        <d v="2024-04-22T00:00:00Z"/>
        <d v="2024-04-26T00:00:00Z"/>
        <d v="2024-04-27T00:00:00Z"/>
        <d v="2024-04-28T00:00:00Z"/>
        <d v="2024-04-29T00:00:00Z"/>
        <d v="2024-05-06T00:00:00Z"/>
        <d v="2024-05-07T00:00:00Z"/>
        <d v="2024-05-08T00:00:00Z"/>
        <d v="2024-05-09T00:00:00Z"/>
        <d v="2024-05-12T00:00:00Z"/>
        <d v="2024-05-13T00:00:00Z"/>
        <d v="2024-05-15T00:00:00Z"/>
        <d v="2024-05-19T00:00:00Z"/>
        <d v="2024-05-24T00:00:00Z"/>
        <d v="2024-05-25T00:00:00Z"/>
        <d v="2024-05-26T00:00:00Z"/>
        <d v="2024-05-30T00:00:00Z"/>
        <d v="2024-06-12T00:00:00Z"/>
        <d v="2024-06-13T00:00:00Z"/>
        <d v="2024-06-14T00:00:00Z"/>
        <d v="2024-06-15T00:00:00Z"/>
        <d v="2024-06-18T00:00:00Z"/>
        <d v="2024-06-16T00:00:00Z"/>
        <d v="2024-06-17T00:00:00Z"/>
        <d v="2024-06-19T00:00:00Z"/>
        <d v="2024-06-20T00:00:00Z"/>
        <d v="2024-06-22T00:00:00Z"/>
        <d v="2024-06-23T00:00:00Z"/>
        <d v="2024-06-24T00:00:00Z"/>
        <d v="2024-06-25T00:00:00Z"/>
        <d v="2024-06-29T00:00:00Z"/>
        <d v="2024-07-02T00:00:00Z"/>
        <d v="2024-07-06T00:00:00Z"/>
        <d v="2024-07-07T00:00:00Z"/>
        <d v="2024-07-08T00:00:00Z"/>
        <d v="2024-07-10T00:00:00Z"/>
        <d v="2024-07-13T00:00:00Z"/>
        <d v="2024-07-17T00:00:00Z"/>
        <d v="2024-07-18T00:00:00Z"/>
        <d v="2024-07-19T00:00:00Z"/>
        <d v="2024-07-21T00:00:00Z"/>
        <d v="2024-07-22T00:00:00Z"/>
        <d v="2024-07-27T00:00:00Z"/>
        <d v="2024-07-29T00:00:00Z"/>
        <d v="2024-07-28T00:00:00Z"/>
        <d v="2024-07-30T00:00:00Z"/>
        <m/>
        <d v="2024-08-02T00:00:00Z"/>
        <d v="2024-08-07T00:00:00Z"/>
        <d v="2024-08-08T00:00:00Z"/>
        <d v="2024-08-11T00:00:00Z"/>
        <d v="2024-08-13T00:00:00Z"/>
        <d v="2024-08-14T00:00:00Z"/>
        <d v="2024-08-16T00:00:00Z"/>
        <d v="2024-08-18T00:00:00Z"/>
        <d v="2024-08-19T00:00:00Z"/>
        <d v="2024-08-20T00:00:00Z"/>
        <d v="2024-08-21T00:00:00Z"/>
        <d v="2024-08-22T00:00:00Z"/>
        <d v="2024-08-25T00:00:00Z"/>
        <d v="2024-08-28T00:00:00Z"/>
        <d v="2024-08-29T00:00:00Z"/>
        <d v="2024-08-30T00:00:00Z"/>
        <d v="2024-09-01T00:00:00Z"/>
        <d v="2024-09-02T00:00:00Z"/>
        <d v="2024-09-04T00:00:00Z"/>
        <d v="2024-09-08T00:00:00Z"/>
        <d v="2024-09-10T00:00:00Z"/>
        <d v="2024-09-12T00:00:00Z"/>
        <d v="2024-08-23T00:00:00Z"/>
        <d v="2024-09-13T00:00:00Z"/>
        <d v="2024-09-14T00:00:00Z"/>
        <d v="2024-09-16T00:00:00Z"/>
        <d v="2024-09-19T00:00:00Z"/>
        <d v="2024-09-22T00:00:00Z"/>
        <d v="2025-06-10T00:00:00Z"/>
        <d v="2024-09-23T00:00:00Z"/>
        <d v="2024-09-24T00:00:00Z"/>
        <d v="2024-09-28T00:00:00Z"/>
        <d v="2024-09-29T00:00:00Z"/>
        <d v="2024-10-06T00:00:00Z"/>
        <d v="2024-10-09T00:00:00Z"/>
        <d v="2024-10-07T00:00:00Z"/>
        <d v="2024-10-11T00:00:00Z"/>
        <d v="2024-10-16T00:00:00Z"/>
        <d v="2024-10-15T00:00:00Z"/>
        <d v="2024-09-21T00:00:00Z"/>
        <d v="2024-10-17T00:00:00Z"/>
        <d v="2024-10-18T00:00:00Z"/>
        <d v="2024-10-23T00:00:00Z"/>
        <d v="2025-06-11T00:00:00Z"/>
        <d v="2024-10-25T00:00:00Z"/>
        <d v="2024-10-27T00:00:00Z"/>
        <d v="2024-11-02T00:00:00Z"/>
        <d v="2024-11-03T00:00:00Z"/>
        <d v="2024-10-28T00:00:00Z"/>
        <d v="2024-10-30T00:00:00Z"/>
        <d v="2024-11-04T00:00:00Z"/>
        <d v="2024-11-05T00:00:00Z"/>
        <d v="2025-06-15T00:00:00Z"/>
        <d v="2024-10-24T00:00:00Z"/>
        <d v="2024-11-07T00:00:00Z"/>
        <d v="2024-11-10T00:00:00Z"/>
        <d v="2024-11-12T00:00:00Z"/>
        <d v="2024-11-06T00:00:00Z"/>
        <d v="2024-11-17T00:00:00Z"/>
        <d v="2024-11-11T00:00:00Z"/>
        <d v="2024-11-18T00:00:00Z"/>
        <d v="2024-11-14T00:00:00Z"/>
        <d v="2024-11-15T00:00:00Z"/>
        <d v="2024-11-19T00:00:00Z"/>
        <d v="2024-11-22T00:00:00Z"/>
        <d v="2024-11-20T00:00:00Z"/>
        <d v="2024-11-21T00:00:00Z"/>
        <d v="2024-11-24T00:00:00Z"/>
        <d v="2024-11-25T00:00:00Z"/>
        <d v="2024-11-28T00:00:00Z"/>
        <d v="2024-11-26T00:00:00Z"/>
        <d v="2024-11-27T00:00:00Z"/>
        <d v="2024-12-11T00:00:00Z"/>
        <s v="ANNULÉ NE PAS SUPP"/>
        <d v="2024-12-14T00:00:00Z"/>
        <d v="2024-12-15T00:00:00Z"/>
        <d v="2024-11-29T00:00:00Z"/>
        <d v="2024-12-03T00:00:00Z"/>
        <d v="2024-12-16T00:00:00Z"/>
        <d v="2025-02-11T00:00:00Z"/>
        <d v="2024-12-19T00:00:00Z"/>
        <d v="2024-12-20T00:00:00Z"/>
        <d v="2024-12-22T00:00:00Z"/>
        <d v="2025-01-03T00:00:00Z"/>
        <d v="2024-12-25T00:00:00Z"/>
        <d v="2024-12-27T00:00:00Z"/>
        <d v="2025-01-20T00:00:00Z"/>
        <d v="2024-12-12T00:00:00Z"/>
        <d v="2025-01-02T00:00:00Z"/>
        <d v="2025-01-10T00:00:00Z"/>
        <d v="2025-03-07T00:00:00Z"/>
        <d v="2025-01-21T00:00:00Z"/>
        <d v="2025-01-24T00:00:00Z"/>
        <d v="2025-01-26T00:00:00Z"/>
        <d v="2025-01-28T00:00:00Z"/>
        <d v="2025-01-30T00:00:00Z"/>
        <d v="2025-01-29T00:00:00Z"/>
        <d v="2025-02-05T00:00:00Z"/>
        <d v="2025-01-31T00:00:00Z"/>
        <d v="2025-02-03T00:00:00Z"/>
        <d v="2025-02-06T00:00:00Z"/>
        <d v="2025-02-13T00:00:00Z"/>
        <d v="2025-02-12T00:00:00Z"/>
        <d v="2025-02-14T00:00:00Z"/>
        <d v="2025-02-15T00:00:00Z"/>
        <d v="2025-02-16T00:00:00Z"/>
        <d v="2025-02-20T00:00:00Z"/>
        <d v="2025-02-19T00:00:00Z"/>
        <d v="2025-02-21T00:00:00Z"/>
        <d v="2025-02-23T00:00:00Z"/>
        <d v="2025-02-27T00:00:00Z"/>
        <d v="2025-02-24T00:00:00Z"/>
        <d v="2025-03-01T00:00:00Z"/>
        <d v="2025-02-25T00:00:00Z"/>
        <d v="2025-03-12T00:00:00Z"/>
        <d v="2025-03-02T00:00:00Z"/>
        <d v="2025-02-28T00:00:00Z"/>
        <d v="2025-03-05T00:00:00Z"/>
        <d v="2025-03-08T00:00:00Z"/>
        <d v="2025-04-16T00:00:00Z"/>
        <d v="2025-03-09T00:00:00Z"/>
        <d v="2025-03-10T00:00:00Z"/>
        <d v="2025-03-11T00:00:00Z"/>
        <d v="2025-03-14T00:00:00Z"/>
        <d v="2025-04-22T00:00:00Z"/>
        <d v="2025-03-16T00:00:00Z"/>
        <d v="2025-03-17T00:00:00Z"/>
        <d v="2025-03-13T00:00:00Z"/>
        <d v="2025-03-18T00:00:00Z"/>
        <d v="2025-03-23T00:00:00Z"/>
        <d v="2025-03-24T00:00:00Z"/>
        <d v="2025-04-20T00:00:00Z"/>
        <d v="2025-03-26T00:00:00Z"/>
        <d v="2025-03-19T00:00:00Z"/>
        <d v="2025-03-20T00:00:00Z"/>
        <d v="2025-04-01T00:00:00Z"/>
        <d v="2025-03-27T00:00:00Z"/>
        <d v="2025-03-30T00:00:00Z"/>
        <d v="2025-04-02T00:00:00Z"/>
        <d v="2025-04-04T00:00:00Z"/>
        <d v="2025-04-03T00:00:00Z"/>
        <d v="2025-04-10T00:00:00Z"/>
        <d v="2025-04-11T00:00:00Z"/>
        <d v="2025-04-14T00:00:00Z"/>
        <d v="2025-05-08T00:00:00Z"/>
        <d v="2025-04-13T00:00:00Z"/>
        <d v="2025-04-15T00:00:00Z"/>
        <d v="2025-04-17T00:00:00Z"/>
        <d v="2025-04-18T00:00:00Z"/>
        <d v="2025-04-19T00:00:00Z"/>
        <d v="2025-05-26T00:00:00Z"/>
        <d v="2025-04-23T00:00:00Z"/>
        <d v="2025-04-24T00:00:00Z"/>
        <d v="2025-04-26T00:00:00Z"/>
        <d v="2025-04-27T00:00:00Z"/>
        <d v="2025-04-28T00:00:00Z"/>
        <d v="2025-04-29T00:00:00Z"/>
        <d v="2025-05-04T00:00:00Z"/>
        <d v="2025-04-30T00:00:00Z"/>
        <d v="2025-05-01T00:00:00Z"/>
        <d v="2025-05-06T00:00:00Z"/>
        <d v="2025-05-07T00:00:00Z"/>
        <d v="2025-05-03T00:00:00Z"/>
        <d v="2025-05-05T00:00:00Z"/>
        <d v="2025-06-29T00:00:00Z"/>
        <d v="2025-06-30T00:00:00Z"/>
        <d v="2025-05-14T00:00:00Z"/>
        <d v="2025-05-09T00:00:00Z"/>
        <d v="2025-05-13T00:00:00Z"/>
        <d v="2025-07-03T00:00:00Z"/>
        <d v="2025-05-17T00:00:00Z"/>
        <d v="2025-05-15T00:00:00Z"/>
        <d v="2025-05-16T00:00:00Z"/>
        <d v="2025-05-21T00:00:00Z"/>
        <d v="2025-05-22T00:00:00Z"/>
        <d v="2025-05-24T00:00:00Z"/>
        <d v="2025-07-07T00:00:00Z"/>
        <d v="2025-07-15T00:00:00Z"/>
        <d v="2025-06-01T00:00:00Z"/>
        <d v="2025-06-02T00:00:00Z"/>
        <d v="2025-05-28T00:00:00Z"/>
        <d v="2025-05-30T00:00:00Z"/>
        <d v="2025-06-05T00:00:00Z"/>
        <d v="2025-06-08T00:00:00Z"/>
        <d v="2025-06-12T00:00:00Z"/>
        <d v="2024-12-04T00:00:00Z"/>
        <d v="2025-06-13T00:00:00Z"/>
        <d v="2025-06-24T00:00:00Z"/>
        <d v="2025-06-17T00:00:00Z"/>
        <d v="2025-06-19T00:00:00Z"/>
        <d v="2025-06-20T00:00:00Z"/>
        <d v="2025-06-22T00:00:00Z"/>
        <d v="2025-06-25T00:00:00Z"/>
        <d v="2025-05-27T00:00:00Z"/>
        <d v="2025-06-07T00:00:00Z"/>
        <d v="2025-06-27T00:00:00Z"/>
        <d v="2025-07-02T00:00:00Z"/>
        <d v="2025-07-01T00:00:00Z"/>
        <d v="2025-07-24T00:00:00Z"/>
        <d v="2025-02-26T00:00:00Z"/>
        <d v="2025-01-11T00:00:00Z"/>
        <d v="2025-06-21T00:00:00Z"/>
        <d v="2025-07-19T00:00:00Z"/>
        <d v="2025-06-04T00:00:00Z"/>
        <d v="2025-07-08T00:00:00Z"/>
        <d v="2025-07-05T00:00:00Z"/>
        <d v="2025-07-06T00:00:00Z"/>
        <d v="2025-07-10T00:00:00Z"/>
        <d v="2025-07-04T00:00:00Z"/>
        <d v="2025-07-09T00:00:00Z"/>
        <d v="2025-07-14T00:00:00Z"/>
        <d v="2025-07-11T00:00:00Z"/>
        <d v="2025-07-13T00:00:00Z"/>
        <d v="2025-07-17T00:00:00Z"/>
        <d v="2025-07-23T00:00:00Z"/>
        <d v="2025-07-18T00:00:00Z"/>
        <d v="2025-07-20T00:00:00Z"/>
        <d v="2025-07-22T00:00:00Z"/>
        <d v="2025-07-25T00:00:00Z"/>
        <d v="2025-08-03T00:00:00Z"/>
        <s v=" "/>
        <d v="2025-07-26T00:00:00Z"/>
        <d v="2025-07-27T00:00:00Z"/>
        <d v="2025-07-28T00:00:00Z"/>
        <d v="2025-07-29T00:00:00Z"/>
        <d v="2025-06-26T00:00:00Z"/>
        <d v="2025-07-30T00:00:00Z"/>
        <d v="2025-07-31T00:00:00Z"/>
        <d v="2025-08-04T00:00:00Z"/>
        <d v="2025-08-05T00:00:00Z"/>
        <d v="2025-08-10T00:00:00Z"/>
        <d v="2025-08-14T00:00:00Z"/>
        <d v="2025-08-18T00:00:00Z"/>
        <d v="2025-08-19T00:00:00Z"/>
        <d v="2025-08-20T00:00:00Z"/>
        <d v="2025-08-25T00:00:00Z"/>
        <d v="2025-09-01T00:00:00Z"/>
        <d v="2025-09-02T00:00:00Z"/>
        <d v="2025-09-14T00:00:00Z"/>
        <d v="2025-09-28T00:00:00Z"/>
        <d v="2025-10-10T00:00:00Z"/>
      </sharedItems>
    </cacheField>
    <cacheField name="Date Début">
      <sharedItems containsDate="1" containsBlank="1" containsMixedTypes="1">
        <m/>
        <d v="2024-03-19T00:00:00Z"/>
        <d v="2024-05-14T00:00:00Z"/>
        <d v="2024-05-25T00:00:00Z"/>
        <d v="2024-05-27T00:00:00Z"/>
        <d v="2024-06-10T00:00:00Z"/>
        <d v="2024-06-18T00:00:00Z"/>
        <d v="2024-06-19T00:00:00Z"/>
        <d v="2024-06-16T00:00:00Z"/>
        <d v="2024-06-24T00:00:00Z"/>
        <d v="2024-07-06T00:00:00Z"/>
        <d v="2024-06-17T00:00:00Z"/>
        <d v="2024-07-01T00:00:00Z"/>
        <d v="2024-07-10T00:00:00Z"/>
        <d v="2024-06-25T00:00:00Z"/>
        <d v="2024-07-19T00:00:00Z"/>
        <d v="2024-08-18T00:00:00Z"/>
        <d v="2024-09-02T00:00:00Z"/>
        <d v="2024-09-16T00:00:00Z"/>
        <d v="2024-10-20T00:00:00Z"/>
        <d v="2025-05-01T00:00:00Z"/>
        <d v="2024-11-01T00:00:00Z"/>
        <d v="2024-11-13T00:00:00Z"/>
        <d v="2024-11-10T00:00:00Z"/>
        <d v="2024-12-10T00:00:00Z"/>
        <d v="2025-01-31T00:00:00Z"/>
        <d v="2025-02-03T00:00:00Z"/>
        <d v="2025-02-13T00:00:00Z"/>
        <d v="2025-01-23T00:00:00Z"/>
        <d v="2025-03-01T00:00:00Z"/>
        <d v="2025-02-28T00:00:00Z"/>
        <d v="2025-02-15T00:00:00Z"/>
        <d v="2025-05-21T00:00:00Z"/>
        <d v="2025-06-05T00:00:00Z"/>
        <d v="2025-07-16T00:00:00Z"/>
        <d v="2025-06-22T00:00:00Z"/>
        <d v="2025-07-01T00:00:00Z"/>
        <s v=" "/>
        <d v="2025-01-09T00:00:00Z"/>
        <d v="2024-09-13T00:00:00Z"/>
        <d v="2024-10-16T00:00:00Z"/>
        <d v="2024-11-18T00:00:00Z"/>
        <d v="2024-01-11T00:00:00Z"/>
        <d v="2024-12-06T00:00:00Z"/>
        <d v="2025-02-27T00:00:00Z"/>
        <d v="2025-04-08T00:00:00Z"/>
        <d v="2025-01-27T00:00:00Z"/>
        <d v="2024-11-11T00:00:00Z"/>
        <d v="2024-11-28T00:00:00Z"/>
        <d v="2024-12-21T00:00:00Z"/>
        <d v="2025-01-13T00:00:00Z"/>
        <d v="2025-02-11T00:00:00Z"/>
        <d v="2025-03-06T00:00:00Z"/>
        <d v="2024-04-01T00:00:00Z"/>
        <d v="2024-04-08T00:00:00Z"/>
        <d v="2024-02-29T00:00:00Z"/>
        <d v="2024-04-18T00:00:00Z"/>
        <d v="2024-06-07T00:00:00Z"/>
        <d v="2024-03-21T00:00:00Z"/>
        <d v="2024-06-20T00:00:00Z"/>
        <d v="2024-07-08T00:00:00Z"/>
        <d v="2024-07-29T00:00:00Z"/>
        <d v="2024-09-01T00:00:00Z"/>
        <d v="2024-09-12T00:00:00Z"/>
        <d v="2024-09-23T00:00:00Z"/>
        <d v="2024-09-28T00:00:00Z"/>
        <d v="2024-09-30T00:00:00Z"/>
        <d v="2024-10-01T00:00:00Z"/>
        <d v="2024-10-12T00:00:00Z"/>
        <d v="2024-11-06T00:00:00Z"/>
        <d v="2024-12-04T00:00:00Z"/>
        <d v="2025-01-16T00:00:00Z"/>
        <d v="2025-01-20T00:00:00Z"/>
        <d v="2024-04-15T00:00:00Z"/>
        <d v="2024-03-26T00:00:00Z"/>
        <d v="2024-04-20T00:00:00Z"/>
        <d v="2024-08-26T00:00:00Z"/>
        <d v="2024-02-28T00:00:00Z"/>
        <d v="2024-04-05T00:00:00Z"/>
        <d v="2024-09-26T00:00:00Z"/>
        <d v="2024-03-01T00:00:00Z"/>
        <d v="2024-10-24T00:00:00Z"/>
        <d v="2024-08-29T00:00:00Z"/>
        <d v="2024-11-15T00:00:00Z"/>
        <d v="2025-02-25T00:00:00Z"/>
        <d v="2024-09-25T00:00:00Z"/>
        <d v="2024-08-06T00:00:00Z"/>
        <d v="2024-08-09T00:00:00Z"/>
        <d v="2024-12-12T00:00:00Z"/>
        <d v="2025-03-25T00:00:00Z"/>
        <d v="2024-07-27T00:00:00Z"/>
        <d v="2024-04-13T00:00:00Z"/>
        <d v="2023-03-23T00:00:00Z"/>
        <d v="2024-08-16T00:00:00Z"/>
        <d v="2024-11-04T00:00:00Z"/>
        <d v="2024-10-29T00:00:00Z"/>
        <d v="2024-01-06T00:00:00Z"/>
        <d v="2025-01-24T00:00:00Z"/>
        <d v="2025-01-29T00:00:00Z"/>
        <d v="2025-02-05T00:00:00Z"/>
        <d v="2024-03-20T00:00:00Z"/>
        <d v="2024-09-14T00:00:00Z"/>
        <d v="2024-10-10T00:00:00Z"/>
        <d v="2024-10-02T00:00:00Z"/>
        <d v="2024-06-14T00:00:00Z"/>
        <d v="2025-01-28T00:00:00Z"/>
        <d v="2024-06-01T00:00:00Z"/>
        <d v="2024-06-11T00:00:00Z"/>
        <d v="2024-12-03T00:00:00Z"/>
        <d v="2024-04-04T00:00:00Z"/>
        <d v="2024-06-27T00:00:00Z"/>
        <d v="2024-07-18T00:00:00Z"/>
        <d v="2024-10-28T00:00:00Z"/>
        <n v="-619148.0"/>
        <d v="2024-10-30T00:00:00Z"/>
        <d v="2024-12-11T00:00:00Z"/>
        <d v="2024-12-02T00:00:00Z"/>
        <d v="2025-01-25T00:00:00Z"/>
        <d v="2024-06-08T00:00:00Z"/>
        <d v="2024-10-25T00:00:00Z"/>
        <d v="2024-03-22T00:00:00Z"/>
        <d v="2024-07-26T00:00:00Z"/>
        <d v="2024-11-08T00:00:00Z"/>
        <d v="2025-09-08T00:00:00Z"/>
        <d v="2025-03-26T00:00:00Z"/>
        <d v="2025-08-10T00:00:00Z"/>
      </sharedItems>
    </cacheField>
    <cacheField name="Date Fin">
      <sharedItems containsDate="1" containsBlank="1" containsMixedTypes="1">
        <d v="2024-03-08T00:00:00Z"/>
        <d v="2024-03-19T00:00:00Z"/>
        <m/>
        <d v="2024-04-06T00:00:00Z"/>
        <d v="2024-04-09T00:00:00Z"/>
        <d v="2024-04-19T00:00:00Z"/>
        <d v="2024-04-22T00:00:00Z"/>
        <d v="2024-04-18T00:00:00Z"/>
        <d v="2024-04-26T00:00:00Z"/>
        <d v="2024-05-02T00:00:00Z"/>
        <d v="2024-05-01T00:00:00Z"/>
        <d v="2024-05-04T00:00:00Z"/>
        <d v="2024-05-08T00:00:00Z"/>
        <d v="2024-05-07T00:00:00Z"/>
        <d v="2024-05-10T00:00:00Z"/>
        <d v="2024-05-13T00:00:00Z"/>
        <d v="2024-05-18T00:00:00Z"/>
        <d v="2024-05-14T00:00:00Z"/>
        <d v="2024-05-17T00:00:00Z"/>
        <d v="2024-05-23T00:00:00Z"/>
        <d v="2024-05-27T00:00:00Z"/>
        <d v="2024-05-29T00:00:00Z"/>
        <d v="2024-05-30T00:00:00Z"/>
        <d v="2024-05-31T00:00:00Z"/>
        <d v="2024-06-16T00:00:00Z"/>
        <d v="2024-06-17T00:00:00Z"/>
        <d v="2024-06-20T00:00:00Z"/>
        <d v="2024-06-22T00:00:00Z"/>
        <d v="2024-06-19T00:00:00Z"/>
        <d v="2024-06-23T00:00:00Z"/>
        <d v="2024-06-25T00:00:00Z"/>
        <d v="2024-06-24T00:00:00Z"/>
        <d v="2024-06-29T00:00:00Z"/>
        <d v="2024-07-06T00:00:00Z"/>
        <d v="2024-06-28T00:00:00Z"/>
        <d v="2024-07-01T00:00:00Z"/>
        <d v="2024-06-26T00:00:00Z"/>
        <d v="2024-06-30T00:00:00Z"/>
        <d v="2024-07-10T00:00:00Z"/>
        <d v="2024-07-07T00:00:00Z"/>
        <d v="2024-07-14T00:00:00Z"/>
        <d v="2024-07-12T00:00:00Z"/>
        <d v="2024-07-23T00:00:00Z"/>
        <d v="2024-07-24T00:00:00Z"/>
        <d v="2024-07-22T00:00:00Z"/>
        <d v="2024-07-21T00:00:00Z"/>
        <d v="2024-07-25T00:00:00Z"/>
        <d v="2024-09-06T00:00:00Z"/>
        <d v="2024-07-26T00:00:00Z"/>
        <d v="2024-08-01T00:00:00Z"/>
        <d v="2024-09-08T00:00:00Z"/>
        <d v="2024-08-06T00:00:00Z"/>
        <d v="2024-08-03T00:00:00Z"/>
        <d v="2024-08-02T00:00:00Z"/>
        <d v="2024-07-20T00:00:00Z"/>
        <d v="2024-07-30T00:00:00Z"/>
        <d v="2024-08-09T00:00:00Z"/>
        <d v="2024-08-16T00:00:00Z"/>
        <d v="2024-08-08T00:00:00Z"/>
        <d v="2024-08-15T00:00:00Z"/>
        <d v="2024-09-07T00:00:00Z"/>
        <d v="2024-08-22T00:00:00Z"/>
        <d v="2024-08-25T00:00:00Z"/>
        <d v="2024-08-18T00:00:00Z"/>
        <d v="2024-08-21T00:00:00Z"/>
        <d v="2024-08-20T00:00:00Z"/>
        <d v="2024-08-23T00:00:00Z"/>
        <d v="2024-09-02T00:00:00Z"/>
        <d v="2024-08-28T00:00:00Z"/>
        <d v="2024-08-24T00:00:00Z"/>
        <d v="2024-08-30T00:00:00Z"/>
        <d v="2024-09-13T00:00:00Z"/>
        <d v="2024-09-18T00:00:00Z"/>
        <d v="2024-09-19T00:00:00Z"/>
        <d v="2024-09-09T00:00:00Z"/>
        <d v="2024-10-02T00:00:00Z"/>
        <d v="2024-10-11T00:00:00Z"/>
        <d v="2024-09-23T00:00:00Z"/>
        <d v="2024-09-21T00:00:00Z"/>
        <d v="2024-10-06T00:00:00Z"/>
        <d v="2024-09-20T00:00:00Z"/>
        <d v="2024-08-10T00:00:00Z"/>
        <d v="2024-09-25T00:00:00Z"/>
        <d v="2025-06-15T00:00:00Z"/>
        <d v="2024-09-30T00:00:00Z"/>
        <d v="2024-09-26T00:00:00Z"/>
        <d v="2024-10-03T00:00:00Z"/>
        <d v="2024-11-02T00:00:00Z"/>
        <d v="2024-11-15T00:00:00Z"/>
        <d v="2024-11-01T00:00:00Z"/>
        <d v="2024-11-08T00:00:00Z"/>
        <d v="2024-10-27T00:00:00Z"/>
        <d v="2024-10-26T00:00:00Z"/>
        <d v="2024-10-28T00:00:00Z"/>
        <d v="2025-06-14T00:00:00Z"/>
        <d v="2024-11-05T00:00:00Z"/>
        <d v="2024-11-16T00:00:00Z"/>
        <d v="2024-11-10T00:00:00Z"/>
        <d v="2024-11-12T00:00:00Z"/>
        <d v="2024-11-11T00:00:00Z"/>
        <d v="2025-06-17T00:00:00Z"/>
        <d v="2024-10-22T00:00:00Z"/>
        <d v="2024-11-07T00:00:00Z"/>
        <d v="2025-02-10T00:00:00Z"/>
        <d v="2024-11-09T00:00:00Z"/>
        <d v="2024-11-29T00:00:00Z"/>
        <d v="2024-12-03T00:00:00Z"/>
        <d v="2024-11-19T00:00:00Z"/>
        <d v="2024-11-30T00:00:00Z"/>
        <d v="2024-11-20T00:00:00Z"/>
        <d v="2024-11-27T00:00:00Z"/>
        <d v="2024-11-22T00:00:00Z"/>
        <d v="2024-11-26T00:00:00Z"/>
        <d v="2024-12-02T00:00:00Z"/>
        <d v="2024-12-09T00:00:00Z"/>
        <d v="2024-11-28T00:00:00Z"/>
        <d v="2024-12-15T00:00:00Z"/>
        <d v="2024-12-17T00:00:00Z"/>
        <d v="2024-12-01T00:00:00Z"/>
        <d v="2024-12-10T00:00:00Z"/>
        <d v="2025-03-05T00:00:00Z"/>
        <d v="2024-12-25T00:00:00Z"/>
        <d v="2024-12-19T00:00:00Z"/>
        <d v="2024-12-29T00:00:00Z"/>
        <d v="2025-01-03T00:00:00Z"/>
        <d v="2025-01-09T00:00:00Z"/>
        <d v="2025-01-10T00:00:00Z"/>
        <d v="2025-01-23T00:00:00Z"/>
        <d v="2025-01-24T00:00:00Z"/>
        <d v="2025-01-25T00:00:00Z"/>
        <d v="2025-01-05T00:00:00Z"/>
        <d v="2025-01-20T00:00:00Z"/>
        <d v="2025-01-13T00:00:00Z"/>
        <d v="2025-03-10T00:00:00Z"/>
        <d v="2025-01-29T00:00:00Z"/>
        <d v="2025-01-15T00:00:00Z"/>
        <d v="2025-01-30T00:00:00Z"/>
        <d v="2025-01-22T00:00:00Z"/>
        <d v="2025-02-07T00:00:00Z"/>
        <d v="2025-02-19T00:00:00Z"/>
        <d v="2025-01-31T00:00:00Z"/>
        <d v="2025-02-04T00:00:00Z"/>
        <d v="2025-02-05T00:00:00Z"/>
        <d v="2025-02-14T00:00:00Z"/>
        <d v="2025-02-08T00:00:00Z"/>
        <d v="2025-02-16T00:00:00Z"/>
        <d v="2025-02-20T00:00:00Z"/>
        <d v="2025-02-21T00:00:00Z"/>
        <d v="2025-02-26T00:00:00Z"/>
        <d v="2025-02-27T00:00:00Z"/>
        <d v="2025-02-22T00:00:00Z"/>
        <d v="2025-02-25T00:00:00Z"/>
        <d v="2025-02-13T00:00:00Z"/>
        <d v="2025-03-31T00:00:00Z"/>
        <d v="2025-03-04T00:00:00Z"/>
        <d v="2025-03-15T00:00:00Z"/>
        <d v="2025-03-12T00:00:00Z"/>
        <d v="2025-04-21T00:00:00Z"/>
        <d v="2025-03-13T00:00:00Z"/>
        <d v="2025-03-16T00:00:00Z"/>
        <d v="2025-03-18T00:00:00Z"/>
        <d v="2025-03-22T00:00:00Z"/>
        <d v="2025-04-23T00:00:00Z"/>
        <d v="2025-03-29T00:00:00Z"/>
        <d v="2025-03-24T00:00:00Z"/>
        <d v="2025-03-14T00:00:00Z"/>
        <d v="2025-03-19T00:00:00Z"/>
        <d v="2025-03-30T00:00:00Z"/>
        <d v="2025-04-26T00:00:00Z"/>
        <d v="2025-03-21T00:00:00Z"/>
        <d v="2025-05-24T00:00:00Z"/>
        <d v="2025-04-01T00:00:00Z"/>
        <d v="2025-04-04T00:00:00Z"/>
        <d v="2025-03-28T00:00:00Z"/>
        <d v="2025-04-06T00:00:00Z"/>
        <d v="2025-04-07T00:00:00Z"/>
        <d v="2025-02-28T00:00:00Z"/>
        <d v="2025-01-14T00:00:00Z"/>
        <d v="2025-04-10T00:00:00Z"/>
        <d v="2025-03-26T00:00:00Z"/>
        <d v="2025-04-09T00:00:00Z"/>
        <d v="2025-04-12T00:00:00Z"/>
        <d v="2025-04-16T00:00:00Z"/>
        <d v="2025-04-19T00:00:00Z"/>
        <d v="2025-05-09T00:00:00Z"/>
        <d v="2025-04-18T00:00:00Z"/>
        <d v="2025-04-25T00:00:00Z"/>
        <d v="2025-04-24T00:00:00Z"/>
        <d v="2025-04-27T00:00:00Z"/>
        <d v="2025-05-19T00:00:00Z"/>
        <d v="2025-05-30T00:00:00Z"/>
        <d v="2025-04-29T00:00:00Z"/>
        <d v="2025-05-01T00:00:00Z"/>
        <d v="2025-04-30T00:00:00Z"/>
        <d v="2025-05-31T00:00:00Z"/>
        <s v="31/04/2025"/>
        <d v="2025-03-06T00:00:00Z"/>
        <d v="2025-05-04T00:00:00Z"/>
        <d v="2025-05-05T00:00:00Z"/>
        <d v="2025-05-02T00:00:00Z"/>
        <d v="2025-05-14T00:00:00Z"/>
        <d v="2025-05-23T00:00:00Z"/>
        <d v="2025-05-08T00:00:00Z"/>
        <d v="2025-05-21T00:00:00Z"/>
        <d v="2025-05-10T00:00:00Z"/>
        <d v="2025-05-16T00:00:00Z"/>
        <d v="2025-05-25T00:00:00Z"/>
        <d v="2025-06-22T00:00:00Z"/>
        <d v="2025-06-30T00:00:00Z"/>
        <d v="2025-05-20T00:00:00Z"/>
        <d v="2025-05-15T00:00:00Z"/>
        <d v="2025-05-17T00:00:00Z"/>
        <d v="2025-07-08T00:00:00Z"/>
        <d v="2025-05-29T00:00:00Z"/>
        <d v="2025-05-22T00:00:00Z"/>
        <d v="2025-07-13T00:00:00Z"/>
        <d v="2025-07-16T00:00:00Z"/>
        <d v="2025-01-17T00:00:00Z"/>
        <d v="2025-06-10T00:00:00Z"/>
        <d v="2025-06-04T00:00:00Z"/>
        <d v="2025-06-05T00:00:00Z"/>
        <d v="2025-02-11T00:00:00Z"/>
        <d v="2025-06-11T00:00:00Z"/>
        <d v="2025-06-13T00:00:00Z"/>
        <d v="2025-04-22T00:00:00Z"/>
        <d v="2025-06-25T00:00:00Z"/>
        <d v="2025-06-18T00:00:00Z"/>
        <d v="2025-06-26T00:00:00Z"/>
        <d v="2025-06-24T00:00:00Z"/>
        <d v="2025-06-29T00:00:00Z"/>
        <d v="2025-07-03T00:00:00Z"/>
        <d v="2025-06-20T00:00:00Z"/>
        <d v="2025-06-28T00:00:00Z"/>
        <d v="2025-07-26T00:00:00Z"/>
        <s v="31/06/2025"/>
        <d v="2025-07-07T00:00:00Z"/>
        <d v="2025-07-18T00:00:00Z"/>
        <d v="2025-06-27T00:00:00Z"/>
        <d v="2025-07-11T00:00:00Z"/>
        <d v="2025-07-04T00:00:00Z"/>
        <d v="2025-07-17T00:00:00Z"/>
        <d v="2025-07-05T00:00:00Z"/>
        <d v="2024-07-13T00:00:00Z"/>
        <d v="2025-07-10T00:00:00Z"/>
        <d v="2025-07-14T00:00:00Z"/>
        <d v="2025-07-19T00:00:00Z"/>
        <d v="2025-07-20T00:00:00Z"/>
        <d v="2025-07-22T00:00:00Z"/>
        <d v="2025-07-27T00:00:00Z"/>
        <d v="2025-07-23T00:00:00Z"/>
        <d v="2025-07-25T00:00:00Z"/>
        <d v="2025-08-15T00:00:00Z"/>
        <d v="2025-07-31T00:00:00Z"/>
        <d v="2025-07-28T00:00:00Z"/>
        <d v="2025-07-29T00:00:00Z"/>
        <d v="2025-08-10T00:00:00Z"/>
        <d v="2025-06-21T00:00:00Z"/>
        <d v="2025-01-28T00:00:00Z"/>
        <d v="2025-06-19T00:00:00Z"/>
        <d v="2024-10-04T00:00:00Z"/>
        <d v="2024-11-25T00:00:00Z"/>
        <d v="2025-08-07T00:00:00Z"/>
        <d v="2025-06-09T00:00:00Z"/>
        <d v="2024-10-10T00:00:00Z"/>
        <d v="2024-10-25T00:00:00Z"/>
        <d v="2024-10-30T00:00:00Z"/>
        <d v="2024-12-24T00:00:00Z"/>
        <d v="2024-07-08T00:00:00Z"/>
        <d v="2025-03-20T00:00:00Z"/>
        <d v="2025-04-28T00:00:00Z"/>
        <d v="2024-09-22T00:00:00Z"/>
        <d v="2024-12-22T00:00:00Z"/>
        <d v="2025-01-11T00:00:00Z"/>
        <d v="2025-03-17T00:00:00Z"/>
        <d v="2024-05-09T00:00:00Z"/>
        <d v="2024-12-28T00:00:00Z"/>
        <d v="2025-01-04T00:00:00Z"/>
        <d v="2024-04-14T00:00:00Z"/>
        <d v="2024-04-29T00:00:00Z"/>
        <d v="2024-05-11T00:00:00Z"/>
        <d v="2024-05-28T00:00:00Z"/>
        <d v="2024-06-02T00:00:00Z"/>
        <d v="2024-06-05T00:00:00Z"/>
        <d v="2024-06-07T00:00:00Z"/>
        <d v="2024-06-21T00:00:00Z"/>
        <d v="2024-07-03T00:00:00Z"/>
        <d v="2024-07-15T00:00:00Z"/>
        <d v="2024-07-28T00:00:00Z"/>
        <d v="2024-09-16T00:00:00Z"/>
        <d v="2024-09-27T00:00:00Z"/>
        <d v="2024-10-07T00:00:00Z"/>
        <d v="2024-10-20T00:00:00Z"/>
        <d v="2024-10-21T00:00:00Z"/>
        <d v="2025-02-06T00:00:00Z"/>
        <d v="2025-02-17T00:00:00Z"/>
        <d v="2025-02-23T00:00:00Z"/>
        <d v="2024-03-01T00:00:00Z"/>
        <d v="2024-12-12T00:00:00Z"/>
        <d v="2024-04-07T00:00:00Z"/>
        <d v="2024-04-11T00:00:00Z"/>
        <d v="2024-04-21T00:00:00Z"/>
        <d v="2024-05-19T00:00:00Z"/>
        <d v="2024-05-20T00:00:00Z"/>
        <d v="2024-08-11T00:00:00Z"/>
        <d v="2024-10-15T00:00:00Z"/>
        <d v="2025-02-15T00:00:00Z"/>
        <d v="2025-03-08T00:00:00Z"/>
        <d v="2024-07-16T00:00:00Z"/>
        <d v="2024-09-15T00:00:00Z"/>
        <d v="2024-10-17T00:00:00Z"/>
        <d v="2024-12-16T00:00:00Z"/>
        <d v="2024-11-14T00:00:00Z"/>
        <d v="2024-10-05T00:00:00Z"/>
        <d v="2025-03-11T00:00:00Z"/>
        <d v="2024-08-07T00:00:00Z"/>
        <d v="2024-08-26T00:00:00Z"/>
        <d v="2024-04-28T00:00:00Z"/>
        <d v="2024-05-03T00:00:00Z"/>
        <d v="2024-05-25T00:00:00Z"/>
        <d v="2025-01-02T00:00:00Z"/>
        <d v="2024-08-12T00:00:00Z"/>
        <d v="2024-04-30T00:00:00Z"/>
        <d v="2024-05-12T00:00:00Z"/>
        <d v="2024-04-10T00:00:00Z"/>
        <d v="2024-11-24T00:00:00Z"/>
        <n v="-619359.0"/>
        <d v="2024-04-15T00:00:00Z"/>
        <d v="2024-08-04T00:00:00Z"/>
        <d v="2024-09-03T00:00:00Z"/>
        <d v="2024-10-16T00:00:00Z"/>
        <d v="2024-12-13T00:00:00Z"/>
        <d v="2025-01-06T00:00:00Z"/>
        <d v="2025-02-24T00:00:00Z"/>
        <d v="2024-12-21T00:00:00Z"/>
        <d v="2024-06-27T00:00:00Z"/>
        <d v="2024-09-01T00:00:00Z"/>
        <d v="2024-10-31T00:00:00Z"/>
        <d v="2024-11-23T00:00:00Z"/>
        <d v="2024-02-15T00:00:00Z"/>
        <d v="2024-05-15T00:00:00Z"/>
        <d v="2024-06-14T00:00:00Z"/>
        <d v="2024-07-27T00:00:00Z"/>
        <d v="2024-09-14T00:00:00Z"/>
        <d v="2024-09-17T00:00:00Z"/>
        <d v="2024-10-08T00:00:00Z"/>
        <d v="2024-06-08T00:00:00Z"/>
        <d v="2024-06-11T00:00:00Z"/>
        <d v="2024-12-20T00:00:00Z"/>
        <d v="2023-02-01T00:00:00Z"/>
        <d v="2024-02-01T00:00:00Z"/>
        <d v="2024-03-28T00:00:00Z"/>
        <d v="2024-03-31T00:00:00Z"/>
        <d v="2024-08-29T00:00:00Z"/>
        <d v="2024-11-03T00:00:00Z"/>
        <d v="2024-12-06T00:00:00Z"/>
        <d v="2024-12-23T00:00:00Z"/>
        <d v="2024-07-11T00:00:00Z"/>
        <d v="2024-08-19T00:00:00Z"/>
        <d v="2025-03-27T00:00:00Z"/>
        <d v="2025-09-15T00:00:00Z"/>
        <d v="2025-08-03T00:00:00Z"/>
        <d v="2025-05-18T00:00:00Z"/>
        <d v="2025-08-14T00:00:00Z"/>
        <d v="2025-08-08T00:00:00Z"/>
        <d v="2025-08-24T00:00:00Z"/>
        <d v="2025-08-13T00:00:00Z"/>
        <d v="2025-09-03T00:00:00Z"/>
        <d v="2025-08-21T00:00:00Z"/>
        <d v="2025-09-06T00:00:00Z"/>
        <d v="2025-09-01T00:00:00Z"/>
        <d v="2025-09-08T00:00:00Z"/>
        <d v="2025-09-19T00:00:00Z"/>
        <d v="2025-09-09T00:00:00Z"/>
        <d v="2025-10-03T00:00:00Z"/>
        <d v="2025-10-15T00:00:00Z"/>
      </sharedItems>
    </cacheField>
    <cacheField name="Status" numFmtId="0">
      <sharedItems containsBlank="1">
        <s v="Fait"/>
        <s v="Facture à envoyer"/>
        <s v="Script Revision Marque"/>
        <s v="Video Validée Marque"/>
        <s v="Video Revision Marque"/>
        <m/>
        <s v="Colis Reçu?"/>
        <s v="Script Validée Marque"/>
      </sharedItems>
    </cacheField>
    <cacheField name="Commentaire" numFmtId="0">
      <sharedItems containsBlank="1">
        <m/>
        <s v="ne pas mentionner d'autres marques 7 jours avant et après @ "/>
        <s v="resultat concours"/>
        <s v="en attente validation marque"/>
        <s v="VALIDÉ"/>
        <s v="Preview Validée"/>
        <s v="⚠️⚠️ demander à Inès code promo vs lien (car code différent)"/>
        <s v="à envoyer à la marque"/>
        <s v="en attente validation"/>
        <s v="envoyer facture"/>
        <s v="en attente info facturation"/>
        <s v="Ne pas envoyer facture au client mais faire une factureEn $$ une fois reception et convertion"/>
        <s v="brief partagé"/>
        <s v="ne pas poster 24h après ⚠️ verifier date (colis reçu le 23/05 = 3S)"/>
        <s v="en attente affiliate code"/>
        <s v="video"/>
        <s v="pas d'autres collabs 3 jours avant et après"/>
        <s v="commande passée"/>
        <s v="⚠️"/>
        <s v="date post à confirmer"/>
        <s v="DESCRIPTION (changement à faire) =&gt; Nouveautés @Anastasia Beverly Hills : Beauty balm &amp; Blurring serum blush ✨ Available from xxxx at Sephora all shades online and limited assortment in store #AD #ABHBLUSH #BLUSHHACK #LIQUIDBLUSH #ABHBeautyBalm #Anastasia"/>
        <s v="DESCRIPTION (changement à faire) =&gt;Makeup After Beachhh with Beauty Balm and Blurring Serum Blush @ANASTASIABEVERLYHILLS available from xxxx at Sephora all shades online and limited assortment in store. (il faudra remplacer les xx par la date de sortie, j"/>
        <s v="brouillon"/>
        <s v="DESCRIPTION (changement à faire) =&gt;⚠️ Date sortie SEPHORA"/>
        <s v="envoyer video à jour que Lily a partagé le 13/08"/>
        <s v="SUN SERUM"/>
        <s v="Partager ad code // DESCRIPTION (changement à faire) =&gt; The perfect complexion for this summer is: Beauty Balm and Blurring Serum Blush by @ANASTASIABEVERLYHILLS vavailable from xxxx (à remplacer par la date quand nous l'aurons) at Sephora all shades onli"/>
        <s v="une fois le paiement paypal faire facture pour € exact"/>
        <s v="DESCRIPTION (changement à faire) =&gt;"/>
        <s v="ajouter avant après"/>
        <s v="attendre retour autres factures"/>
        <s v="pas poster +3/-3   // partager ad code"/>
        <s v="envoyer facture 09/09 avec médiatisation + contenu"/>
        <s v="pas possible de poster le 23"/>
        <s v="⚠️ Dates Mixa -3+3 pas de collabs // date à confirmer"/>
        <s v="à poster"/>
        <s v="médiatisation à confirmer +100€"/>
        <s v="recuperer lien tacké pour IGs"/>
        <s v="IG"/>
        <s v="à refaire (réhaussement de cils)"/>
        <s v="24h no post any // 3 weeks of use"/>
        <s v="faire valider le contenu"/>
        <s v="+code boost"/>
        <s v="pas de média"/>
        <s v="date à définir"/>
        <s v="PERSONALISATION"/>
        <s v="draft: 3 jours apres reception // 26/09/2024 au plus tard // pas de post 12h apres poster"/>
        <s v="modif sur caption"/>
        <s v="Woo Juicy Tubes"/>
        <s v="facture à envoyer mais attendre ad code JEANNE"/>
        <s v="attendre Code boost"/>
        <s v="Facture à faire"/>
        <s v="Tracking Link 72h BIO https://testsgz.app.link/4hqEOX8xbNb"/>
        <s v="modifier caption  / pas de post 24h"/>
        <s v="en attente colis"/>
        <s v="18h"/>
        <s v="(+ usage rights + TikTok spark ads + IG ad codes"/>
        <s v="Reception Colis"/>
        <s v="video+ description"/>
        <s v="activer la fonctionnalité &quot;collaboration commercial&quot;"/>
        <s v="j'ai envoyé une facture en € mais c'est en dollar"/>
        <s v="125 de media à confimer "/>
        <s v="date à confirmer (7jours apres réception colis"/>
        <s v="commande"/>
        <s v="30j Myriam K entre chaque mois"/>
        <s v="cross post IG TT"/>
        <s v="mediat"/>
        <s v="ajouter lien en bio"/>
        <s v="Cross post IG + story swipe"/>
        <s v="rajouter code + 23% par contre impossible de refaire video modifs"/>
        <s v="mais ajouter ingrédient"/>
        <s v="facture faite"/>
        <s v="boost"/>
        <s v="preview"/>
        <s v="attente reception colis"/>
        <s v="facture au 3/03 à faire et envoyer"/>
        <s v="voir pour ajouter Ad"/>
        <s v=" "/>
        <s v="TT + Médiat"/>
        <s v="script idée creat TT médiat : du 1er au 27 avril !"/>
        <s v="médiat de 100€ en plus validée?"/>
        <s v="IGS à partager      IGs+ TIKTOK"/>
        <s v="1 TT"/>
        <s v="Pendant le repas"/>
        <s v="IG Reel médiat 01/03 au 27/03"/>
        <s v="02/03=&gt; idée creative ///// 10/03/2025 brouillon"/>
        <s v="1 IG reel + 1 IGs (3sets) AD CODE⚠️"/>
        <s v="dont 250€ de mediat"/>
        <s v="contrat à faire"/>
        <s v="en attente retour de la marque pour feu vert post"/>
        <s v="poster et partager ad code avant 12h"/>
        <s v="TT"/>
        <s v="x3 videos "/>
        <s v="pas besoin de valider preview 2 stories (10/04 et 11/04)"/>
        <s v="link in bio"/>
        <s v="avec ad code"/>
        <s v="⚠️changement facture - se referer au mail"/>
        <s v="médiatisation"/>
        <s v="dont 250€ mediat"/>
        <s v="integration produit"/>
        <s v="IG reel"/>
        <s v="350€ au lieu de 195 pour la derniere"/>
        <s v="IGS  "/>
        <s v="23/04/2025 preview et 16/04 idée creative"/>
        <s v="script  et preview le 01/05/2025"/>
        <s v="script"/>
        <s v="TT IGreel SNAP"/>
        <s v="poster sur TT"/>
        <s v="81€ en option?"/>
        <s v=": https://amzn.to/3Eubtp1"/>
        <s v="Comme beaucoup de followers lui demandent comment faire partir les taches d’acné, elle pourrait créer une vidéo sous l’un de ces formats : « J’ai trouvé un appareil magique pour éliminer les taches d’acné ! » Je présente le produit en détail.Je montre com"/>
        <s v="avec 100e d'ad code inclu"/>
        <s v="vidéo ok descritpion a modifier"/>
        <s v="TT add code a recup"/>
        <s v="GR check dates"/>
        <s v="pas besoin de revision"/>
        <s v="verifier si Lily a posté et partager lien video"/>
        <s v="Video tournée avant Script // envoyer video quand meme"/>
        <s v="partager les captions modifier repost ig"/>
        <s v="Contenu attendu par la marque"/>
        <s v="IGs ANAIS20 20% valable sur ensemble produit du site"/>
        <s v="médiat"/>
        <s v="TT ANAIS20 20% valable sur ensemble produit du site"/>
        <s v="Script 18/06 TT"/>
        <s v="One INS reel + 30 days ad &amp; organic usage rights+ link in bio"/>
        <s v="idée creative"/>
        <s v="manque HD + Sous Titres"/>
        <s v="idée creative à partager"/>
        <s v="TT + Tiktok Shop (reassort le 12/06"/>
        <s v="Script 18/06 IG + Cross Post Reel + IGs"/>
        <s v="UGC"/>
        <s v="Beach Babe Hair Waver Campaign"/>
        <s v="partager les stats dès le 18 juillet ?"/>
        <s v="Tiktok/ pas chez elle avant le 1 er juillet "/>
        <s v="Tiktok"/>
        <s v="partager dès le 24/07 les screens des statistiques de son contenu UGC aussi cession de droit partager la video en HD"/>
        <s v="4EX"/>
        <s v="TT + IGr"/>
        <s v="on a pas le brief"/>
        <s v="n'a pas le produit"/>
        <s v="avec mediat"/>
        <s v="IG + TT cross post + ad code +UGC"/>
        <s v="3 videos"/>
        <s v="Code promo perso à partager"/>
        <s v="mettre explications en anglais"/>
        <s v="⚠️ Gifting voir avec Gauthier "/>
        <s v="POUR CONTENU UGC AVANT AGENCE"/>
        <s v="TT + Tiktok Shop"/>
        <s v="partager stats"/>
        <s v="pas fait "/>
        <s v="16h30"/>
        <s v="partager à Jolt les détails pour la campagne (date, orna...)"/>
        <s v=": #Kiehlsfrance (TikTok) et @kiehlsfrance (Instagram) et le hashtag : #HYDRATATION"/>
        <s v="Fonctionnement Nice Work"/>
        <s v="3 contenus // pas d'exclu"/>
        <s v="https://docs.google.com/presentation/d/1q4NE7BfV_3-rP4IUQJmAq-Et7OVpK16CYhR5OVpmQYo/edit?usp=sharing"/>
        <s v="Fonctionnement Nice Work - Envoyer lien marque"/>
        <s v="Affiliation 10% // 2 post/mois"/>
        <s v="https://www.tiktok.com/@lavishhcam/video/7384102579849956641?lang=en"/>
        <s v="Reçu"/>
        <s v="Médiatisation "/>
        <s v="envoyer facture MÉDIA EN OPTION 250€ 4semaines 7-18 Octobre"/>
        <s v="Google Ads"/>
        <s v="La semaine du 1er avril"/>
        <s v="7 jours après reception sac"/>
        <s v="ATTENTION NOUVEAU BRIEF?"/>
        <s v="La semaine du 15 avril"/>
        <s v="VOIR MAIL POUR BRIEF"/>
        <s v="⚠️chiara_12  + Lien dans bio"/>
        <s v="Libre"/>
        <s v="Tester les produits et leur faire un retour. Si tu aimes pourquoi pas poster sur Tiktok"/>
        <s v="Photo avant/après"/>
        <s v="pas reçu"/>
        <s v="⚠️bleulividee_12 + Lien dans Bio"/>
        <s v="story juste"/>
        <s v="X2 video"/>
        <s v="en attente Micro Entreprise Jeanne"/>
        <s v="Brief dans mail Sparkle"/>
        <s v="colis pas encore reçu (30/11)"/>
        <s v="Contenu libre"/>
        <s v="laurine_12 + Lien dans bio"/>
        <s v="Post obligatoire sans brief"/>
        <s v="attendre description"/>
        <s v="Dès que possible"/>
        <s v="à poster dès que possible"/>
        <s v="retard livraison"/>
        <s v="Nice Work Fonctionnement "/>
        <s v="https://www.tiktok.com/@lilyy.nl/video/7361800761090526497"/>
        <s v="Attendre avant de facturer Médiatisation "/>
        <s v="Showroom 16h"/>
        <s v="RDV 11h Showroom"/>
        <s v="pas de preview"/>
        <s v="Nice Work"/>
        <s v="https://www.tiktok.com/@melf.fnt/video/7384078329554423073"/>
        <s v="D'ici 2 semaines après 20/03/24"/>
        <s v="https://www.tiktok.com/@melf.fnt/video/7360752268607491360"/>
        <s v="En attente date"/>
        <s v="colis confidentiel jussqu'au 08/10"/>
        <s v="Rappel"/>
        <s v="https://www.tiktok.com/@morgane.mrckk/video/7384031967643307296"/>
        <s v="10h à 18h"/>
        <s v="partager video TT"/>
        <s v="en attente validation contrat"/>
        <s v="Brief"/>
        <s v="Dès réception colis"/>
        <s v="ads big cils"/>
        <s v="RDV 12h Showroom"/>
        <s v="description"/>
        <s v="mercredi 18/09, de 19h à 21h30,"/>
        <s v="IG + TT Cross Post"/>
        <s v="n'a pas reçu les produits"/>
        <s v="demander ce qu'elle pense du produit"/>
        <s v="colis non reçu"/>
        <s v="1 mois d'utilisation? si elle a bien utiliser le produit? lui rappeler de bien mettre photo avant/après dans l video"/>
        <s v="acheter produit Script 18/06 IG + Cross Post Reel + IGs"/>
        <s v="colis recu ? "/>
        <s v="colis recu oui "/>
        <s v="colis recu ? oui "/>
        <s v="IG + Cross post TT"/>
      </sharedItems>
    </cacheField>
    <cacheField name="Description rapide de la demande" numFmtId="0">
      <sharedItems containsBlank="1">
        <s v="vidéo dédiée maquillage avec la marque Bell."/>
        <s v="post obligatoire avec brief"/>
        <s v="post obligatoire  "/>
        <s v="Brief à respecter"/>
        <s v="Thème du book"/>
        <m/>
        <s v="Post Obligatoire "/>
        <s v="Brief dans mail"/>
        <s v="Ne pas poster / Suivre brief"/>
        <s v="Post avec brief"/>
        <s v="Libre"/>
        <s v="Seeding"/>
        <s v="NiceWork"/>
        <s v="Nice Work"/>
        <s v="Post Obligatoire"/>
        <s v="Fonctionnement Nice Work"/>
        <s v="Pas de brief"/>
        <s v="Consignes Nice Work"/>
        <s v="Post obligatoire sans brief"/>
        <s v="1 Tiktok + 1 Reel"/>
        <s v="1 Tiktok + 1 IG story"/>
        <s v="Post non obligatoire"/>
        <s v="Libre - colis presse"/>
        <s v="Evenement"/>
        <s v="Sans obligation de post"/>
        <s v="Obligation de post"/>
        <s v="Nice Work Fonctionnement"/>
        <s v="Médiatisation"/>
        <s v="Apport D'affaire"/>
        <s v="Promouvoir les 2 produits"/>
        <s v="Voir Brief mail"/>
        <s v="Event"/>
      </sharedItems>
    </cacheField>
    <cacheField name="Format (influence vs UGC)" numFmtId="166">
      <sharedItems containsBlank="1">
        <s v="Influence"/>
        <m/>
        <s v="UGC "/>
        <s v="UGC"/>
        <s v="Evenement"/>
        <s v="Skeepers"/>
        <s v="Interview"/>
        <s v="Médiatisation"/>
      </sharedItems>
    </cacheField>
    <cacheField name="Rémunération totale">
      <sharedItems containsBlank="1" containsMixedTypes="1" containsNumber="1">
        <n v="70.0"/>
        <n v="130.0"/>
        <n v="200.0"/>
        <s v="Gifting + Médiatisation"/>
        <s v="20€/semaine de médiatisation"/>
        <n v="350.0"/>
        <s v="Comptabilisé"/>
        <n v="500.0"/>
        <n v="150.0"/>
        <s v="Gifting"/>
        <n v="100.0"/>
        <m/>
        <n v="650.0"/>
        <n v="450.0"/>
        <n v="629.92"/>
        <n v="1800.0"/>
        <n v="175.0"/>
        <n v="250.0"/>
        <n v="1000.0"/>
        <n v="230.0"/>
        <n v="300.0"/>
        <n v="80.0"/>
        <n v="531.0"/>
        <n v="400.0"/>
        <n v="241.28"/>
        <n v="75.0"/>
        <n v="275.0"/>
        <n v="137.5"/>
        <n v="600.0"/>
        <n v="526.48"/>
        <n v="625.0"/>
        <n v="1250.0"/>
        <n v="800.0"/>
        <n v="699.2"/>
        <n v="225.0"/>
        <n v="1500.0"/>
        <n v="357.935"/>
        <n v="173.0"/>
        <n v="1200.0"/>
        <n v="233.33333333333334"/>
        <n v="750.0"/>
        <n v="700.0"/>
        <n v="393.3"/>
        <n v="125.0"/>
        <n v="382.5"/>
        <n v="325.0"/>
        <n v="0.0"/>
        <n v="170.0"/>
        <n v="900.0"/>
        <n v="375.0"/>
        <n v="195.0"/>
        <n v="950.0"/>
        <n v="1012.5"/>
        <n v="2000.0"/>
        <n v="333.3333333333333"/>
        <n v="582.0"/>
        <n v="291.0"/>
        <n v="970.0"/>
        <n v="1850.0"/>
        <n v="940.0"/>
        <n v="2500.0"/>
        <n v="850.0"/>
        <n v="1100.0"/>
        <n v="810.0"/>
        <n v="552.0"/>
        <n v="550.13"/>
        <n v="1400.0"/>
        <n v="1125.0"/>
        <n v="395.09"/>
        <n v="410.72"/>
        <n v="550.0"/>
        <n v="508.3"/>
        <n v="370.0"/>
        <n v="1300.0"/>
        <n v="492.87"/>
        <n v="166.66666666666666"/>
        <n v="3298.0"/>
        <n v="666.6666666666666"/>
        <n v="620.0"/>
        <n v="112.5"/>
        <n v="217.4"/>
        <n v="3125.0"/>
        <n v="266.6666666666667"/>
        <n v="310.0"/>
        <n v="880.0"/>
        <n v="1290.0"/>
        <n v="840.0"/>
        <n v="602.0"/>
        <n v="190.0"/>
        <s v="Affiliation"/>
        <s v="10% Commission"/>
        <s v="Showroom"/>
        <s v="Evenement"/>
        <n v="235.0"/>
        <n v="144.0"/>
        <s v="Affiliate"/>
        <s v="Event"/>
        <n v="933.3333333333334"/>
        <n v="3000.0"/>
        <n v="4500.0"/>
        <n v="588.0"/>
        <n v="471.27"/>
        <s v="PR"/>
      </sharedItems>
    </cacheField>
    <cacheField name="Date Stats">
      <sharedItems containsDate="1" containsString="0" containsBlank="1" containsMixedTypes="1">
        <m/>
        <d v="2024-04-16T00:00:00Z"/>
        <d v="2024-04-29T00:00:00Z"/>
        <d v="2024-04-25T00:00:00Z"/>
        <d v="2024-05-08T00:00:00Z"/>
        <d v="2024-05-11T00:00:00Z"/>
        <d v="2024-05-31T00:00:00Z"/>
        <n v="105.0"/>
        <n v="96.25"/>
        <n v="280.0"/>
        <n v="140.0"/>
        <n v="350.0"/>
        <n v="420.0"/>
      </sharedItems>
    </cacheField>
    <cacheField name="Lien video" numFmtId="0">
      <sharedItems containsBlank="1">
        <m/>
        <s v="https://www.tiktok.com/@melf.fnt/video/7382192283279494432"/>
        <s v="https://www.tiktok.com/@lilyy.nl/video/7383728309110050080"/>
        <s v="https://www.tiktok.com/@lolatagliaferroo/video/7383998473613479201"/>
        <s v="https://www.tiktok.com/@lavishhcam/video/7390792553022442784?lang=en"/>
        <s v="https://www.tiktok.com/@chiaraaaa.bnc/video/7391058568260111649"/>
        <s v="https://www.tiktok.com/@lina.mkrn2/video/7390790437969104161"/>
        <s v="https://www.tiktok.com/@perrine.trp/video/7391590382611516705"/>
        <s v="https://www.tiktok.com/@morgane.mrckk/video/7390710366738681121"/>
        <s v="https://www.tiktok.com/@perrine.trp/video/7394891259883654433"/>
        <s v="https://www.tiktok.com/@___oraane/video/7392965105924738336"/>
        <s v="https://www.tiktok.com/@paupibeauty/video/7395224727377251617"/>
        <s v="https://www.tiktok.com/@lolatagliaferroo/video/7395519666556259616"/>
        <s v="https://www.tiktok.com/@melf.fnt/video/7393286593676660000"/>
        <s v="https://www.tiktok.com/@perrine.trp/video/7393392477878701345"/>
        <s v="https://www.tiktok.com/@morgane.mrckk/video/7394042444519591201"/>
        <s v="https://www.tiktok.com/@paupibeauty/video/7394501330364075296"/>
        <s v="https://www.tiktok.com/@paupibeauty/video/7397449808555937056?_r=1&amp;_t=8oSOvlgWeMi"/>
        <s v="https://www.tiktok.com/@lolatagliaferroo/video/7398086597721263393"/>
        <s v="https://www.tiktok.com/@___oraane/video/7398548157925248288"/>
        <s v="https://vm.tiktok.com/ZGenfd12c/"/>
        <s v="https://www.tiktok.com/@liserdg/video/7397464254451911969"/>
        <s v="https://www.tiktok.com/@liserdg/video/7401195152984870176"/>
        <s v="https://www.tiktok.com/@lilyy.nl/video/7403767696283766048"/>
        <s v="https://www.tiktok.com/@morgane.mrckk/video/7411931626252422433"/>
        <s v="https://www.tiktok.com/@___oraane/video/7403673068578688289"/>
        <s v="https://www.tiktok.com/@lavishhcam/video/7406036857340824865?lang=en"/>
        <s v="https://www.tiktok.com/@lilyy.nl/video/7407093682731502880"/>
        <s v="https://www.tiktok.com/@paupibeauty/video/7403439757415533856?_r=1&amp;_t=8otpeszl9rE"/>
        <s v="https://www.tiktok.com/@perrine.trp/video/7411953653143129376"/>
        <s v="https://www.tiktok.com/@lavishhcam/video/7407487090046389537?lang=en"/>
        <s v="https://www.tiktok.com/@melf.fnt/video/7408135764502007073"/>
        <s v="https://www.tiktok.com/@lavishhcam/video/7406708879695875360?lang=en"/>
        <s v="https://www.tiktok.com/@lavishhcam/video/7411562966337834272?lang=en"/>
        <s v="https://www.tiktok.com/@morgane.mrckk/video/7406767459749055777"/>
        <s v="https://www.tiktok.com/@lilyy.nl/video/7411947131440827681"/>
        <s v="https://www.tiktok.com/@julianebernard/video/7415999447202663713"/>
        <s v="https://www.tiktok.com/@lilyy.nl/video/7412698376162135328"/>
        <s v="https://www.tiktok.com/@melf.fnt/video/7421252203458874656"/>
        <s v="https://www.tiktok.com/@melf.fnt/video/7417119746270776609"/>
        <s v="https://www.tiktok.com/@melf.fnt/video/7422703664969616673"/>
        <s v="https://www.tiktok.com/@paupibeauty/video/7416729046316338465?_r=1&amp;_t=8psjQcSNmPA"/>
        <s v="https://www.tiktok.com/@jessicadcstr/video/7401576606319398177"/>
        <s v="https://tiktok.com/@mary.zhh/video/7416774634885926176?lang=en"/>
        <s v="https://www.tiktok.com/@chiaraaaa.bnc/video/7417486710386232609"/>
        <s v="https://www.tiktok.com/@perrine.trp/video/7420530124208016672"/>
        <s v="https://www.tiktok.com/@paupibeauty/video/7418269204975078689"/>
        <s v="https://www.tiktok.com/@jeanne_bayart/video/7425572834992344353?_r=1&amp;_t=8qXCYC0RFJY"/>
        <s v="https://www.tiktok.com/@jeanne_bayart/video/7437562970659491105?lang=en"/>
        <s v="https://www.tiktok.com/@___oraane/video/7434852783339195681?lang=en"/>
        <s v="https://www.tiktok.com/@melf.fnt/video/7430522334919822624"/>
        <s v="https://www.tiktok.com/@liserdg/video/7430136572063796513?lang=en"/>
        <s v="https://www.tiktok.com/@liserdg/video/7432768931619802401?lang=en"/>
        <s v="https://www.tiktok.com/@morgane.mrckk/video/7430757799249988896?lang=en"/>
        <s v="https://www.tiktok.com/@shaa_dl/video/7515842386795187478"/>
        <s v="https://www.tiktok.com/@___oraane/video/7419283054981664033"/>
        <s v="https://www.tiktok.com/@anaiswairyy/video/7433837110584479008?lang=en"/>
        <s v="https://www.tiktok.com/@chiaraaaa.bnc/video/7438003860733578528?lang=en"/>
        <s v="https://www.tiktok.com/@morgane.mrckk/video/7437476392905805089?lang=en"/>
        <s v="https://www.tiktok.com/@iimslma/video/7436438336383880480?lang=en"/>
        <s v="https://www.tiktok.com/@melf.fnt/video/7436438601740668192?_r=1&amp;_t=8rKy09eXARN"/>
        <s v="https://www.tiktok.com/@lavishhcam/video/7437477138430741792"/>
        <s v="https://www.tiktok.com/@julianebernard/video/7437454498747927841?lang=en"/>
        <s v="https://www.tiktok.com/@melf.fnt/video/7437532619706731809"/>
        <s v="https://www.tiktok.com/@anaiswairyy/video/7455393883908771094?lang=en"/>
        <s v="https://www.tiktok.com/@anaiswairyy/video/7469871245606030614?lang=en"/>
        <s v="https://www.tiktok.com/@___oraane/video/7450792735776296214?lang=en"/>
        <s v="https://www.tiktok.com/@___oraane/video/7449648582451350806?lang=en"/>
        <s v="https://www.tiktok.com/@melf.fnt/video/7441913953858489633"/>
        <s v="https://www.tiktok.com/@paupibeauty/video/7442018892454694176?_r=1&amp;_t=8rkWjFn0wJa"/>
        <s v="https://www.tiktok.com/@anaiswairyy?lang=en"/>
        <s v="https://www.tiktok.com/@lilyy.nl/video/7443863318730689814"/>
        <s v="https://www.tiktok.com/@jeanne_bayart/video/7442798993492479265?lang=en"/>
        <s v="https://www.tiktok.com/@iman_cvls/video/7451924438834089238?_r=1&amp;_t=8sTta62xc1u"/>
        <s v="https://www.tiktok.com/@iman_cvls/video/7452023214944947478?_r=1&amp;_t=8sWEGQqinJO"/>
        <s v="https://www.tiktok.com/@iman_cvls/video/7452403635708775702"/>
        <s v="https://www.tiktok.com/@jasmiinelife/video/7453739165205777686?lang=en"/>
        <s v="https://www.tiktok.com/@lavishhcam/video/7463441462252932374"/>
        <s v="https://www.tiktok.com/@iimslma/video/7465383468805999894?_r=1&amp;_t=ZN-8tTXg6qHkUY"/>
        <s v="https://www.tiktok.com/@iman_cvls/video/7465390038260485398?_t=ZN-8tTZG4XbMr0&amp;_r=1"/>
        <s v="https://www.tiktok.com/@liserdg/video/7465785595495763222?lang=en"/>
        <s v="https://www.tiktok.com/@la_gur/video/7467998009230363926?lang=en"/>
        <s v="75 de media"/>
        <s v="https://www.tiktok.com/@dounsbnl/video/7471295610063310102"/>
        <s v="https://www.tiktok.com/@lolatagliaferroo?lang=en"/>
        <s v="https://www.tiktok.com/@___oraane/video/7471294678306934038?lang=en"/>
        <s v="https://www.tiktok.com/@shaa_dl/video/7471336075559046422"/>
        <s v="https://www.tiktok.com/@dounsbnl/video/7451645404535442710"/>
        <s v="https://www.tiktok.com/@anaiswairyy/video/7471353868702502166?lang=en"/>
        <s v="https://www.tiktok.com/@dounsbnl/video/7473150812873788674?_t=ZN-8u36zKwjrx0&amp;_r=1"/>
        <s v="https://www.tiktok.com/@lolatagliaferroo/video/7473819808870534422?lang=en"/>
        <s v="https://www.tiktok.com/@paupibeauty/video/7473538347969875222?_r=1&amp;_t=ZN-8u4tYDuW4wQ"/>
        <s v="https://www.tiktok.com/@perrine.trp/video/7476172058406194454?lang=en"/>
        <s v="https://www.tiktok.com/@eloiseaubeneauu/video/7482020827924401451"/>
        <s v="https://www.tiktok.com/@julianebernard/video/7496568197135486230?_r=1&amp;_t=ZN-8vmOTilRwgg"/>
        <s v="https://www.tiktok.com/@iimslma/video/7485792482345618710?_r=1&amp;_t=ZN-8uz1T2hjhy6"/>
        <s v="https://www.tiktok.com/@dounsbnl/video/7476794031935147286"/>
        <s v="https://www.tiktok.com/@eloiseaubeneauu/video/7495738839487581470?_t=ZP-8viaG7wegWt&amp;_r=1"/>
        <s v="https://www.tiktok.com/@lilyy.nl/video/7493984160173034774"/>
        <s v="https://www.tiktok.com/@ttemarine/video/7495056234014379266"/>
        <s v="https://www.tiktok.com/@ttemarine/video/7494670749865757974"/>
        <s v="https://www.tiktok.com/@julianebernard/video/7493986086654315798?lang=en"/>
        <s v="https://www.tiktok.com/@paupibeauty/video/7493948630144011542"/>
        <s v="https://www.tiktok.com/@lavishhcam/video/7495428391882198295"/>
        <s v="https://www.tiktok.com/@la_gur/video/7499405044245204246?lang=en"/>
        <s v="https://www.tiktok.com/@sarah.bdii/video/7499149208293788950"/>
        <s v="https://www.tiktok.com/@jasmiinelife/video/7499164614366645526?lang=en"/>
        <s v="https://www.tiktok.com/@ttemarine/video/7499519504368569622"/>
        <s v="https://www.tiktok.com/@lovelymorgane/video/7499894490853821718?_r=1&amp;_t=8kth38xkh3x"/>
        <s v="https://www.tiktok.com/@arwen.arwen1/video/7506934371669101846?lang=en"/>
        <s v="https://www.tiktok.com/@farahdisiaque/video/7505057972834372886"/>
        <s v="https://www.tiktok.com/@paupibeauty/video/7506557930817277206?_t=ZN-8wW7MsM3mNy&amp;_r=1"/>
        <s v="https://www.tiktok.com/@lavishhcam/video/7505069359010794774"/>
        <s v="https://www.tiktok.com/@paupibeauty/video/7507679880100810007?_r=1&amp;_t=ZN-8wbG54dkxtO"/>
        <s v="https://www.tiktok.com/@iam.sissou/video/7526589360469265686?is_from_webapp=1&amp;sender_device=pc&amp;web_id=7504317976587437590"/>
        <s v="https://www.tiktok.com/@mary.zhh/video/7462430581402520854"/>
        <s v="https://www.tiktok.com/@mary.zhh/video/7460561651675303190"/>
        <s v="https://www.tiktok.com/@paupibeauty/video/7439768252269546785?_r=1&amp;_t=8raH38QLVtG"/>
        <s v="https://www.tiktok.com/@amani_mee/video/7494728696528522518"/>
        <s v="https://vm.tiktok.com/ZNdPeJgF7/"/>
        <s v="https://www.tiktok.com/@ttemarine/video/7522142648207936790?_t=ZN-8xfVHZaTphe&amp;_r=1"/>
        <s v="https://www.tiktok.com/@iam.sissou/video/7513475563936369942"/>
        <s v="https://www.tiktok.com/@iimslma/video/7522888104374701335"/>
        <s v="https://drive.google.com/drive/folders/19ToYFCpY-wQNqLL1X6hkS610Je7ZJWpH?usp=sharing"/>
        <s v="https://drive.google.com/drive/folders/1cqb0DvHrI2AEf5Y1mODPl-Wb-x2ZpIBF?usp=sharing"/>
        <s v="https://www.tiktok.com/@shaa_dl/video/7525111945536523542?_r=1&amp;_t=ZN-8xwa2XIbgXO"/>
        <s v="https://www.instagram.com/p/DL9s1T-ucxx/?hl=fr"/>
        <s v="https://www.tiktok.com/@___oraane/video/7525503490924416279"/>
        <s v="https://www.tiktok.com/@julianebernard/video/7522838166227864854?lang=en"/>
        <s v="https://www.tiktok.com/@laudewit/video/7519192074919365920"/>
        <s v="https://www.tiktok.com/@asmaenel/video/7526542702301826326?is_from_webapp=1&amp;sender_device=pc&amp;web_id=7504317976587437590"/>
        <s v="https://www.tiktok.com/@shaa_dl/video/7525111987638979862?_r=1&amp;_t=ZN-8xwa1oeBxCQ"/>
        <s v="https://www.tiktok.com/@juliette.pn/video/7525473712418622742?is_from_webapp=1&amp;sender_device=pc&amp;web_id=7504317976587437590"/>
        <s v="https://www.tiktok.com/@laudewit/video/7525483945366998305"/>
        <s v="https://www.tiktok.com/@julianebernard/video/7526982773156924694?_r=1&amp;_t=ZN-8y1f4d2rh1K"/>
        <s v="https://www.tiktok.com/@la_gur/video/7528400374802173206"/>
        <s v="https://www.tiktok.com/@paupibeauty/video/7529220565756857622"/>
        <s v="https://vm.tiktok.com/ZNHp1gFdSuU6L-Orqzs/"/>
        <s v="https://www.tiktok.com/@melissa.pndd/video/7526574135296773398?is_from_webapp=1&amp;sender_device=pc&amp;web_id=7504317976587437590"/>
        <s v="https://www.tiktok.com/@laudewit/video/7529089646714735905"/>
        <s v="https://www.tiktok.com/@guenaire/video/7532570588146076950"/>
        <s v="https://www.tiktok.com/@laudewit/video/7525765188893674784"/>
        <s v="https://www.tiktok.com/@sarah.bdii/video/7516951979084598550"/>
        <s v="https://www.tiktok.com/@anaiswairyy/video/7466167514402229526?lang=en"/>
        <s v="https://www.tiktok.com/@melissa.pndd/video/7514352561562946838"/>
        <s v="https://vm.tiktok.com/ZNdyXTXHb/"/>
        <s v="https://www.instagram.com/reel/DLc5EB4ogna/?utm_source=ig_web_copy_link"/>
        <s v="https://www.tiktok.com/@glennwolff/video/7517353745353559318?is_from_webapp=1&amp;sender_device=pc&amp;web_id=7504317976587437590"/>
        <s v="https://www.instagram.com/reel/DLXs9HIijUX/?utm_source=ig_web_copy_link&amp;igsh=MzEyc2ZyNmFwZTMw"/>
        <s v="https://www.tiktok.com/@lolatagliaferroo/video/7520567485473492246?is_from_webapp=1&amp;sender_device=pc&amp;web_id=7504317976587437590"/>
        <s v="https://www.tiktok.com/@melissa.pndd/video/7519911199744494850?is_from_webapp=1&amp;sender_device=pc&amp;web_id=7504317976587437590"/>
        <s v="https://www.tiktok.com/@___oraane/video/7518063433611480343?_t=ZN-8xMoEPKM08s&amp;_r=1"/>
        <s v="https://www.tiktok.com/@paupibeauty/video/7521283052488641814?is_from_webapp=1&amp;sender_device=pc&amp;web_id=7504317976587437590"/>
        <s v="https://www.tiktok.com/@sarah.bdii/video/7532173540204891414"/>
        <s v="https://www.tiktok.com/@shaa_dl/video/7414067609177476384"/>
        <s v="https://www.tiktok.com/@shaa_dl/video/7430530285852167457"/>
        <s v="https://www.tiktok.com/@shaa_dl/video/7456916860278295830?_t=ZN-8sqlAIVsOJS&amp;_r=1"/>
        <s v="https://www.tiktok.com/@amandambt_/video/7483639690327788822?lang=en"/>
        <s v="La première à 1 min 17 https://vm.tiktok.com/ZNdMWypK4/ La seconde à 1 min 32 https://vm.tiktok.com/ZNdMWUM5e/"/>
        <s v="https://www.instagram.com/reel/DFqvAlCNUMN/"/>
        <s v="https://www.tiktok.com/@arwen.arwen1/video/7453509821812280598?lang=en"/>
        <s v="https://www.tiktok.com/@arwen.arwen1/video/7453509775200980246?lang=en"/>
        <s v="https://www.tiktok.com/@arwen.arwen1/video/7453530509163973910?lang=en"/>
        <s v="https://www.tiktok.com/@lavishhcam/video/7372599354646957344"/>
        <s v="https://www.tiktok.com/@lavishhcam/video/7370721490632772896?lang=en"/>
        <s v="https://www.tiktok.com/@lavishhcam/video/7374120668813659425"/>
        <s v="https://vm.tiktok.com/ZGeGrsEfX/"/>
        <s v="https://www.tiktok.com/@lavishhcam/video/7392636437163773217"/>
        <s v="https://www.tiktok.com/@lavishhcam/video/7401082023797902625?lang=en"/>
        <s v="https://www.tiktok.com/@lavishhcam/video/7401156666479119649?lang=en"/>
        <s v="https://www.tiktok.com/@lavishhcam/video/7415270528665046305?lang=en"/>
        <s v="https://www.tiktok.com/@lavishhcam/video/7414065973084359968?lang=en"/>
        <s v="https://www.tiktok.com/@lavishhcam/video/7421861704159464736?lang=en"/>
        <s v="https://www.tiktok.com/@lavishhcam/video/7421578850808646944"/>
        <s v="https://www.tiktok.com/@lavishhcam/video/7424528927714020641"/>
        <s v="https://tiktok.com/@lavishhcam/video/7428536491384638753"/>
        <s v="https://www.tiktok.com/@lavishhcam/video/7431968536773299489"/>
        <s v="https://www.tiktok.com/@lavishhcam/video/7431640311199255840"/>
        <s v="https://www.tiktok.com/@lavishhcam/video/7442372621200575776"/>
        <s v="https://www.tiktok.com/@lavishhcam/video/7451273510346820886"/>
        <s v="https://www.tiktok.com/@lavishhcam/video/7465046952749616406"/>
        <s v="https://www.tiktok.com/@lavishhcam/video/7462439461763157270"/>
        <s v="https://www.tiktok.com/@lavishhcam/video/7467602307832745238?_r=1&amp;_t=ZN-8tpZSV3gUPG"/>
        <s v="https://www.tiktok.com/@lavishhcam/video/7481621153107217686?_t=ZN-8ufuB4coZpW&amp;_r=1"/>
        <s v="https://www.tiktok.com/@lavishhcam/video/7480248461112216854?_t=ZN-8uksUX9QNRG&amp;_r=1"/>
        <s v="https://www.tiktok.com/@lavishhcam/video/7395231761887759649?lang=en"/>
        <s v="https://www.tiktok.com/@lavishhcam/video/7398186484789988641?lang=en"/>
        <s v="https://www.tiktok.com/@lavishhcam/video/7365759408892103969?lang=en"/>
        <s v="https://www.tiktok.com/@lavishhcam/video/7401530328214441248?lang=en"/>
        <s v="https://www.tiktok.com/@lavishhcam/video/7394844935842778400?lang=en"/>
        <s v="https://www.tiktok.com/@chiaraaaa.bnc/video/7391983750164319520?_r=1&amp;_t=8o3MXv1mvZJ"/>
        <s v="https://www.tiktok.com/@chiaraaaa.bnc/video/7394423173132913952"/>
        <s v="https://www.tiktok.com/@chiaraaaa.bnc/video/7405297473117310240"/>
        <s v="https://www.tiktok.com/@chiaraaaa.bnc/video/7404583889974480161"/>
        <s v="https://www.tiktok.com/@chiaraaaa.bnc/video/7416745525149584673"/>
        <s v="https://www.tiktok.com/@chiaraaaa.bnc/video/7415682356973014305?_r=1&amp;_t=8pnu1Dc4LKK"/>
        <s v="https://www.tiktok.com/@chiaraaaa.bnc/video/7426062687051713824?lang=en"/>
        <s v="https://www.tiktok.com/@chiaraaaa.bnc/video/7429003433572715809?lang=en"/>
        <s v="https://www.tiktok.com/@dounsbnl/video/7431205107913493793"/>
        <s v="https://www.tiktok.com/@dounsbnl/video/7474747644808613142"/>
        <s v="https://www.instagram.com/p/DHT2-JnIB-6/"/>
        <s v="https://www.instagram.com/reel/DJMIRWMoL9E/?igsh=MTY5bnFnZW5mZGI2dA=="/>
        <s v="https://www.tiktok.com/@eloiseaubeneauu/video/7483491441663036718?_t=ZT-8uoTJcOEruw&amp;_r=1"/>
        <s v="https://www.tiktok.com/@eloiseaubeneauu/video/7507226915682389279"/>
        <s v="https://www.instagram.com/reel/DJPcuR3Idt7/?igsh=OW9lOXZyc2hucGI="/>
        <s v="https://www.tiktok.com/@farahdisiaque/video/7483922941864955158?_t=ZN-8uqT7rbpmb8&amp;_r=1"/>
        <s v="c"/>
        <s v="https://www.tiktok.com/@bleulividee/video/7372251599776877856"/>
        <s v="https://vm.tiktok.com/ZGepDFE5y/"/>
        <s v="https://www.tiktok.com/@bleulividee/video/7391910299361709344"/>
        <s v="https://www.tiktok.com/@bleulividee/video/7392682253026970912"/>
        <s v="https://www.tiktok.com/@bleulividee/video/7410370727486049568"/>
        <s v="https://www.tiktok.com/@bleulividee/video/7375559768552770849"/>
        <s v="https://www.tiktok.com/@bleulividee/video/7393388652753194273"/>
        <s v="https://www.tiktok.com/@bleulividee/video/7397487380388744480"/>
        <s v="https://www.tiktok.com/@bleulividee/video/7365539403646651680"/>
        <s v="https://www.tiktok.com/@la_gur/photo/7457999858377428246?lang=en"/>
        <s v="https://www.tiktok.com/@la_gur/video/7485089693206433046?lang=en"/>
        <s v="https://www.tiktok.com/@la_gur/video/7495733948685815062?lang=en"/>
        <s v="https://drive.google.com/drive/folders/1bllXfbrb3bUB07wpoG2Ebl0SK0IzuWTC?usp=sharing"/>
        <s v="https://www.tiktok.com/@hidaya_bl/video/7484394919600213270"/>
        <s v="https://www.tiktok.com/@iman_cvls/video/7397858754177551649"/>
        <s v="https://www.tiktok.com/@iman_cvls/video/7404463230673849633"/>
        <s v="https://www.tiktok.com/@iman_cvls/video/7414564750392184096"/>
        <s v="https://www.tiktok.com/@iman_cvls/video/7430007298031930656?lang=en"/>
        <s v="https://www.tiktok.com/@iman_cvls/video/7442289270481636640?lang=en"/>
        <s v="https://www.tiktok.com/@iman_cvls/video/7458583066676710678?_t=ZN-8syYtKZMQGF&amp;_r=1"/>
        <s v="https://vm.tiktok.com/ZNdrMWKU9/   https://vm.tiktok.com/ZNdrMbUmK/&#10;"/>
        <s v="https://www.tiktok.com/@iman_cvls/video/7405646497515113761"/>
        <s v="https://www.tiktok.com/@jasmiinelife/video/7402157667159969057"/>
        <s v="https://www.tiktok.com/@jasmiinelife/video/7398942773430308128"/>
        <s v="https://www.tiktok.com/@jasmiinelife/video/7411133691189071137"/>
        <s v="https://www.tiktok.com/@jasmiinelife/video/7431849329335209249?_t=8qzxJsLvUuH&amp;_r=1"/>
        <s v="https://www.tiktok.com/@jasmiinelife/video/7481342810977881366?_r=1&amp;_t=ZN-8ued6vIUIJa"/>
        <s v="https://www.tiktok.com/@jasmiinelife/video/7478010649835064598?_t=ZN-8uksMc15EkI&amp;_r=1"/>
        <s v="https://vm.tiktok.com/ZNdr6BsyX/"/>
        <s v="https://www.tiktok.com/@jasmiinelife/video/7406012010816638240"/>
        <s v="https://www.instagram.com/reel/DAEGiSUicZy/"/>
        <s v="https://www.tiktok.com/@jeanne_bayart/video/7405111060274924832"/>
        <s v="https://www.tiktok.com/@jeanne_bayart/video/7401629838697565472"/>
        <s v="https://www.instagram.com/reel/DHYZokMIocA/?igsh=MXJmNGNqYzdlNjZ6eg%3D%3D"/>
        <s v="https://www.tiktok.com/@jessicadcstr/video/7374052571708771616"/>
        <s v="https://www.tiktok.com/@jessicadcstr/video/7375545597094464801"/>
        <s v="https://www.tiktok.com/@jessicadcstr/video/7388534640631450913"/>
        <s v="https://www.tiktok.com/@jessicadcstr/video/7389326468137995552"/>
        <s v="https://www.tiktok.com/@jessicadcstr/video/7402283442785766688"/>
        <s v="https://www.tiktok.com/@jessicadcstr/video/7400003750661819681"/>
        <s v="https://www.tiktok.com/@jessicadcstr/video/7401184127703108897"/>
        <s v="https://www.tiktok.com/@jessicadcstr/video/7379634512625487137"/>
        <s v="https://www.tiktok.com/@jessicadcstr/video/7370005908706921761?q=jessicadcstr%20aromazone&amp;t=1716383408647"/>
        <s v="https://www.tiktok.com/@julianebernard/video/7375950922876194080"/>
        <s v="https://www.tiktok.com/@julianebernard/video/7394526025591409952"/>
        <s v="https://www.tiktok.com/@julianebernard/video/7415662953526988065"/>
        <s v="https://www.tiktok.com/@julianebernard/video/7422201837324979489"/>
        <s v="https://www.tiktok.com/@julianebernard/video/7423819976387218720?lang=en"/>
        <s v="https://www.tiktok.com/@julianebernard/video/7428654055754353952?lang=en"/>
        <s v="https://www.tiktok.com/@julianebernard/video/7431227139405466912?lang=en"/>
        <s v="https://www.tiktok.com/@julianebernard/video/7470566844924005654?lang=en"/>
        <s v="https://www.tiktok.com/@julianebernard/video/7480957956545203478?_t=ZN-8uflzHw9hd0&amp;_r=1"/>
        <s v="https://www.tiktok.com/@julianebernard/video/7483144981474053398?_r=1&amp;_t=ZN-8umtSsTCOtq"/>
        <s v="https://www.tiktok.com/@julianebernard/video/7505188044769611030?_r=1&amp;_t=ZN-8wUPhwBCpra"/>
        <s v="https://www.tiktok.com/@julianebernard/video/7387355316817612064"/>
        <s v="https://www.tiktok.com/@laurieespamm/video/7373977897394048289"/>
        <s v="https://www.tiktok.com/@laurieespamm/video/7372894690884029729"/>
        <s v="https://www.tiktok.com/@laurieespamm/video/7385220213458980129"/>
        <s v="https://www.tiktok.com/@laurieespamm/video/7403685503830084896?_r=1&amp;_t=8ouxXOOFEH3"/>
        <s v="https://www.tiktok.com/@laurieespamm/video/7385584137039596833"/>
        <s v="https://www.tiktok.com/@lilyy.nl/video/7372250529398836512"/>
        <s v="https://www.tiktok.com/@lilyy.nl/video/7374127349601701153"/>
        <s v="https://www.tiktok.com/@lilyy.nl/video/7377465554560453921"/>
        <s v="https://www.tiktok.com/@lilyy.nl/video/7382595650866662688"/>
        <s v="https://www.tiktok.com/@lilyy.nl/video/7387413713944333601"/>
        <s v="https://www.tiktok.com/@lilyy.nl/video/7398197901182111008"/>
        <s v="https://www.tiktok.com/@lilyy.nl/video/7400071344089533728"/>
        <s v="https://www.tiktok.com/@lilyy.nl/video/7401181475330198816"/>
        <s v="https://www.tiktok.com/@lilyy.nl/video/7416387740951956768"/>
        <s v="https://www.tiktok.com/@lilyy.nl/video/7414163405205982497"/>
        <s v="https://www.tiktok.com/@lilyy.nl/video/7424229467951729953"/>
        <s v="https://www.tiktok.com/@lilyy.nl/video/7421229015719103776"/>
        <s v="https://www.tiktok.com/@lilyy.nl/video/7432644019890539808"/>
        <s v="https://www.tiktok.com/@lilyy.nl/video/7467121622500003094"/>
        <s v="https://www.tiktok.com/@lilyy.nl/video/7465615921470557462"/>
        <s v="https://www.tiktok.com/@lilyy.nl/video/7473378357531397398?_t=ZN-8uecd1X7Rby&amp;_r=1"/>
        <s v="https://www.tiktok.com/@lilyy.nl/video/7381865050685934881"/>
        <s v="https://www.tiktok.com/@lilyy.nl/video/7397468947290918176"/>
        <s v="https://www.tiktok.com/@lilyy.nl/video/7355571660520426784?q=lilyy.nl%20aromazone&amp;t=1716382679417"/>
        <s v="https://www.tiktok.com/@lilyy.nl/video/7407474534565154081"/>
        <s v="www.tiktok.com/@lilyy.nl/video/7402233435932216608?cid=NzQwMjIzNDY4NzAzMDE5OTA3Mg"/>
        <s v="https://www.tiktok.com/@lina.mkrn2/video/7384054300869217569?browserMode=1"/>
        <s v="https://www.tiktok.com/@liserdg/video/7399262478896614689"/>
        <s v="https://www.tiktok.com/@liserdg/video/7399698677285014817"/>
        <s v="https://www.tiktok.com/@liserdg/video/7404521868960501024"/>
        <s v="https://www.tiktok.com/@liserdg/video/7407523195101728033"/>
        <s v="https://www.tiktok.com/@liserdg/video/7418260695130623264"/>
        <s v="https://www.tiktok.com/@liserdg/video/7420486871957998880"/>
        <s v="https://www.tiktok.com/@liserdg/video/7431256738801667360?lang=en"/>
        <s v="https://www.tiktok.com/@liserdg/video/7441653570472135969?_t=8riqrKU7tr6&amp;_r=1"/>
        <s v="https://www.tiktok.com/@liserdg/video/7408641991967378720"/>
        <s v="https://www.tiktok.com/@liserdg/video/7381070326211317025"/>
        <s v="https://tiktok.com/@liserdg/video/7422323883673423136"/>
        <s v="https://www.tiktok.com/@lolatagliaferroo/video/7388560111800749345"/>
        <s v="https://www.tiktok.com/@lolatagliaferroo/video/7417167690537717024"/>
        <s v="https://www.tiktok.com/@lolatagliaferroo/video/7417539584071830816"/>
        <s v="https://www.tiktok.com/@lolatagliaferroo/video/7428671047366348065?lang=en"/>
        <s v="https://www.tiktok.com/@lolatagliaferroo/video/7445278458680266006?lang=en"/>
        <s v="https://www.tiktok.com/@melf.fnt/video/7372218331379666209"/>
        <s v="https://www.tiktok.com/@melf.fnt/video/7370750286744292641"/>
        <s v="https://www.tiktok.com/@melf.fnt/video/7383665768757579041"/>
        <s v="https://www.tiktok.com/@melf.fnt/video/7384078329554423073"/>
        <s v="https://www.tiktok.com/@melf.fnt/video/7388460088819797280"/>
        <s v="https://www.tiktok.com/@melf.fnt/video/7391885588057656609"/>
        <s v="https://www.tiktok.com/@melf.fnt/video/7399939773575613728"/>
        <s v="https://www.tiktok.com/@melf.fnt/video/7416390437692280096"/>
        <s v="https://www.tiktok.com/@melf.fnt/video/7415636160636013856"/>
        <s v="https://www.tiktok.com/@melf.fnt/video/7417407814903057697"/>
        <s v="https://www.tiktok.com/@melf.fnt/video/7422664116545801504"/>
        <s v="https://www.tiktok.com/@melf.fnt/video/7431619697042296096"/>
        <s v="https://www.tiktok.com/@melf.fnt/video/7428571977918500128"/>
        <s v="https://www.tiktok.com/@melf.fnt/video/7375924184494476577"/>
        <s v="https://www.tiktok.com/@melf.fnt/video/7395873680867233057"/>
        <s v="https://www.tiktok.com/@melf.fnt/video/7364824274315529505"/>
        <s v="https://www.tiktok.com/@melf.fnt/video/7400756804549971232"/>
        <s v="https://www.tiktok.com/@morgane.mrckk/video/7384031967643307296"/>
        <s v="https://www.tiktok.com/@morgane.mrckk/video/7402654625314196769"/>
        <s v="https://www.tiktok.com/@morgane.mrckk/video/7414534348910775584"/>
        <s v="https://www.tiktok.com/@morgane.mrckk/video/7413431476252970272"/>
        <s v="https://www.tiktok.com/@morgane.mrckk/video/7412302749104114977"/>
        <s v="https://www.tiktok.com/@morgane.mrckk/video/7423352236501241121"/>
        <s v="https://www.tiktok.com/@morgane.mrckk/video/7424156968429833504?lang=en"/>
        <s v="https://www.tiktok.com/@morgane.mrckk/video/7436771318671953185?lang=en"/>
        <s v="https://www.tiktok.com/@morgane.mrckk/video/7385545243870973216"/>
        <s v="https://www.tiktok.com/@morgane.mrckk/video/7397382935453764896"/>
        <s v="https://www.tiktok.com/@morgane.mrckk/video/7381070101392477472"/>
        <s v="https://www.tiktok.com/@morgane.mrckk/video/7416632134347033889"/>
        <s v="https://www.instagram.com/p/DF3IS0nN9_G/?img_index=1"/>
        <s v="https://www.instagram.com/p/DHTVmb9tQrc/"/>
        <s v="https://www.instagram.com/p/DJtb4I3NWCt/?img_index=1&amp;igsh=cHBsdGw3bjhsaTd2"/>
        <s v="https://www.tiktok.com/@___oraane/video/7370306532183002401"/>
        <s v="https://www.tiktok.com/@___oraane/video/7385808181940784417"/>
        <s v="https://www.tiktok.com/@___oraane/video/7396281714101734689"/>
        <s v="https://www.tiktok.com/@___oraane/video/7398824092297612576"/>
        <s v="https://www.tiktok.com/@___oraane/video/7408970007402663200"/>
        <s v="https://www.tiktok.com/@___oraane/video/7422246939724385569?lang=en"/>
        <s v="https://www.tiktok.com/@___oraane/video/7427080640987712800?lang=en"/>
        <s v="https://www.tiktok.com/@___oraane/video/7476554634371337495?_t=ZN-8uksMQy8spa&amp;_r=1"/>
        <s v="https://www.tiktok.com/@___oraane/video/7497260335687142678?_r=1&amp;_t=ZN-8wK7rhJ1GDe"/>
        <s v="https://www.tiktok.com/@___oraane/video/7375468422068571424?_r=1&amp;_t=8krP3tfqVUH"/>
        <s v="https://www.tiktok.com/@___oraane/video/7410372109068766496"/>
        <s v="https://www.tiktok.com/@paupibeauty/video/7376008068775120160"/>
        <s v="https://vm.tiktok.com/ZGeb3qMjG/"/>
        <s v="https://www.tiktok.com/@paupibeauty/video/7388913023471176993"/>
        <s v="https://www.tiktok.com/@paupibeauty/video/7391913188587048224"/>
        <s v="https://www.tiktok.com/@paupibeauty/video/7391464252877442336"/>
        <s v="https://www.tiktok.com/@paupibeauty/video/7399701843338612001?_r=1&amp;_t=8ocjkRHNArg"/>
        <s v="https://www.tiktok.com/@paupibeauty/video/7397104051248188704"/>
        <s v="https://www.tiktok.com/@paupibeauty/video/7409632617487699233?_r=1&amp;_t=8pifPT1JA5h"/>
        <s v="https://www.tiktok.com/@paupibeauty/video/7422233100345806113?_r=1&amp;_t=8qHw0Tc0W3d"/>
        <s v="https://www.tiktok.com/@paupibeauty/video/7433470283073244449"/>
        <s v="https://vm.tiktok.com/ZGdLKEWpH/"/>
        <s v="https://www.tiktok.com/@paupibeauty/video/7469447565080005910"/>
        <s v="https://www.tiktok.com/@paupibeauty/video/7483230429919677718?_r=1&amp;u_code=db2iba9fkd722g&amp;preview_pb=0&amp;sharer_language=fr&amp;_d=e50dm7j0f1glif&amp;share_item_id=7483230429919677718&amp;source=h5_m&amp;timestamp=1742383722&amp;utm_source=copy&amp;tt_from=copy&amp;enable_checksum=1&amp;ut"/>
        <s v="https://vm.tiktok.com/ZNdr6B5df/  https://vm.tiktok.com/ZNdr62oeS/"/>
        <s v="https://www.tiktok.com/@paupibeauty/video/7390429662033251617"/>
        <s v="https://www.tiktok.com/@paupibeauty/video/7364899892755565857"/>
        <s v="https://www.tiktok.com/@paupibeauty/video/7400829639158992161"/>
        <s v="https://www.tiktok.com/@paupibeauty/video/7403338641294101793?_r=1&amp;_t=8otMyM33Aq9"/>
        <s v="https://www.tiktok.com/@paupibeauty/video/7419986303070129441"/>
        <s v="https://www.tiktok.com/@perrine.trp/video/7388970033046736161"/>
        <s v="https://www.tiktok.com/@perrine.trp/video/7391934268479425825"/>
        <s v="https://www.tiktok.com/@perrine.trp/video/7388938973533490465"/>
        <s v="https://www.tiktok.com/@perrine.trp/video/7404526978864270625"/>
        <s v="https://www.tiktok.com/@perrine.trp/video/7416397579652549920"/>
        <s v="https://www.tiktok.com/@perrine.trp/video/7420481706290990368"/>
        <s v="https://www.tiktok.com/@perrine.trp/video/7432357615906082081?lang=en"/>
        <s v="https://www.tiktok.com/@perrine.trp/video/7470594564579921174?_t=ZN-8trcT1kEJTq&amp;_r=1"/>
        <s v="https://www.tiktok.com/@romlabordelaise/photo/7374826918236949793?_d=secCgYIASAHKAESPgo8q9siUnZtyE0109XMp5dx3cMmVFVIaMGy%2BlAK8UtWtglSCdVgBy%2FzSdjJmzYWsISFC9%2B%2FlyF04TxmdiBEGgA%3D&amp;_r=1&amp;checksum=76ea1d67e0b71fc0c1e121f4b86c89eead08caa18274e51cbd7e8fffc4"/>
        <s v="https://www.tiktok.com/@romlabordelaise/video/7367768975154990369"/>
        <s v="https://www.tiktok.com/@iimslma/video/7437910864826486048?_r=1&amp;_t=8rRi7SCy1Ka"/>
        <s v="https://www.tiktok.com/@iimslma/video/7396769960623738145"/>
        <s v="https://www.tiktok.com/@iimslma/video/7403774825702886688"/>
        <s v="https://www.tiktok.com/@iimslma/video/7399725613407309089"/>
        <s v="https://www.tiktok.com/@iimslma/video/7400436730320456993"/>
        <s v="https://www.tiktok.com/@iimslma/video/7407485284817882401"/>
        <s v="https://www.tiktok.com/@iimslma/video/7412021525198425376"/>
        <s v="https://www.tiktok.com/@iimslma/video/7408622473912061216"/>
        <s v="https://www.tiktok.com/@iimslma/video/7413780170781347105"/>
        <s v="https://www.tiktok.com/@iimslma/video/7431628369067838753?lang=en"/>
        <s v="https://www.tiktok.com/@iimslma/video/7435745133313805601?_r=1&amp;_t=8rleTqgb0vG"/>
        <s v="https://www.tiktok.com/@iimslma/video/7468747433061944599?lang=en"/>
        <s v="https://www.tiktok.com/@iimslma/video/7468781724462337302?lang=en"/>
        <s v="https://www.tiktok.com/@iimslma/video/7472835179187424534?lang=en"/>
        <s v="https://www.tiktok.com/@iimslma/video/7481752779980147990?_t=ZN-8ugXSybaIEw&amp;_r=1"/>
        <s v="https://www.tiktok.com/@iimslma/video/7483594182083218710?_r=1&amp;_t=ZN-8uox8rOjAzm"/>
        <s v="https://vm.tiktok.com/ZNdrrBuVK/"/>
      </sharedItems>
    </cacheField>
    <cacheField name="X">
      <sharedItems containsBlank="1" containsMixedTypes="1" containsNumber="1" containsInteger="1">
        <m/>
        <n v="350.0"/>
        <n v="420.0"/>
        <n v="320.0"/>
        <s v="https://www.instagram.com/reel/DEKlEAhCcsg/"/>
        <s v="ANAIS-10 Il offre -10% de réduction sur une commande sans minimum d’achat, hors frais de port, valable jusqu’au 30/04/2025"/>
        <s v="envoyer facture en anglais"/>
        <s v="deja facture"/>
        <s v="500 médiat"/>
        <s v="dont 150 de médiat"/>
        <s v="envoyer facture en €"/>
        <s v="médiat à confirmer 202,50€"/>
        <s v="ajouter code promo"/>
        <s v="lien en bio"/>
        <s v="rembourser Produits"/>
        <s v="facture déjà envoyée"/>
        <s v="enlever 75 media à facturer plus tard"/>
      </sharedItems>
    </cacheField>
    <cacheField name="Grapper" numFmtId="0">
      <sharedItems containsBlank="1">
        <s v="Oui"/>
        <s v="Non"/>
        <m/>
        <s v="Non "/>
      </sharedItems>
    </cacheField>
    <cacheField name="Date vente" numFmtId="164">
      <sharedItems containsDate="1" containsString="0" containsBlank="1">
        <d v="2024-03-01T00:00:00Z"/>
        <d v="2024-03-15T00:00:00Z"/>
        <m/>
        <d v="2024-03-30T00:00:00Z"/>
        <d v="2024-03-25T00:00:00Z"/>
        <d v="2024-04-08T00:00:00Z"/>
        <d v="2024-04-11T00:00:00Z"/>
        <d v="2024-03-21T00:00:00Z"/>
        <d v="2024-04-25T00:00:00Z"/>
        <d v="2024-04-19T00:00:00Z"/>
        <d v="2024-05-07T00:00:00Z"/>
        <d v="2024-05-06T00:00:00Z"/>
        <d v="2024-05-02T00:00:00Z"/>
        <d v="2024-05-13T00:00:00Z"/>
        <d v="2024-05-14T00:00:00Z"/>
        <d v="2024-03-20T00:00:00Z"/>
        <d v="2024-04-10T00:00:00Z"/>
        <d v="2024-05-30T00:00:00Z"/>
        <d v="2024-05-11T00:00:00Z"/>
        <d v="2024-04-30T00:00:00Z"/>
        <d v="2024-05-23T00:00:00Z"/>
        <d v="2024-05-16T00:00:00Z"/>
        <d v="2024-06-08T00:00:00Z"/>
        <d v="2024-06-20T00:00:00Z"/>
        <d v="2024-06-18T00:00:00Z"/>
        <d v="2024-06-12T00:00:00Z"/>
        <d v="2024-06-24T00:00:00Z"/>
        <d v="2024-06-11T00:00:00Z"/>
        <d v="2024-07-16T00:00:00Z"/>
        <d v="2024-07-25T00:00:00Z"/>
        <d v="2024-07-03T00:00:00Z"/>
        <d v="2024-06-17T00:00:00Z"/>
        <d v="2024-06-27T00:00:00Z"/>
        <d v="2024-07-06T00:00:00Z"/>
        <d v="2024-06-14T00:00:00Z"/>
        <d v="2024-07-24T00:00:00Z"/>
        <d v="2024-07-10T00:00:00Z"/>
        <d v="2024-08-01T00:00:00Z"/>
        <d v="2024-07-04T00:00:00Z"/>
        <d v="2024-07-23T00:00:00Z"/>
        <d v="2024-07-21T00:00:00Z"/>
        <d v="2024-08-06T00:00:00Z"/>
        <d v="2024-07-29T00:00:00Z"/>
        <d v="2024-07-30T00:00:00Z"/>
        <d v="2024-07-17T00:00:00Z"/>
        <d v="2024-08-02T00:00:00Z"/>
        <d v="2024-07-31T00:00:00Z"/>
        <d v="2024-08-21T00:00:00Z"/>
        <d v="2024-08-19T00:00:00Z"/>
        <d v="2024-08-13T00:00:00Z"/>
        <d v="2024-09-11T00:00:00Z"/>
        <d v="2024-08-16T00:00:00Z"/>
        <d v="2024-09-12T00:00:00Z"/>
        <d v="2024-08-23T00:00:00Z"/>
        <d v="2024-09-04T00:00:00Z"/>
        <d v="2025-05-20T00:00:00Z"/>
        <d v="2024-09-09T00:00:00Z"/>
        <d v="2024-08-28T00:00:00Z"/>
        <d v="2024-09-14T00:00:00Z"/>
        <d v="2024-09-13T00:00:00Z"/>
        <d v="2024-08-20T00:00:00Z"/>
        <d v="2024-09-26T00:00:00Z"/>
        <d v="2024-08-29T00:00:00Z"/>
        <d v="2025-05-13T00:00:00Z"/>
        <d v="2024-09-03T00:00:00Z"/>
        <d v="2024-09-27T00:00:00Z"/>
        <d v="2024-10-01T00:00:00Z"/>
        <d v="2025-05-07T00:00:00Z"/>
        <d v="2024-10-28T00:00:00Z"/>
        <d v="2024-09-10T00:00:00Z"/>
        <d v="2024-10-15T00:00:00Z"/>
        <d v="2024-10-29T00:00:00Z"/>
        <d v="2024-10-24T00:00:00Z"/>
        <d v="2024-10-02T00:00:00Z"/>
        <d v="2024-10-30T00:00:00Z"/>
        <d v="2024-10-14T00:00:00Z"/>
        <d v="2024-10-25T00:00:00Z"/>
        <d v="2024-11-05T00:00:00Z"/>
        <d v="2024-11-08T00:00:00Z"/>
        <d v="2024-11-04T00:00:00Z"/>
        <d v="2024-10-23T00:00:00Z"/>
        <d v="2024-11-29T00:00:00Z"/>
        <d v="2024-11-19T00:00:00Z"/>
        <d v="2024-12-09T00:00:00Z"/>
        <d v="2024-11-26T00:00:00Z"/>
        <d v="2024-11-25T00:00:00Z"/>
        <d v="2024-12-05T00:00:00Z"/>
        <d v="2024-12-16T00:00:00Z"/>
        <d v="2024-11-11T00:00:00Z"/>
        <d v="2024-12-03T00:00:00Z"/>
        <d v="2024-12-24T00:00:00Z"/>
        <d v="2025-02-20T00:00:00Z"/>
        <d v="2024-12-23T00:00:00Z"/>
        <d v="2025-01-07T00:00:00Z"/>
        <d v="2024-12-12T00:00:00Z"/>
        <d v="2025-01-21T00:00:00Z"/>
        <d v="2025-01-24T00:00:00Z"/>
        <d v="2025-01-17T00:00:00Z"/>
        <d v="2025-01-09T00:00:00Z"/>
        <d v="2025-01-27T00:00:00Z"/>
        <d v="2025-01-23T00:00:00Z"/>
        <d v="2024-10-22T00:00:00Z"/>
        <d v="2024-10-21T00:00:00Z"/>
        <d v="2025-01-22T00:00:00Z"/>
        <d v="2025-01-16T00:00:00Z"/>
        <d v="2025-02-12T00:00:00Z"/>
        <d v="2025-02-18T00:00:00Z"/>
        <d v="2025-01-29T00:00:00Z"/>
        <d v="2025-02-14T00:00:00Z"/>
        <d v="2025-02-15T00:00:00Z"/>
        <d v="2025-02-06T00:00:00Z"/>
        <d v="2025-02-21T00:00:00Z"/>
        <d v="2025-03-31T00:00:00Z"/>
        <d v="2025-02-26T00:00:00Z"/>
        <d v="2025-02-28T00:00:00Z"/>
        <d v="2025-02-25T00:00:00Z"/>
        <d v="2025-02-19T00:00:00Z"/>
        <d v="2025-03-11T00:00:00Z"/>
        <d v="2025-03-21T00:00:00Z"/>
        <d v="2025-03-12T00:00:00Z"/>
        <d v="2025-03-17T00:00:00Z"/>
        <d v="2025-03-24T00:00:00Z"/>
        <d v="2025-03-10T00:00:00Z"/>
        <d v="2025-03-14T00:00:00Z"/>
        <d v="2025-04-17T00:00:00Z"/>
        <d v="2025-03-16T00:00:00Z"/>
        <d v="2025-04-04T00:00:00Z"/>
        <d v="2025-04-07T00:00:00Z"/>
        <d v="2025-04-15T00:00:00Z"/>
        <d v="2025-04-25T00:00:00Z"/>
        <d v="2025-05-16T00:00:00Z"/>
        <d v="2025-04-14T00:00:00Z"/>
        <d v="2025-03-28T00:00:00Z"/>
        <d v="2025-03-06T00:00:00Z"/>
        <d v="2025-03-20T00:00:00Z"/>
        <d v="2025-04-09T00:00:00Z"/>
        <d v="2025-04-11T00:00:00Z"/>
        <d v="2025-03-13T00:00:00Z"/>
        <d v="2025-04-08T00:00:00Z"/>
        <d v="2025-04-30T00:00:00Z"/>
        <d v="2025-04-21T00:00:00Z"/>
        <d v="2025-06-02T00:00:00Z"/>
        <d v="2025-06-10T00:00:00Z"/>
        <d v="2025-03-30T00:00:00Z"/>
        <d v="2025-03-26T00:00:00Z"/>
        <d v="2025-06-20T00:00:00Z"/>
        <d v="2025-02-10T00:00:00Z"/>
        <d v="2025-05-19T00:00:00Z"/>
        <d v="2025-04-24T00:00:00Z"/>
        <d v="2025-06-26T00:00:00Z"/>
        <d v="2025-05-23T00:00:00Z"/>
        <d v="2025-05-06T00:00:00Z"/>
        <d v="2025-05-24T00:00:00Z"/>
        <d v="2025-06-05T00:00:00Z"/>
        <d v="2025-05-27T00:00:00Z"/>
        <d v="2025-06-12T00:00:00Z"/>
        <d v="2025-05-28T00:00:00Z"/>
        <d v="2025-06-16T00:00:00Z"/>
        <d v="2025-06-18T00:00:00Z"/>
        <d v="2025-06-11T00:00:00Z"/>
        <d v="2025-06-23T00:00:00Z"/>
        <d v="2025-02-03T00:00:00Z"/>
        <d v="2025-06-04T00:00:00Z"/>
        <d v="2025-05-22T00:00:00Z"/>
        <d v="2025-06-22T00:00:00Z"/>
        <d v="2025-07-16T00:00:00Z"/>
        <d v="2025-06-19T00:00:00Z"/>
        <d v="2025-07-01T00:00:00Z"/>
        <d v="2025-06-17T00:00:00Z"/>
        <d v="2025-06-13T00:00:00Z"/>
        <d v="2025-07-03T00:00:00Z"/>
        <d v="2024-10-18T00:00:00Z"/>
        <d v="2025-05-29T00:00:00Z"/>
        <d v="2025-06-30T00:00:00Z"/>
        <d v="2025-03-07T00:00:00Z"/>
        <d v="2024-09-08T00:00:00Z"/>
        <d v="2024-10-08T00:00:00Z"/>
        <d v="2024-11-13T00:00:00Z"/>
        <d v="2024-12-10T00:00:00Z"/>
        <d v="2024-12-04T00:00:00Z"/>
        <d v="2024-06-07T00:00:00Z"/>
        <d v="2024-05-31T00:00:00Z"/>
        <d v="2025-02-23T00:00:00Z"/>
        <d v="2024-11-07T00:00:00Z"/>
        <d v="2024-11-28T00:00:00Z"/>
        <d v="2024-12-18T00:00:00Z"/>
        <d v="2025-02-11T00:00:00Z"/>
        <d v="2025-02-07T00:00:00Z"/>
        <d v="2024-09-05T00:00:00Z"/>
        <d v="2024-12-13T00:00:00Z"/>
        <d v="2024-03-08T00:00:00Z"/>
        <d v="2024-04-22T00:00:00Z"/>
        <d v="2024-05-17T00:00:00Z"/>
        <d v="2024-04-24T00:00:00Z"/>
        <d v="2024-05-24T00:00:00Z"/>
        <d v="2024-07-19T00:00:00Z"/>
        <d v="2024-08-09T00:00:00Z"/>
        <d v="2024-07-01T00:00:00Z"/>
        <d v="2024-08-26T00:00:00Z"/>
        <d v="2024-09-17T00:00:00Z"/>
        <d v="2024-09-25T00:00:00Z"/>
        <d v="2024-09-30T00:00:00Z"/>
        <d v="2024-10-10T00:00:00Z"/>
        <d v="2024-12-02T00:00:00Z"/>
        <d v="2025-01-06T00:00:00Z"/>
        <d v="2025-01-13T00:00:00Z"/>
        <d v="2024-06-26T00:00:00Z"/>
        <d v="2024-08-07T00:00:00Z"/>
        <d v="2024-07-11T00:00:00Z"/>
        <d v="2024-09-16T00:00:00Z"/>
        <d v="2024-11-14T00:00:00Z"/>
        <d v="2024-03-22T00:00:00Z"/>
        <d v="2024-04-06T00:00:00Z"/>
        <d v="2024-04-07T00:00:00Z"/>
        <d v="2024-06-04T00:00:00Z"/>
        <d v="2024-10-11T00:00:00Z"/>
        <d v="2024-03-23T00:00:00Z"/>
        <d v="2024-04-04T00:00:00Z"/>
        <d v="2024-04-09T00:00:00Z"/>
        <d v="2024-05-21T00:00:00Z"/>
        <d v="2024-05-27T00:00:00Z"/>
        <d v="2024-08-27T00:00:00Z"/>
        <d v="2025-04-12T00:00:00Z"/>
        <d v="2024-02-28T00:00:00Z"/>
        <d v="2024-05-28T00:00:00Z"/>
        <d v="2024-09-23T00:00:00Z"/>
        <d v="2024-06-30T00:00:00Z"/>
        <d v="2024-09-20T00:00:00Z"/>
        <d v="2024-10-07T00:00:00Z"/>
        <d v="2024-03-27T00:00:00Z"/>
        <d v="2024-04-13T00:00:00Z"/>
        <d v="2024-04-27T00:00:00Z"/>
        <d v="2024-01-15T00:00:00Z"/>
        <d v="2024-01-14T00:00:00Z"/>
        <d v="2025-03-18T00:00:00Z"/>
        <d v="2024-05-18T00:00:00Z"/>
        <d v="2024-06-19T00:00:00Z"/>
        <d v="2024-10-09T00:00:00Z"/>
        <d v="2024-11-12T00:00:00Z"/>
        <d v="2024-12-19T00:00:00Z"/>
        <d v="2025-02-22T00:00:00Z"/>
        <d v="2024-03-26T00:00:00Z"/>
        <d v="2024-05-20T00:00:00Z"/>
        <d v="2024-07-08T00:00:00Z"/>
        <d v="2024-11-22T00:00:00Z"/>
        <d v="2024-10-31T00:00:00Z"/>
        <d v="2024-07-15T00:00:00Z"/>
        <d v="2024-09-24T00:00:00Z"/>
        <d v="2024-02-15T00:00:00Z"/>
        <d v="2024-04-26T00:00:00Z"/>
        <d v="2024-06-03T00:00:00Z"/>
        <d v="2024-04-12T00:00:00Z"/>
        <d v="2024-07-09T00:00:00Z"/>
        <d v="2024-09-29T00:00:00Z"/>
        <d v="2024-10-06T00:00:00Z"/>
        <d v="2024-10-16T00:00:00Z"/>
        <d v="2024-09-19T00:00:00Z"/>
        <d v="2024-03-28T00:00:00Z"/>
        <d v="2024-10-17T00:00:00Z"/>
        <d v="2025-04-29T00:00:00Z"/>
        <d v="2024-03-18T00:00:00Z"/>
        <d v="2024-08-14T00:00:00Z"/>
        <d v="2024-09-01T00:00:00Z"/>
        <d v="2024-11-15T00:00:00Z"/>
        <d v="2025-01-03T00:00:00Z"/>
        <d v="2024-07-18T00:00:00Z"/>
        <d v="2025-07-11T00:00:00Z"/>
        <d v="2025-07-18T00:00:00Z"/>
        <d v="2025-07-21T00:00:00Z"/>
        <d v="2025-07-22T00:00:00Z"/>
        <d v="2025-07-24T00:00:00Z"/>
        <d v="2025-07-25T00:00:00Z"/>
        <d v="2025-07-28T00:00:00Z"/>
        <d v="2025-06-24T00:00:00Z"/>
        <d v="2025-06-27T00:00:00Z"/>
      </sharedItems>
    </cacheField>
    <cacheField name="Commission" numFmtId="166">
      <sharedItems containsString="0" containsBlank="1" containsNumber="1">
        <n v="14.0"/>
        <m/>
        <n v="40.0"/>
        <n v="125.0"/>
        <n v="20.0"/>
        <n v="130.0"/>
        <n v="112.5"/>
        <n v="157.48"/>
        <n v="50.0"/>
        <n v="450.0"/>
        <n v="43.75"/>
        <n v="62.5"/>
        <n v="200.0"/>
        <n v="45.0"/>
        <n v="46.0"/>
        <n v="75.0"/>
        <n v="90.0"/>
        <n v="16.0"/>
        <n v="37.5"/>
        <n v="150.0"/>
        <n v="87.5"/>
        <n v="159.29999999999998"/>
        <n v="100.0"/>
        <n v="135.0"/>
        <n v="60.32"/>
        <n v="250.0"/>
        <n v="30.0"/>
        <n v="22.5"/>
        <n v="82.5"/>
        <n v="41.25"/>
        <n v="70.0"/>
        <n v="120.0"/>
        <n v="60.0"/>
        <n v="180.0"/>
        <n v="80.0"/>
        <n v="105.0"/>
        <n v="157.944"/>
        <n v="312.5"/>
        <n v="209.76000000000002"/>
        <n v="71.587"/>
        <n v="34.6"/>
        <n v="360.0"/>
        <n v="187.5"/>
        <n v="210.0"/>
        <n v="117.99"/>
        <n v="540.0"/>
        <n v="114.75"/>
        <n v="97.5"/>
        <n v="0.0"/>
        <n v="195.0"/>
        <n v="34.0"/>
        <n v="240.0"/>
        <n v="225.0"/>
        <n v="300.0"/>
        <n v="58.5"/>
        <n v="285.0"/>
        <n v="253.125"/>
        <n v="15.0"/>
        <n v="600.0"/>
        <n v="99.99999999999999"/>
        <n v="270.0"/>
        <n v="174.6"/>
        <n v="58.2"/>
        <n v="291.0"/>
        <n v="175.0"/>
        <n v="555.0"/>
        <n v="375.0"/>
        <n v="282.0"/>
        <n v="750.0"/>
        <n v="255.0"/>
        <n v="330.0"/>
        <n v="202.5"/>
        <n v="165.6"/>
        <n v="165.039"/>
        <n v="420.0"/>
        <n v="281.25"/>
        <n v="118.52699999999999"/>
        <n v="123.21600000000001"/>
        <n v="165.0"/>
        <n v="152.49"/>
        <n v="111.0"/>
        <n v="390.0"/>
        <n v="147.861"/>
        <n v="33.333333333333336"/>
        <n v="989.4"/>
        <n v="199.99999999999997"/>
        <n v="186.0"/>
        <n v="33.75"/>
        <n v="65.22"/>
        <n v="500.0"/>
        <n v="937.5"/>
        <n v="93.0"/>
        <n v="264.0"/>
        <n v="387.0"/>
        <n v="252.0"/>
        <n v="180.6"/>
        <n v="57.0"/>
        <n v="1733.0"/>
        <n v="140.0"/>
        <n v="25.0"/>
        <n v="56.25"/>
        <n v="235.0"/>
        <n v="26.0"/>
        <n v="28.8"/>
        <n v="280.0"/>
        <n v="900.0"/>
        <n v="1350.0"/>
        <n v="176.4"/>
        <n v="117.8175"/>
      </sharedItems>
    </cacheField>
    <cacheField name="Facture envoyé" numFmtId="4">
      <sharedItems containsBlank="1">
        <b v="1"/>
        <b v="0"/>
        <m/>
      </sharedItems>
    </cacheField>
    <cacheField name="Mail" numFmtId="0">
      <sharedItems containsBlank="1">
        <m/>
        <s v="fgirault3@gmail.com"/>
        <s v="lilyy.nl@grapperagency.com"/>
        <s v="orane.baron1403@gmail.com"/>
        <e v="#N/A"/>
        <s v="imlolytahproacc@gmail.com"/>
        <s v="cmepls.pro@gmail.com"/>
        <s v="lola140204@gmail.com"/>
        <s v="juliane.bernard57@icloud.com"/>
        <s v="linamokrane75@yahoo.fr"/>
        <s v="alicemauguin.l@gmail.com"/>
        <s v="lauclr.pro@gmail.com"/>
        <s v="chiara@grapperagency.com"/>
        <s v="terpperrine@gmail.com"/>
        <s v="lovelyMytb@gmail.com "/>
        <s v="pauline@grapperagency.com"/>
        <s v="liserdg.pro@gmail.com "/>
        <s v="jeannebayart@gmail.com"/>
        <s v="marylinezh@gmail.com "/>
        <s v="anaiswry@yahoo.fr"/>
        <s v="iimslmapro@outlook.fr"/>
        <s v="shaaadl.pro@gmail.com"/>
        <s v="jasminepro26@icloud.com "/>
        <s v="asmae-nemar@hotmail.fr "/>
        <s v="truttirachel@gmail.com"/>
        <s v="arwen.mechineau@outlook.fr"/>
        <s v="ciman530@gmail.com"/>
        <s v="moped@grapperagency.com"/>
        <s v="Douns.collab@gmail.com"/>
        <s v="hello.gurbet@gmail.com "/>
        <s v="amani.mee10@gmail.com"/>
        <s v="hidaya.7bl@gmail.com "/>
        <s v="Sirine.yza@gmail.com"/>
        <s v="aubeneauu@gmail.com "/>
        <s v="stzmarine6@gmail.com"/>
        <s v="c_15e3504fd6fde5b88106b6d99934e830e051067bbd4af855bfd432d30fc2f262@group.calendar.google.com"/>
        <s v="Lyassa.ospro@gmail.com "/>
        <s v="farahdisiaque@gmail.com"/>
        <s v="nidal.daghmi.pro@gmail.com "/>
        <s v="contact.amandambt@gmail.com "/>
        <s v="Fontanel.lily@gmail.com"/>
      </sharedItems>
    </cacheField>
    <cacheField name="Event Brouillon" numFmtId="0">
      <sharedItems containsBlank="1">
        <m/>
        <b v="0"/>
        <b v="1"/>
      </sharedItems>
    </cacheField>
    <cacheField name="Calendar ID pour brouillon" numFmtId="0">
      <sharedItems containsBlank="1">
        <m/>
        <s v="c_b412638d97e7dcffa392ccd62e6d5e2eccb052c0c08de7e1e7d547811d81c44c@group.calendar.google.com"/>
        <s v="c_665764ca21c8e4b3814e25bf24bc7074fa55890dce5d4073abb0fdddc70649d4@group.calendar.google.com"/>
        <s v="c_b9aea0629908ddbafe7229688ea55dc9d65b9e6b1a8ed4492c7ca84aa703d076@group.calendar.google.com"/>
        <e v="#N/A"/>
        <s v="c_007bb5dfd61adc34e7d7f1093213e03f31b2abfb546bee3afc00b412de414680@group.calendar.google.com"/>
        <s v="c_15e3504fd6fde5b88106b6d99934e830e051067bbd4af855bfd432d30fc2f262@group.calendar.google.com"/>
        <s v="Done"/>
        <s v="c_8f3f6ef786f2df9238426a478307dbddffb576ace587133cfa65ca553e2f967a@group.calendar.google.com"/>
        <s v="c_f6970d92e9be72b1307e3c015a265d69ae87140c691e7728bc83462544d82455@group.calendar.google.com"/>
        <s v="c_569af196f9b5e28fc536ca0422e6405e6d4e402300b9504eaa944f45c672daff@group.calendar.google.com"/>
        <s v="c_d711460494b2c9d7a466bc3cd0cd029a9c5b76b083052f7dc41ad949a3753d20@group.calendar.google.com"/>
        <s v="c_a715193c206b2aa1e4b81b8a3772df33bf92c92611202a890a6bccecb2131fcb@group.calendar.google.com"/>
        <s v="c_68f94d9ebfae6399f09ec01b19d2012d5d2b7c5efbd47328c79c373cbeec7a5b@group.calendar.google.com"/>
        <s v="c_3454aaede6db5cd8de24b4c70b8c6f3570b98e436e1f71e91d12b7a673ab3f97@group.calendar.google.com"/>
        <s v="c_2754856c5047affc6767bb85fb787591389bf7d14d3afd368efdff9979492ab5@group.calendar.google.com"/>
        <s v="c_9384058245a0bc66157c09691047ea8f88622323c6761b8606c18d9b08ee0bf8@group.calendar.google.com"/>
        <s v="c_b534e1be73647e660d74cbb308a8c39b0102a8b56261b3886e0967d9ee34f368@group.calendar.google.com"/>
        <s v="c_8d6793f7bb6abb58456593287891e1c91528d006316df4ef7bdb59fa0d40b64f@group.calendar.google.com"/>
        <s v="c_35f3aada7c9c0ba626ac56e6cf10c5959c56663450ffd058a5bdc005508d0954@group.calendar.google.com"/>
        <s v="c_14943542450de5ffc0c20a93db15c7c0757a89aaa373292182138a3a691be245@group.calendar.google.com"/>
        <s v="c_df86b3d6c5aa83af7e7dadc1108907ecb89d8fc7e4b645a62e375b31e7b5e3a3@group.calendar.google.com"/>
        <s v="c_0d9eaa4cfb55a8e552117f53a91a7c3c2f5164632253d0e265f7de4e3a4737c4@group.calendar.google.com"/>
        <s v="c_2208b8e561439ebc2637feb15fe2d308d5719cc64460071de6ba0c674eba6118@group.calendar.google.com"/>
        <s v="c_db1fbd259183311b30d5bfa9e5494d85e4aa71562c2d699763ba11e15f3e8a3b@group.calendar.google.com"/>
        <s v="c_a80d776e58d8881ef4e876da99555e813842eeed9733f23e6f4b85d237e1fdec@group.calendar.google.com"/>
        <s v="c_3d8e6f3013c2064d1cf20c38ef5246d33ef6635ebbbd3c9abb7c506fa9eefde3@group.calendar.google.com"/>
        <s v="c_0fe46f911aa7c417189a62fdd8716ddaaef232a02bd45c49b9c02c6d6e2e4815@group.calendar.google.com"/>
        <s v="c_4bf2087a99450838a520f4ce4fc6de01f87130a4f381347449792eaf1546cc46@group.calendar.google.com"/>
        <s v="c_056be6e79a6fa62e8f2a68280313995615b47a17f2b3679481d262413ec95701@group.calendar.google.com"/>
        <s v="c_82243c858a94977b161cc883035793aa376a03b467dcc33d001d9ca49835cdb3@group.calendar.google.com"/>
        <s v="c_d2ee2c2110f1f2bc5b089d0edb8b480581f78d93077274c225fcfc530518b2ca@group.calendar.google.com"/>
        <s v="c_c2a91e309d1b6dc37cabc837fe79ebdcdbabcaff13a6376ec109ab3d73862812@group.calendar.google.com"/>
        <s v="c_2ab5bc877123c6d06b681700306d382bcc765d7810badc543daeacf05260ecd9@group.calendar.google.com"/>
        <s v="Error: Calendar not found!"/>
        <s v="c_311aaffc8651807276a982d2e3621559621998746b9adad33a9304b73b24dbd9@group.calendar.google.com"/>
        <s v="c_3049f29ec7ef21ab890fb708cade8a20fa94574faa4b9a9f528d8a665fbc6262@group.calendar.google.com"/>
        <s v="c_ebde6df3eb6b0899fbe6696247d2e4255b950c6e1d491bbce480648f603c2f22@group.calendar.google.com"/>
        <s v="c_6fd5f3c25278bd569c413814d6452fc4f9cb936bb38174e89b1cb54f9ec7c89d@group.calendar.google.com"/>
        <s v="c_63ea68c9b2bd76e0f3279abf94d6d8255c36c6dc090b9a1df4d31db84c3a049c@group.calendar.google.com"/>
        <s v="Error: The parameters (String,String,(class)) don't match the method signature for CalendarApp.Calendar.createAllDayEvent."/>
        <s v="c_ef2f5a817a776785477f597bd1081d6a57d8380a8013026b8ce9895920f902e2@group.calendar.google.com"/>
        <s v="c_82544f5a034269c2d78a04494afd80a3940635f25bd2a7f23eb7c2af3d0dd46f@group.calendar.google.com"/>
      </sharedItems>
    </cacheField>
    <cacheField name="Event Post" numFmtId="0">
      <sharedItems containsBlank="1">
        <m/>
        <b v="0"/>
        <b v="1"/>
      </sharedItems>
    </cacheField>
    <cacheField name="Calendar ID Post" numFmtId="0">
      <sharedItems containsBlank="1">
        <m/>
        <s v="c_b412638d97e7dcffa392ccd62e6d5e2eccb052c0c08de7e1e7d547811d81c44c@group.calendar.google.com"/>
        <s v="c_665764ca21c8e4b3814e25bf24bc7074fa55890dce5d4073abb0fdddc70649d4@group.calendar.google.com"/>
        <s v="Done"/>
        <e v="#N/A"/>
        <s v="c_b9aea0629908ddbafe7229688ea55dc9d65b9e6b1a8ed4492c7ca84aa703d076@group.calendar.google.com"/>
        <s v="c_8f3f6ef786f2df9238426a478307dbddffb576ace587133cfa65ca553e2f967a@group.calendar.google.com"/>
        <s v="c_f6970d92e9be72b1307e3c015a265d69ae87140c691e7728bc83462544d82455@group.calendar.google.com"/>
        <s v="c_569af196f9b5e28fc536ca0422e6405e6d4e402300b9504eaa944f45c672daff@group.calendar.google.com"/>
        <s v="c_d711460494b2c9d7a466bc3cd0cd029a9c5b76b083052f7dc41ad949a3753d20@group.calendar.google.com"/>
        <s v="c_a715193c206b2aa1e4b81b8a3772df33bf92c92611202a890a6bccecb2131fcb@group.calendar.google.com"/>
        <s v="c_007bb5dfd61adc34e7d7f1093213e03f31b2abfb546bee3afc00b412de414680@group.calendar.google.com"/>
        <s v="c_15e3504fd6fde5b88106b6d99934e830e051067bbd4af855bfd432d30fc2f262@group.calendar.google.com"/>
        <s v="Error: Invalid dates"/>
        <s v="c_6fd5f3c25278bd569c413814d6452fc4f9cb936bb38174e89b1cb54f9ec7c89d@group.calendar.google.com"/>
        <s v="c_3d8e6f3013c2064d1cf20c38ef5246d33ef6635ebbbd3c9abb7c506fa9eefde3@group.calendar.google.com"/>
        <s v="c_68f94d9ebfae6399f09ec01b19d2012d5d2b7c5efbd47328c79c373cbeec7a5b@group.calendar.google.com"/>
        <s v="c_3454aaede6db5cd8de24b4c70b8c6f3570b98e436e1f71e91d12b7a673ab3f97@group.calendar.google.com"/>
        <s v="c_2754856c5047affc6767bb85fb787591389bf7d14d3afd368efdff9979492ab5@group.calendar.google.com"/>
        <s v="c_9384058245a0bc66157c09691047ea8f88622323c6761b8606c18d9b08ee0bf8@group.calendar.google.com"/>
        <s v="Error: Calendar not found!"/>
        <s v="c_8d6793f7bb6abb58456593287891e1c91528d006316df4ef7bdb59fa0d40b64f@group.calendar.google.com"/>
        <s v="c_35f3aada7c9c0ba626ac56e6cf10c5959c56663450ffd058a5bdc005508d0954@group.calendar.google.com"/>
        <s v="c_14943542450de5ffc0c20a93db15c7c0757a89aaa373292182138a3a691be245@group.calendar.google.com"/>
        <s v="c_df86b3d6c5aa83af7e7dadc1108907ecb89d8fc7e4b645a62e375b31e7b5e3a3@group.calendar.google.com"/>
        <s v="c_0d9eaa4cfb55a8e552117f53a91a7c3c2f5164632253d0e265f7de4e3a4737c4@group.calendar.google.com"/>
        <s v="c_d2ee2c2110f1f2bc5b089d0edb8b480581f78d93077274c225fcfc530518b2ca@group.calendar.google.com"/>
        <s v="c_db1fbd259183311b30d5bfa9e5494d85e4aa71562c2d699763ba11e15f3e8a3b@group.calendar.google.com"/>
        <s v="c_a80d776e58d8881ef4e876da99555e813842eeed9733f23e6f4b85d237e1fdec@group.calendar.google.com"/>
        <s v="c_2208b8e561439ebc2637feb15fe2d308d5719cc64460071de6ba0c674eba6118@group.calendar.google.com"/>
        <s v="c_b534e1be73647e660d74cbb308a8c39b0102a8b56261b3886e0967d9ee34f368@group.calendar.google.com"/>
        <s v="c_0fe46f911aa7c417189a62fdd8716ddaaef232a02bd45c49b9c02c6d6e2e4815@group.calendar.google.com"/>
        <s v="c_056be6e79a6fa62e8f2a68280313995615b47a17f2b3679481d262413ec95701@group.calendar.google.com"/>
        <s v="c_4bf2087a99450838a520f4ce4fc6de01f87130a4f381347449792eaf1546cc46@group.calendar.google.com"/>
        <s v="c_82243c858a94977b161cc883035793aa376a03b467dcc33d001d9ca49835cdb3@group.calendar.google.com"/>
        <s v="c_c2a91e309d1b6dc37cabc837fe79ebdcdbabcaff13a6376ec109ab3d73862812@group.calendar.google.com"/>
        <s v="c_311aaffc8651807276a982d2e3621559621998746b9adad33a9304b73b24dbd9@group.calendar.google.com"/>
        <s v="c_3049f29ec7ef21ab890fb708cade8a20fa94574faa4b9a9f528d8a665fbc6262@group.calendar.google.com"/>
        <s v="c_ebde6df3eb6b0899fbe6696247d2e4255b950c6e1d491bbce480648f603c2f22@group.calendar.google.com"/>
        <s v="c_2ab5bc877123c6d06b681700306d382bcc765d7810badc543daeacf05260ecd9@group.calendar.google.com"/>
        <s v="c_ef2f5a817a776785477f597bd1081d6a57d8380a8013026b8ce9895920f902e2@group.calendar.google.com"/>
        <s v="c_82544f5a034269c2d78a04494afd80a3940635f25bd2a7f23eb7c2af3d0dd46f@group.calendar.google.com"/>
      </sharedItems>
    </cacheField>
    <cacheField name="Date Estimée de Réception" numFmtId="0">
      <sharedItems containsDate="1" containsString="0" containsBlank="1">
        <m/>
        <d v="2024-09-04T00:00:00Z"/>
      </sharedItems>
    </cacheField>
    <cacheField name="Date Réelle de Réception" numFmtId="0">
      <sharedItems containsString="0" containsBlank="1">
        <m/>
      </sharedItems>
    </cacheField>
    <cacheField name="Status Colis" numFmtId="0">
      <sharedItems containsBlank="1">
        <m/>
        <s v="Reçu"/>
        <s v="Pas reçu"/>
        <s v="En Attente"/>
      </sharedItems>
    </cacheField>
    <cacheField name="Commentaires" numFmtId="0">
      <sharedItems containsString="0" containsBlank="1">
        <m/>
      </sharedItems>
    </cacheField>
    <cacheField name="ID Form" numFmtId="0">
      <sharedItems containsBlank="1">
        <m/>
        <s v="1F40mnL3JpqXpe0o5qrbDG4GuV9h68eR7gA-3pUAyNHM"/>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R988" sheet="Global1"/>
  </cacheSource>
  <cacheFields>
    <cacheField name="Talent" numFmtId="0">
      <sharedItems>
        <s v="Pauline"/>
        <s v="Chiara"/>
        <s v="Melissa"/>
        <s v="Camille"/>
        <s v="Lily Noël"/>
        <s v="Lina"/>
        <s v="Flavie"/>
        <s v="Jessica"/>
        <s v="Orane"/>
        <s v="Lola"/>
        <s v="Juliane"/>
        <s v="Alice"/>
        <s v="Laurie"/>
        <s v="Perrine"/>
        <s v="Morgane"/>
        <s v="Lise"/>
        <s v="Jeanne"/>
        <s v="Mary"/>
        <s v="Melissa P"/>
        <s v="Anaïs"/>
        <s v="Salma"/>
        <s v="Aïcha"/>
        <s v="Jasmine"/>
        <s v="Asmae"/>
        <s v="Rachel"/>
        <s v="Arwen"/>
        <s v="Iman"/>
        <s v="Moped"/>
        <s v="Dounia"/>
        <s v="Gurbet"/>
        <s v="Amani"/>
        <s v="Hidaya"/>
        <s v="Sirine"/>
        <s v="Eloise"/>
        <s v="Imane"/>
        <s v="Marine"/>
        <s v="Sofia"/>
        <s v="Sarah"/>
        <s v="Eiliassa"/>
        <s v="Farah"/>
        <s v="Estelle"/>
        <s v="Juliette"/>
        <s v="Nidal"/>
        <s v="Lola H."/>
        <s v="Morgane C"/>
        <s v="Chloe"/>
        <s v="Laura"/>
        <s v="Lilou"/>
        <s v="Lily"/>
        <s v="Amanda"/>
        <s v="Glenn"/>
        <s v="--"/>
        <s v="Amelle"/>
        <s v="Angie"/>
        <s v="Fanny"/>
        <s v="Laurine"/>
      </sharedItems>
    </cacheField>
    <cacheField name="Date Création" numFmtId="164">
      <sharedItems containsDate="1" containsString="0" containsBlank="1">
        <d v="2024-03-01T00:00:00Z"/>
        <d v="2024-03-15T00:00:00Z"/>
        <m/>
        <d v="2024-03-30T00:00:00Z"/>
        <d v="2024-03-25T00:00:00Z"/>
        <d v="2024-04-08T00:00:00Z"/>
        <d v="2024-04-11T00:00:00Z"/>
        <d v="2024-03-21T00:00:00Z"/>
        <d v="2024-04-25T00:00:00Z"/>
        <d v="2024-04-19T00:00:00Z"/>
        <d v="2024-05-07T00:00:00Z"/>
        <d v="2024-05-06T00:00:00Z"/>
        <d v="2024-05-02T00:00:00Z"/>
        <d v="2024-05-13T00:00:00Z"/>
        <d v="2024-05-14T00:00:00Z"/>
        <d v="2024-03-20T00:00:00Z"/>
        <d v="2024-04-10T00:00:00Z"/>
        <d v="2024-05-30T00:00:00Z"/>
        <d v="2024-05-11T00:00:00Z"/>
        <d v="2024-04-30T00:00:00Z"/>
        <d v="2024-05-23T00:00:00Z"/>
        <d v="2024-05-16T00:00:00Z"/>
        <d v="2024-06-08T00:00:00Z"/>
        <d v="2024-06-20T00:00:00Z"/>
        <d v="2024-06-18T00:00:00Z"/>
        <d v="2024-06-12T00:00:00Z"/>
        <d v="2024-06-24T00:00:00Z"/>
        <d v="2024-06-11T00:00:00Z"/>
        <d v="2024-07-16T00:00:00Z"/>
        <d v="2024-07-25T00:00:00Z"/>
        <d v="2024-07-03T00:00:00Z"/>
        <d v="2024-06-17T00:00:00Z"/>
        <d v="2024-06-27T00:00:00Z"/>
        <d v="2024-07-06T00:00:00Z"/>
        <d v="2024-06-14T00:00:00Z"/>
        <d v="2024-07-24T00:00:00Z"/>
        <d v="2024-07-10T00:00:00Z"/>
        <d v="2024-08-01T00:00:00Z"/>
        <d v="2024-07-04T00:00:00Z"/>
        <d v="2024-07-23T00:00:00Z"/>
        <d v="2024-07-21T00:00:00Z"/>
        <d v="2024-08-06T00:00:00Z"/>
        <d v="2024-07-29T00:00:00Z"/>
        <d v="2024-07-30T00:00:00Z"/>
        <d v="2024-07-17T00:00:00Z"/>
        <d v="2024-08-02T00:00:00Z"/>
        <d v="2024-07-31T00:00:00Z"/>
        <d v="2024-08-21T00:00:00Z"/>
        <d v="2024-08-19T00:00:00Z"/>
        <d v="2024-08-13T00:00:00Z"/>
        <d v="2024-09-11T00:00:00Z"/>
        <d v="2024-08-16T00:00:00Z"/>
        <d v="2024-09-12T00:00:00Z"/>
        <d v="2024-08-23T00:00:00Z"/>
        <d v="2024-09-04T00:00:00Z"/>
        <d v="2025-05-20T00:00:00Z"/>
        <d v="2024-09-09T00:00:00Z"/>
        <d v="2024-08-28T00:00:00Z"/>
        <d v="2024-09-14T00:00:00Z"/>
        <d v="2024-09-13T00:00:00Z"/>
        <d v="2024-08-20T00:00:00Z"/>
        <d v="2024-09-26T00:00:00Z"/>
        <d v="2024-08-29T00:00:00Z"/>
        <d v="2025-05-13T00:00:00Z"/>
        <d v="2024-09-03T00:00:00Z"/>
        <d v="2024-09-27T00:00:00Z"/>
        <d v="2024-10-01T00:00:00Z"/>
        <d v="2025-05-07T00:00:00Z"/>
        <d v="2024-10-28T00:00:00Z"/>
        <d v="2024-09-10T00:00:00Z"/>
        <d v="2024-10-15T00:00:00Z"/>
        <d v="2024-10-29T00:00:00Z"/>
        <d v="2024-10-24T00:00:00Z"/>
        <d v="2024-10-02T00:00:00Z"/>
        <d v="2024-10-30T00:00:00Z"/>
        <d v="2024-10-14T00:00:00Z"/>
        <d v="2024-10-25T00:00:00Z"/>
        <d v="2024-11-05T00:00:00Z"/>
        <d v="2024-11-08T00:00:00Z"/>
        <d v="2024-11-04T00:00:00Z"/>
        <d v="2024-10-23T00:00:00Z"/>
        <d v="2024-11-29T00:00:00Z"/>
        <d v="2024-11-19T00:00:00Z"/>
        <d v="2024-12-09T00:00:00Z"/>
        <d v="2024-11-26T00:00:00Z"/>
        <d v="2024-11-25T00:00:00Z"/>
        <d v="2024-12-05T00:00:00Z"/>
        <d v="2024-12-16T00:00:00Z"/>
        <d v="2024-11-11T00:00:00Z"/>
        <d v="2024-12-03T00:00:00Z"/>
        <d v="2024-12-24T00:00:00Z"/>
        <d v="2025-02-20T00:00:00Z"/>
        <d v="2024-12-23T00:00:00Z"/>
        <d v="2025-01-07T00:00:00Z"/>
        <d v="2024-12-12T00:00:00Z"/>
        <d v="2025-01-21T00:00:00Z"/>
        <d v="2025-01-24T00:00:00Z"/>
        <d v="2025-01-17T00:00:00Z"/>
        <d v="2025-01-09T00:00:00Z"/>
        <d v="2025-01-27T00:00:00Z"/>
        <d v="2025-01-23T00:00:00Z"/>
        <d v="2024-10-22T00:00:00Z"/>
        <d v="2024-10-21T00:00:00Z"/>
        <d v="2025-01-22T00:00:00Z"/>
        <d v="2025-01-16T00:00:00Z"/>
        <d v="2025-02-12T00:00:00Z"/>
        <d v="2025-02-18T00:00:00Z"/>
        <d v="2025-01-29T00:00:00Z"/>
        <d v="2025-02-14T00:00:00Z"/>
        <d v="2025-02-15T00:00:00Z"/>
        <d v="2025-02-06T00:00:00Z"/>
        <d v="2025-02-21T00:00:00Z"/>
        <d v="2025-03-31T00:00:00Z"/>
        <d v="2025-02-26T00:00:00Z"/>
        <d v="2025-02-28T00:00:00Z"/>
        <d v="2025-02-25T00:00:00Z"/>
        <d v="2025-02-19T00:00:00Z"/>
        <d v="2025-03-11T00:00:00Z"/>
        <d v="2025-03-21T00:00:00Z"/>
        <d v="2025-03-12T00:00:00Z"/>
        <d v="2025-03-17T00:00:00Z"/>
        <d v="2025-03-24T00:00:00Z"/>
        <d v="2025-03-10T00:00:00Z"/>
        <d v="2025-03-14T00:00:00Z"/>
        <d v="2025-04-17T00:00:00Z"/>
        <d v="2025-03-16T00:00:00Z"/>
        <d v="2025-04-04T00:00:00Z"/>
        <d v="2025-04-07T00:00:00Z"/>
        <d v="2025-04-15T00:00:00Z"/>
        <d v="2025-04-25T00:00:00Z"/>
        <d v="2025-05-16T00:00:00Z"/>
        <d v="2025-04-14T00:00:00Z"/>
        <d v="2025-03-28T00:00:00Z"/>
        <d v="2025-03-06T00:00:00Z"/>
        <d v="2025-03-20T00:00:00Z"/>
        <d v="2025-04-09T00:00:00Z"/>
        <d v="2025-04-11T00:00:00Z"/>
        <d v="2025-03-13T00:00:00Z"/>
        <d v="2025-04-08T00:00:00Z"/>
        <d v="2025-04-30T00:00:00Z"/>
        <d v="2025-04-21T00:00:00Z"/>
        <d v="2025-06-02T00:00:00Z"/>
        <d v="2025-06-10T00:00:00Z"/>
        <d v="2025-03-30T00:00:00Z"/>
        <d v="2025-03-26T00:00:00Z"/>
        <d v="2025-06-20T00:00:00Z"/>
        <d v="2025-02-10T00:00:00Z"/>
        <d v="2025-05-19T00:00:00Z"/>
        <d v="2025-04-24T00:00:00Z"/>
        <d v="2025-06-26T00:00:00Z"/>
        <d v="2025-05-23T00:00:00Z"/>
        <d v="2025-05-06T00:00:00Z"/>
        <d v="2025-05-24T00:00:00Z"/>
        <d v="2025-06-05T00:00:00Z"/>
        <d v="2025-05-27T00:00:00Z"/>
        <d v="2025-06-12T00:00:00Z"/>
        <d v="2025-05-28T00:00:00Z"/>
        <d v="2025-06-16T00:00:00Z"/>
        <d v="2025-06-18T00:00:00Z"/>
        <d v="2025-06-11T00:00:00Z"/>
        <d v="2025-06-23T00:00:00Z"/>
        <d v="2025-02-03T00:00:00Z"/>
        <d v="2025-06-04T00:00:00Z"/>
        <d v="2025-05-22T00:00:00Z"/>
        <d v="2025-06-22T00:00:00Z"/>
        <d v="2025-07-16T00:00:00Z"/>
        <d v="2025-06-19T00:00:00Z"/>
        <d v="2025-07-01T00:00:00Z"/>
        <d v="2025-06-17T00:00:00Z"/>
        <d v="2025-06-13T00:00:00Z"/>
        <d v="2025-07-03T00:00:00Z"/>
        <d v="2024-10-18T00:00:00Z"/>
        <d v="2025-05-29T00:00:00Z"/>
        <d v="2025-06-30T00:00:00Z"/>
        <d v="2025-03-07T00:00:00Z"/>
        <d v="2024-09-08T00:00:00Z"/>
        <d v="2024-10-08T00:00:00Z"/>
        <d v="2024-11-13T00:00:00Z"/>
        <d v="2024-12-10T00:00:00Z"/>
        <d v="2024-12-04T00:00:00Z"/>
        <d v="2024-06-07T00:00:00Z"/>
        <d v="2024-05-31T00:00:00Z"/>
        <d v="2025-02-23T00:00:00Z"/>
        <d v="2024-11-07T00:00:00Z"/>
        <d v="2024-11-28T00:00:00Z"/>
        <d v="2024-12-18T00:00:00Z"/>
        <d v="2025-02-11T00:00:00Z"/>
        <d v="2025-02-07T00:00:00Z"/>
        <d v="2024-09-05T00:00:00Z"/>
        <d v="2024-12-13T00:00:00Z"/>
        <d v="2024-03-08T00:00:00Z"/>
        <d v="2024-04-22T00:00:00Z"/>
        <d v="2024-05-17T00:00:00Z"/>
        <d v="2024-04-24T00:00:00Z"/>
        <d v="2024-05-24T00:00:00Z"/>
        <d v="2024-07-19T00:00:00Z"/>
        <d v="2024-08-09T00:00:00Z"/>
        <d v="2024-07-01T00:00:00Z"/>
        <d v="2024-08-26T00:00:00Z"/>
        <d v="2024-09-17T00:00:00Z"/>
        <d v="2024-09-25T00:00:00Z"/>
        <d v="2024-09-30T00:00:00Z"/>
        <d v="2024-10-10T00:00:00Z"/>
        <d v="2024-12-02T00:00:00Z"/>
        <d v="2025-01-06T00:00:00Z"/>
        <d v="2025-01-13T00:00:00Z"/>
        <d v="2024-06-26T00:00:00Z"/>
        <d v="2024-08-07T00:00:00Z"/>
        <d v="2024-07-11T00:00:00Z"/>
        <d v="2024-09-16T00:00:00Z"/>
        <d v="2024-11-14T00:00:00Z"/>
        <d v="2024-03-22T00:00:00Z"/>
        <d v="2024-04-06T00:00:00Z"/>
        <d v="2024-04-07T00:00:00Z"/>
        <d v="2024-06-04T00:00:00Z"/>
        <d v="2024-10-11T00:00:00Z"/>
        <d v="2024-03-23T00:00:00Z"/>
        <d v="2024-04-04T00:00:00Z"/>
        <d v="2024-04-09T00:00:00Z"/>
        <d v="2024-05-21T00:00:00Z"/>
        <d v="2024-05-27T00:00:00Z"/>
        <d v="2024-08-27T00:00:00Z"/>
        <d v="2025-04-12T00:00:00Z"/>
        <d v="2024-02-28T00:00:00Z"/>
        <d v="2024-05-28T00:00:00Z"/>
        <d v="2024-09-23T00:00:00Z"/>
        <d v="2024-06-30T00:00:00Z"/>
        <d v="2024-09-20T00:00:00Z"/>
        <d v="2024-10-07T00:00:00Z"/>
        <d v="2024-03-27T00:00:00Z"/>
        <d v="2024-04-13T00:00:00Z"/>
        <d v="2024-04-27T00:00:00Z"/>
        <d v="2024-01-15T00:00:00Z"/>
        <d v="2024-01-14T00:00:00Z"/>
        <d v="2025-03-18T00:00:00Z"/>
        <d v="2024-05-18T00:00:00Z"/>
        <d v="2024-06-19T00:00:00Z"/>
        <d v="2024-10-09T00:00:00Z"/>
        <d v="2024-11-12T00:00:00Z"/>
        <d v="2024-12-19T00:00:00Z"/>
        <d v="2025-02-22T00:00:00Z"/>
        <d v="2024-03-26T00:00:00Z"/>
        <d v="2024-05-20T00:00:00Z"/>
        <d v="2024-07-08T00:00:00Z"/>
        <d v="2024-11-22T00:00:00Z"/>
        <d v="2024-10-31T00:00:00Z"/>
      </sharedItems>
    </cacheField>
    <cacheField name="Marque" numFmtId="3">
      <sharedItems>
        <s v="BYS Maquillage"/>
        <s v="Yepoda"/>
        <s v="Rimmel London"/>
        <s v="SHEIN"/>
        <s v="Yves Rocher"/>
        <s v="Temu"/>
        <s v="Anua"/>
        <s v="SOS Beauty"/>
        <s v="Haru Haru Wonder"/>
        <s v="Maybelline"/>
        <s v="Koru"/>
        <s v="PINKO PAZZESCO"/>
        <s v="GHD"/>
        <s v="SKIN1004"/>
        <s v="Les Pistolets en Plastique"/>
        <s v="Rose Skin Co."/>
        <s v="Skin &amp; Out"/>
        <s v="Dyson"/>
        <s v="Satinée"/>
        <s v="BodyCross"/>
        <s v="Garnier"/>
        <s v="Eau Thermale Jonzac"/>
        <s v="So Bio Etic"/>
        <s v="Terre de Mars"/>
        <s v="Commonlabs"/>
        <s v="BENEFIT"/>
        <s v="Anastasia Beverly Hills"/>
        <s v="Grande Cosmetics"/>
        <s v="Mixa"/>
        <s v="My House of Jewels"/>
        <s v="Uriage"/>
        <s v="Erborian"/>
        <s v="Lancôme "/>
        <s v="Nocibé"/>
        <s v="Crocs"/>
        <s v="JOLT"/>
        <s v="Ducray"/>
        <s v="Bioré"/>
        <s v="La Roche Posay"/>
        <s v="Yesstyle"/>
        <s v="Sheglam"/>
        <s v="Abib"/>
        <s v="Bershka"/>
        <s v="Dr.Althea"/>
        <s v="Stylevana"/>
        <s v="Dreame"/>
        <s v="Lancôme"/>
        <s v="Wandernana"/>
        <s v="Essence"/>
        <s v="Monopoly Go"/>
        <s v="Frank Provost"/>
        <s v="Myriam K Paris"/>
        <s v="Sol De Janeiro"/>
        <s v="Mixsoon"/>
        <s v="Current Body"/>
        <s v="Aïa Curl"/>
        <s v="Aromazone"/>
        <s v="iHerb"/>
        <s v="Mova"/>
        <s v="L'Oréal"/>
        <s v="Hacoo"/>
        <s v="Biocyte"/>
        <s v="Musc Intime"/>
        <s v="NYX"/>
        <s v="L'Oreal"/>
        <s v="Remington"/>
        <s v="Dynveo"/>
        <s v="Vitavea"/>
        <s v="Uberliss"/>
        <s v="Luxéol"/>
        <s v="Darry Ring"/>
        <s v="Capcut"/>
        <s v="Redken"/>
        <s v="Naali"/>
        <s v="Cerave"/>
        <s v="Paalm Cosmetics"/>
        <s v="Shavest"/>
        <s v="Inava"/>
        <s v="Cellublue"/>
        <s v="Caudalie"/>
        <s v="Voghion"/>
        <s v="BeReal"/>
        <s v="Current Body "/>
        <s v="Ali Express"/>
        <s v="Keracare"/>
        <s v="ZIIP"/>
        <s v="Feel My Skin"/>
        <s v="BYD"/>
        <s v="ISIS Pharma"/>
        <s v="Sanytol"/>
        <s v="Mavatys"/>
        <s v="Sanex"/>
        <s v="My Little Box "/>
        <s v="Lazartigue"/>
        <s v="Solinotes"/>
        <s v="It Fruit"/>
        <s v="TORRAS"/>
        <s v="Medicube"/>
        <s v="H&amp;S"/>
        <s v="Perroy Parfum"/>
        <s v="Nike"/>
        <s v="Bella Barrnett"/>
        <s v="Passion Marine"/>
        <s v="Avene"/>
        <s v="Beauty Of Joseon"/>
        <s v="Etiaxil"/>
        <s v="Just Spin"/>
        <s v="PlanJoy"/>
        <s v="YTTP"/>
        <s v="Sanytol "/>
        <s v="Dior"/>
        <s v="Pretty Little Things"/>
        <s v="L'Univers de Baya"/>
        <s v="Bob Oré"/>
        <s v="YSL"/>
        <s v="Ouvéa"/>
        <s v="Cider"/>
        <s v="Milk Make Up"/>
        <s v="SPA &amp; BIEN ÊTRE - GRAVITI"/>
        <s v="Ole Henriksen"/>
        <s v="Rare Beauty"/>
        <s v="Lancôme #MWL"/>
        <s v="Clarine"/>
        <s v="SHU UEMURA"/>
        <s v="Aveda"/>
        <s v="Clinique"/>
        <s v="KIEHLS"/>
        <s v="Embryolisse"/>
        <s v="Focus Skincare"/>
        <s v="MILK"/>
        <s v="Superdry"/>
        <s v="Prada"/>
        <s v="YSL Stylo Touche Éclat"/>
        <s v="R.E.M Beauty"/>
        <s v="IT Cosmetics"/>
        <s v="Lancôme - HYPNOSE DRAMA 🖤"/>
        <s v="Charlotte Tilburry (Nice Work)"/>
        <s v="YSL Beauty Summer Box"/>
        <s v="Fenty"/>
        <s v="Dr. Dennis Gross (Nice Work)"/>
        <s v="YSL Blushs "/>
        <s v="Valentino"/>
        <s v="Huda Beauty"/>
        <s v="Sephora"/>
        <s v="Charlotte Tilburry"/>
        <s v="The Inkey List"/>
        <s v="Cecotec"/>
        <s v="Vichy"/>
        <s v="Flower Knows"/>
        <s v="Rituals"/>
        <s v="Respire"/>
        <s v="LANEIGE"/>
        <s v="Glow Recipe"/>
        <s v="Franck Provost"/>
        <s v="MAC Cosmetics"/>
        <s v="Milk Makeup (Nice Work)"/>
        <s v="Typology"/>
        <s v="Kiehl's"/>
        <s v="JW PEI"/>
        <s v="Bloom"/>
        <s v="Nars"/>
        <s v="The Commense"/>
        <s v="Bijoux Divins"/>
        <s v="Biotherm"/>
        <s v="Courrèges (Nice Work)"/>
        <s v="Pulpe de Vie"/>
        <s v="Dieti Natura"/>
        <s v="Make Up For Ever"/>
        <s v="Jimmy Fairly"/>
        <s v="Lili Sidonio"/>
        <s v="Dr Jart +"/>
        <s v="Gallinée"/>
        <s v="Evoluderm"/>
        <s v="Drunk Elephant"/>
        <s v="Shokz"/>
        <s v="Fresh"/>
        <s v="Bourjois"/>
        <s v="Too Faced"/>
        <s v="L'Oréal Professionnel"/>
        <s v="NARS (Nice Work)"/>
        <s v="Fenty (Nice Work)"/>
        <s v="Black &amp; White Burger"/>
        <s v="Daylo"/>
        <s v="Maria Nila"/>
        <s v="The Inkey List (Nice Work)"/>
        <s v="Wonderskin"/>
        <s v="Olaplex (Nice Work)"/>
        <s v="Kurku-ma"/>
        <s v="Origins"/>
        <s v="Kielh's"/>
        <s v="SAYANA"/>
        <s v="Havaianas"/>
        <s v="Réelle"/>
        <s v="Rare Beauty (Nice Work)"/>
        <s v="Boohoo"/>
        <s v="Kylie"/>
        <s v="Eau Thermale Jonzac "/>
        <s v="Hawkers"/>
        <s v="The Ordinary"/>
        <s v="Myrimimi"/>
        <s v="Fenty Skin"/>
        <s v="L'Oreal Luxe"/>
        <s v="Maybelline Concours"/>
        <s v="Sol de Janeiro (Nice Work)"/>
        <s v="TOMO"/>
        <s v="TABASQUISHY"/>
        <s v="Armani Beauty"/>
        <s v="Summer Fridays"/>
        <s v="Lanolips"/>
        <s v="Kiko Milano"/>
        <s v="Halal Nutrition"/>
        <s v="Kylie Cosmetics"/>
      </sharedItems>
    </cacheField>
    <cacheField name="Complément">
      <sharedItems containsBlank="1" containsMixedTypes="1" containsNumber="1" containsInteger="1">
        <m/>
        <s v="CA"/>
        <s v="BOURS"/>
        <s v="Lancôme #MWL"/>
        <n v="2.0"/>
        <s v="GRWM for bed"/>
        <s v="Whats in my bag"/>
        <n v="1.0"/>
        <s v="Woo Juicy Tubes"/>
        <s v="Army"/>
        <s v="Shein deals "/>
        <s v="nov"/>
        <s v="janv"/>
        <s v="AMZ"/>
        <s v="Juicy"/>
        <s v="Sun Serum"/>
        <s v="Poremizing"/>
        <s v="PM Clay Stick"/>
        <s v="Relief"/>
        <s v="2-Double Cleansing"/>
        <s v="3-Sun Serum Hyalu"/>
        <s v="4-Tone Brightening"/>
        <s v="Tiktok"/>
        <s v="Mega Haul + Full Face Campaign"/>
        <s v="5- Glow Project"/>
        <s v="Black Friday et du Cyber Monday de SHEIN"/>
        <s v=" 💎SHEGLAM Partnership: SHEGLAM Liquid Fam Festival Glow Set"/>
        <s v="déc"/>
        <s v="👐️ SHEGLAM: Partnership Opportunity"/>
        <s v="1-PM Clay Stick"/>
        <s v="TT"/>
        <s v="Revitalift"/>
        <s v="poremizing quick clay stick mask "/>
        <s v="Poremizing Clay Stick Mask "/>
        <s v="hello kitty"/>
        <s v="février"/>
        <s v="Bold Booster Lip Combo Campaign"/>
        <s v="Big Cil mars"/>
        <s v="Blowdry"/>
        <s v="mars"/>
        <s v="THE Adventure Time X SHEGLAM COLLECTION"/>
        <s v="avril"/>
        <s v="Full SkinCare Routine in 1 Box"/>
        <s v="Double Cleansing"/>
        <s v="Big Cil avril"/>
        <s v="Lissage avril "/>
        <s v="Compléments alimentaire mai"/>
        <s v="Big Cil juin"/>
        <s v="Big Cil mai"/>
        <s v="Hyalu-Cica Sunserum "/>
        <s v="mai"/>
        <s v="Glow project "/>
        <s v="#1Bean Essence + Bean Cream + Centella Sun Cream routine "/>
        <s v="Tone-Brightening Ampoule"/>
        <s v="Glow Project"/>
        <s v="PM Stick "/>
        <s v="Lissage juin"/>
        <s v="skin care routine for beginners "/>
        <s v="Stick Mask"/>
        <s v="Beginner Routine"/>
        <s v="SKIN MASK CLAY"/>
        <s v="Tone Brightening"/>
        <s v="ad"/>
        <s v="UGC Trousse"/>
        <s v="Essentials home"/>
        <s v="UGC"/>
        <s v="Beach day "/>
        <s v="Festival outfitxtravel"/>
        <s v="Essentials home "/>
        <s v="#2 Bean Essence"/>
        <s v="Beach day"/>
        <s v="Bean Essence + Bean Cream + Centella Sun Cream routine"/>
        <s v="Bean Collagen Hydrogel Mask Pack"/>
        <s v="#3 Bean Collagen Hydrogel Mask Pack"/>
        <s v="Festival outfit "/>
        <s v="Collagen Cleansing Balm"/>
        <s v="Centella Sun Cream"/>
        <s v="Bean Cleansing Oil + Centella Cleansing Foam routine"/>
        <s v="Sunscreen Comparison"/>
        <s v="Soondy Centella Asiatica Essnece, Glacier Waster Hyaluronic Acid Serum, Bean Essence Layering"/>
        <s v="#4 Centella Sun Cream"/>
        <s v="Temps forts "/>
        <s v="skin care for beginners "/>
        <s v="sun serum real"/>
        <s v="lash idole"/>
        <s v="Masque"/>
        <s v="Tone brightening "/>
        <s v="PAS REÇU"/>
        <s v="Bean Essence"/>
        <s v=" Precision Sculpt"/>
        <s v="GLOW Project (Hyalu-Cica sun Serum + Probio-cica ampoule)"/>
        <s v="Halloween"/>
        <n v="3.0"/>
        <s v="SPF"/>
        <s v="LIP IDÔLE 💄"/>
        <s v="Juicy Tubes"/>
        <s v="Apres Collection Calendrier"/>
        <s v="Candy Glow"/>
        <s v="LASH IDÔLE"/>
        <s v="Saint Valentin"/>
        <s v="Produits Cultes"/>
        <s v="Best sellers"/>
        <s v="Loveshin &amp; Candy Glaze "/>
        <s v="2024 Black Friday Product Review"/>
        <s v="fev"/>
        <s v="creme solaire"/>
        <s v="Nice Work"/>
        <s v="Calendrier"/>
        <s v="Mascara Flutter Extension"/>
        <s v="Loveshine Plumping Lip Gloss"/>
        <s v="SHEIN Grosses Remises Day ! 🔥 Réglez votre rappel maintenant !"/>
        <s v="Fenty (Nice Work)"/>
        <s v="Hydra Jelly Pocket Lip Jam Campaign"/>
        <s v="Brumes"/>
      </sharedItems>
    </cacheField>
    <cacheField name=" Brouillon draft">
      <sharedItems containsDate="1" containsBlank="1" containsMixedTypes="1">
        <d v="2024-02-29T00:00:00Z"/>
        <d v="2024-03-14T00:00:00Z"/>
        <d v="2024-04-03T00:00:00Z"/>
        <d v="2024-04-05T00:00:00Z"/>
        <d v="2024-04-15T00:00:00Z"/>
        <d v="2024-04-19T00:00:00Z"/>
        <d v="2024-04-22T00:00:00Z"/>
        <d v="2024-04-26T00:00:00Z"/>
        <d v="2024-04-27T00:00:00Z"/>
        <d v="2024-04-28T00:00:00Z"/>
        <d v="2024-04-29T00:00:00Z"/>
        <d v="2024-05-06T00:00:00Z"/>
        <d v="2024-05-07T00:00:00Z"/>
        <d v="2024-05-08T00:00:00Z"/>
        <d v="2024-05-09T00:00:00Z"/>
        <d v="2024-05-12T00:00:00Z"/>
        <d v="2024-05-13T00:00:00Z"/>
        <d v="2024-05-15T00:00:00Z"/>
        <d v="2024-05-19T00:00:00Z"/>
        <d v="2024-05-24T00:00:00Z"/>
        <d v="2024-05-25T00:00:00Z"/>
        <d v="2024-05-26T00:00:00Z"/>
        <d v="2024-05-30T00:00:00Z"/>
        <d v="2024-06-12T00:00:00Z"/>
        <d v="2024-06-13T00:00:00Z"/>
        <d v="2024-06-14T00:00:00Z"/>
        <d v="2024-06-15T00:00:00Z"/>
        <d v="2024-06-18T00:00:00Z"/>
        <d v="2024-06-16T00:00:00Z"/>
        <d v="2024-06-17T00:00:00Z"/>
        <d v="2024-06-19T00:00:00Z"/>
        <d v="2024-06-20T00:00:00Z"/>
        <d v="2024-06-22T00:00:00Z"/>
        <d v="2024-06-23T00:00:00Z"/>
        <d v="2024-06-24T00:00:00Z"/>
        <d v="2024-06-25T00:00:00Z"/>
        <d v="2024-06-29T00:00:00Z"/>
        <d v="2024-07-02T00:00:00Z"/>
        <d v="2024-07-06T00:00:00Z"/>
        <d v="2024-07-07T00:00:00Z"/>
        <d v="2024-07-08T00:00:00Z"/>
        <d v="2024-07-10T00:00:00Z"/>
        <d v="2024-07-13T00:00:00Z"/>
        <d v="2024-07-17T00:00:00Z"/>
        <d v="2024-07-18T00:00:00Z"/>
        <d v="2024-07-19T00:00:00Z"/>
        <d v="2024-07-21T00:00:00Z"/>
        <d v="2024-07-22T00:00:00Z"/>
        <d v="2024-07-27T00:00:00Z"/>
        <d v="2024-07-29T00:00:00Z"/>
        <d v="2024-07-28T00:00:00Z"/>
        <d v="2024-07-30T00:00:00Z"/>
        <m/>
        <d v="2024-08-02T00:00:00Z"/>
        <d v="2024-08-07T00:00:00Z"/>
        <d v="2024-08-08T00:00:00Z"/>
        <d v="2024-08-11T00:00:00Z"/>
        <d v="2024-08-13T00:00:00Z"/>
        <d v="2024-08-14T00:00:00Z"/>
        <d v="2024-08-16T00:00:00Z"/>
        <d v="2024-08-18T00:00:00Z"/>
        <d v="2024-08-19T00:00:00Z"/>
        <d v="2024-08-20T00:00:00Z"/>
        <d v="2024-08-21T00:00:00Z"/>
        <d v="2024-08-22T00:00:00Z"/>
        <d v="2024-08-25T00:00:00Z"/>
        <d v="2024-08-28T00:00:00Z"/>
        <d v="2024-08-29T00:00:00Z"/>
        <d v="2024-08-30T00:00:00Z"/>
        <d v="2024-09-01T00:00:00Z"/>
        <d v="2024-09-02T00:00:00Z"/>
        <d v="2024-09-04T00:00:00Z"/>
        <d v="2024-09-08T00:00:00Z"/>
        <d v="2024-09-10T00:00:00Z"/>
        <d v="2024-09-12T00:00:00Z"/>
        <d v="2024-08-23T00:00:00Z"/>
        <d v="2024-09-13T00:00:00Z"/>
        <d v="2024-09-14T00:00:00Z"/>
        <d v="2024-09-16T00:00:00Z"/>
        <d v="2024-09-19T00:00:00Z"/>
        <d v="2024-09-22T00:00:00Z"/>
        <d v="2025-06-10T00:00:00Z"/>
        <d v="2024-09-23T00:00:00Z"/>
        <d v="2024-09-24T00:00:00Z"/>
        <d v="2024-09-28T00:00:00Z"/>
        <d v="2024-09-29T00:00:00Z"/>
        <d v="2024-10-06T00:00:00Z"/>
        <d v="2024-10-09T00:00:00Z"/>
        <d v="2024-10-07T00:00:00Z"/>
        <d v="2024-10-11T00:00:00Z"/>
        <d v="2024-10-16T00:00:00Z"/>
        <d v="2024-10-15T00:00:00Z"/>
        <d v="2024-09-21T00:00:00Z"/>
        <d v="2024-10-17T00:00:00Z"/>
        <d v="2024-10-18T00:00:00Z"/>
        <d v="2024-10-23T00:00:00Z"/>
        <d v="2025-06-11T00:00:00Z"/>
        <d v="2024-10-25T00:00:00Z"/>
        <d v="2024-10-27T00:00:00Z"/>
        <d v="2024-11-02T00:00:00Z"/>
        <d v="2024-11-03T00:00:00Z"/>
        <d v="2024-10-28T00:00:00Z"/>
        <d v="2024-10-30T00:00:00Z"/>
        <d v="2024-11-04T00:00:00Z"/>
        <d v="2024-11-05T00:00:00Z"/>
        <d v="2025-06-15T00:00:00Z"/>
        <d v="2024-10-24T00:00:00Z"/>
        <d v="2024-11-07T00:00:00Z"/>
        <d v="2024-11-10T00:00:00Z"/>
        <d v="2024-11-12T00:00:00Z"/>
        <d v="2024-11-06T00:00:00Z"/>
        <d v="2024-11-17T00:00:00Z"/>
        <d v="2024-11-11T00:00:00Z"/>
        <d v="2024-11-18T00:00:00Z"/>
        <d v="2024-11-14T00:00:00Z"/>
        <d v="2024-11-15T00:00:00Z"/>
        <d v="2024-11-19T00:00:00Z"/>
        <d v="2024-11-22T00:00:00Z"/>
        <d v="2024-11-20T00:00:00Z"/>
        <d v="2024-11-21T00:00:00Z"/>
        <d v="2024-11-24T00:00:00Z"/>
        <d v="2024-11-25T00:00:00Z"/>
        <d v="2024-11-28T00:00:00Z"/>
        <d v="2024-11-26T00:00:00Z"/>
        <d v="2024-11-27T00:00:00Z"/>
        <d v="2024-12-11T00:00:00Z"/>
        <s v="ANNULÉ NE PAS SUPP"/>
        <d v="2024-12-14T00:00:00Z"/>
        <d v="2024-12-15T00:00:00Z"/>
        <d v="2024-11-29T00:00:00Z"/>
        <d v="2024-12-03T00:00:00Z"/>
        <d v="2024-12-16T00:00:00Z"/>
        <d v="2025-02-11T00:00:00Z"/>
        <d v="2024-12-19T00:00:00Z"/>
        <d v="2024-12-20T00:00:00Z"/>
        <d v="2024-12-22T00:00:00Z"/>
        <d v="2025-01-03T00:00:00Z"/>
        <d v="2024-12-25T00:00:00Z"/>
        <d v="2024-12-27T00:00:00Z"/>
        <d v="2025-01-20T00:00:00Z"/>
        <d v="2024-12-12T00:00:00Z"/>
        <d v="2025-01-02T00:00:00Z"/>
        <d v="2025-01-10T00:00:00Z"/>
        <d v="2025-03-07T00:00:00Z"/>
        <d v="2025-01-21T00:00:00Z"/>
        <d v="2025-01-24T00:00:00Z"/>
        <d v="2025-01-26T00:00:00Z"/>
        <d v="2025-01-28T00:00:00Z"/>
        <d v="2025-01-30T00:00:00Z"/>
        <d v="2025-01-29T00:00:00Z"/>
        <d v="2025-02-05T00:00:00Z"/>
        <d v="2025-01-31T00:00:00Z"/>
        <d v="2025-02-03T00:00:00Z"/>
        <d v="2025-02-06T00:00:00Z"/>
        <d v="2025-02-13T00:00:00Z"/>
        <d v="2025-02-12T00:00:00Z"/>
        <d v="2025-02-14T00:00:00Z"/>
        <d v="2025-02-15T00:00:00Z"/>
        <d v="2025-02-16T00:00:00Z"/>
        <d v="2025-02-20T00:00:00Z"/>
        <d v="2025-02-19T00:00:00Z"/>
        <d v="2025-02-21T00:00:00Z"/>
        <d v="2025-02-23T00:00:00Z"/>
        <d v="2025-02-27T00:00:00Z"/>
        <d v="2025-02-24T00:00:00Z"/>
        <d v="2025-03-01T00:00:00Z"/>
        <d v="2025-02-25T00:00:00Z"/>
        <d v="2025-03-12T00:00:00Z"/>
        <d v="2025-03-02T00:00:00Z"/>
        <d v="2025-02-28T00:00:00Z"/>
        <d v="2025-03-05T00:00:00Z"/>
        <d v="2025-03-08T00:00:00Z"/>
        <d v="2025-04-16T00:00:00Z"/>
        <d v="2025-03-09T00:00:00Z"/>
        <d v="2025-03-10T00:00:00Z"/>
        <d v="2025-03-11T00:00:00Z"/>
        <d v="2025-03-14T00:00:00Z"/>
        <d v="2025-04-22T00:00:00Z"/>
        <d v="2025-03-16T00:00:00Z"/>
        <d v="2025-03-17T00:00:00Z"/>
        <d v="2025-03-13T00:00:00Z"/>
        <d v="2025-03-18T00:00:00Z"/>
        <d v="2025-03-23T00:00:00Z"/>
        <d v="2025-03-24T00:00:00Z"/>
        <d v="2025-04-20T00:00:00Z"/>
        <d v="2025-03-26T00:00:00Z"/>
        <d v="2025-03-19T00:00:00Z"/>
        <d v="2025-03-20T00:00:00Z"/>
        <d v="2025-04-01T00:00:00Z"/>
        <d v="2025-03-27T00:00:00Z"/>
        <d v="2025-03-30T00:00:00Z"/>
        <d v="2025-04-02T00:00:00Z"/>
        <d v="2025-04-04T00:00:00Z"/>
        <d v="2025-04-03T00:00:00Z"/>
        <d v="2025-04-10T00:00:00Z"/>
        <d v="2025-04-11T00:00:00Z"/>
        <d v="2025-04-14T00:00:00Z"/>
        <d v="2025-05-08T00:00:00Z"/>
        <d v="2025-04-13T00:00:00Z"/>
        <d v="2025-04-15T00:00:00Z"/>
        <d v="2025-04-17T00:00:00Z"/>
        <d v="2025-04-18T00:00:00Z"/>
        <d v="2025-04-19T00:00:00Z"/>
        <d v="2025-05-26T00:00:00Z"/>
        <d v="2025-04-23T00:00:00Z"/>
        <d v="2025-04-24T00:00:00Z"/>
        <d v="2025-04-26T00:00:00Z"/>
        <d v="2025-04-27T00:00:00Z"/>
        <d v="2025-04-28T00:00:00Z"/>
        <d v="2025-04-29T00:00:00Z"/>
        <d v="2025-05-04T00:00:00Z"/>
        <d v="2025-04-30T00:00:00Z"/>
        <d v="2025-05-01T00:00:00Z"/>
        <d v="2025-05-06T00:00:00Z"/>
        <d v="2025-05-07T00:00:00Z"/>
        <d v="2025-05-03T00:00:00Z"/>
        <d v="2025-05-05T00:00:00Z"/>
        <d v="2025-06-29T00:00:00Z"/>
        <d v="2025-06-30T00:00:00Z"/>
        <d v="2025-05-14T00:00:00Z"/>
        <d v="2025-05-09T00:00:00Z"/>
        <d v="2025-05-13T00:00:00Z"/>
        <d v="2025-07-03T00:00:00Z"/>
        <d v="2025-05-17T00:00:00Z"/>
        <d v="2025-05-15T00:00:00Z"/>
        <d v="2025-05-16T00:00:00Z"/>
        <d v="2025-05-21T00:00:00Z"/>
        <d v="2025-05-22T00:00:00Z"/>
        <d v="2025-05-24T00:00:00Z"/>
        <d v="2025-07-07T00:00:00Z"/>
        <d v="2025-07-15T00:00:00Z"/>
        <d v="2025-06-01T00:00:00Z"/>
        <d v="2025-06-02T00:00:00Z"/>
        <d v="2025-05-28T00:00:00Z"/>
        <d v="2025-05-30T00:00:00Z"/>
        <d v="2025-06-05T00:00:00Z"/>
        <d v="2025-06-08T00:00:00Z"/>
        <d v="2025-06-12T00:00:00Z"/>
        <d v="2024-12-04T00:00:00Z"/>
        <d v="2025-06-13T00:00:00Z"/>
        <d v="2025-06-24T00:00:00Z"/>
        <d v="2025-06-17T00:00:00Z"/>
        <d v="2025-06-19T00:00:00Z"/>
        <d v="2025-06-20T00:00:00Z"/>
        <d v="2025-06-22T00:00:00Z"/>
        <d v="2025-06-25T00:00:00Z"/>
        <d v="2025-05-27T00:00:00Z"/>
        <d v="2025-06-07T00:00:00Z"/>
        <d v="2025-06-27T00:00:00Z"/>
        <d v="2025-07-02T00:00:00Z"/>
        <d v="2025-07-01T00:00:00Z"/>
        <d v="2025-07-24T00:00:00Z"/>
        <d v="2025-02-26T00:00:00Z"/>
        <d v="2025-01-11T00:00:00Z"/>
        <d v="2025-06-21T00:00:00Z"/>
        <d v="2025-07-19T00:00:00Z"/>
        <d v="2025-06-04T00:00:00Z"/>
        <d v="2025-07-08T00:00:00Z"/>
        <d v="2025-07-05T00:00:00Z"/>
        <d v="2025-07-06T00:00:00Z"/>
        <d v="2025-07-10T00:00:00Z"/>
        <d v="2025-07-04T00:00:00Z"/>
        <d v="2025-07-09T00:00:00Z"/>
        <d v="2025-07-14T00:00:00Z"/>
        <d v="2025-07-11T00:00:00Z"/>
        <d v="2025-07-13T00:00:00Z"/>
        <d v="2025-07-17T00:00:00Z"/>
        <d v="2025-07-23T00:00:00Z"/>
        <d v="2025-07-18T00:00:00Z"/>
        <d v="2025-07-20T00:00:00Z"/>
        <d v="2025-07-22T00:00:00Z"/>
        <d v="2025-07-25T00:00:00Z"/>
        <d v="2025-08-03T00:00:00Z"/>
        <s v=" "/>
        <d v="2025-07-26T00:00:00Z"/>
        <d v="2025-07-27T00:00:00Z"/>
        <d v="2025-07-28T00:00:00Z"/>
        <d v="2025-07-29T00:00:00Z"/>
        <d v="2025-06-26T00:00:00Z"/>
      </sharedItems>
    </cacheField>
    <cacheField name="Date Début">
      <sharedItems containsDate="1" containsBlank="1" containsMixedTypes="1">
        <m/>
        <d v="2024-03-19T00:00:00Z"/>
        <d v="2024-05-14T00:00:00Z"/>
        <d v="2024-05-25T00:00:00Z"/>
        <d v="2024-05-27T00:00:00Z"/>
        <d v="2024-06-10T00:00:00Z"/>
        <d v="2024-06-18T00:00:00Z"/>
        <d v="2024-06-19T00:00:00Z"/>
        <d v="2024-06-16T00:00:00Z"/>
        <d v="2024-06-24T00:00:00Z"/>
        <d v="2024-07-06T00:00:00Z"/>
        <d v="2024-06-17T00:00:00Z"/>
        <d v="2024-07-01T00:00:00Z"/>
        <d v="2024-07-10T00:00:00Z"/>
        <d v="2024-06-25T00:00:00Z"/>
        <d v="2024-07-19T00:00:00Z"/>
        <d v="2024-08-18T00:00:00Z"/>
        <d v="2024-09-02T00:00:00Z"/>
        <d v="2024-09-16T00:00:00Z"/>
        <d v="2024-10-20T00:00:00Z"/>
        <d v="2025-05-01T00:00:00Z"/>
        <d v="2024-11-01T00:00:00Z"/>
        <d v="2024-11-13T00:00:00Z"/>
        <d v="2024-11-10T00:00:00Z"/>
        <d v="2024-12-10T00:00:00Z"/>
        <d v="2025-01-31T00:00:00Z"/>
        <d v="2025-02-03T00:00:00Z"/>
        <d v="2025-02-13T00:00:00Z"/>
        <d v="2025-01-23T00:00:00Z"/>
        <d v="2025-03-01T00:00:00Z"/>
        <d v="2025-02-28T00:00:00Z"/>
        <d v="2025-02-15T00:00:00Z"/>
        <d v="2025-05-21T00:00:00Z"/>
        <d v="2025-06-05T00:00:00Z"/>
        <d v="2025-07-16T00:00:00Z"/>
        <d v="2025-06-22T00:00:00Z"/>
        <d v="2025-07-01T00:00:00Z"/>
        <s v=" "/>
        <d v="2025-01-09T00:00:00Z"/>
        <d v="2024-09-13T00:00:00Z"/>
        <d v="2024-10-16T00:00:00Z"/>
        <d v="2024-11-18T00:00:00Z"/>
        <d v="2024-01-11T00:00:00Z"/>
        <d v="2024-12-06T00:00:00Z"/>
        <d v="2025-02-27T00:00:00Z"/>
        <d v="2025-04-08T00:00:00Z"/>
        <d v="2025-01-27T00:00:00Z"/>
        <d v="2024-11-11T00:00:00Z"/>
        <d v="2024-11-28T00:00:00Z"/>
        <d v="2024-12-21T00:00:00Z"/>
        <d v="2025-01-13T00:00:00Z"/>
        <d v="2025-02-11T00:00:00Z"/>
        <d v="2025-03-06T00:00:00Z"/>
        <d v="2024-04-01T00:00:00Z"/>
        <d v="2024-04-08T00:00:00Z"/>
        <d v="2024-02-29T00:00:00Z"/>
        <d v="2024-04-18T00:00:00Z"/>
        <d v="2024-06-07T00:00:00Z"/>
        <d v="2024-03-21T00:00:00Z"/>
        <d v="2024-06-20T00:00:00Z"/>
        <d v="2024-07-08T00:00:00Z"/>
        <d v="2024-07-29T00:00:00Z"/>
        <d v="2024-09-01T00:00:00Z"/>
        <d v="2024-09-12T00:00:00Z"/>
        <d v="2024-09-23T00:00:00Z"/>
        <d v="2024-09-28T00:00:00Z"/>
        <d v="2024-09-30T00:00:00Z"/>
        <d v="2024-10-01T00:00:00Z"/>
        <d v="2024-10-12T00:00:00Z"/>
        <d v="2024-11-06T00:00:00Z"/>
        <d v="2024-12-04T00:00:00Z"/>
        <d v="2025-01-16T00:00:00Z"/>
        <d v="2025-01-20T00:00:00Z"/>
        <d v="2024-04-15T00:00:00Z"/>
        <d v="2024-03-26T00:00:00Z"/>
        <d v="2024-04-20T00:00:00Z"/>
        <d v="2024-08-26T00:00:00Z"/>
        <d v="2024-02-28T00:00:00Z"/>
        <d v="2024-04-05T00:00:00Z"/>
        <d v="2024-09-26T00:00:00Z"/>
        <d v="2024-03-01T00:00:00Z"/>
        <d v="2024-10-24T00:00:00Z"/>
        <d v="2024-08-29T00:00:00Z"/>
        <d v="2024-11-15T00:00:00Z"/>
        <d v="2025-02-25T00:00:00Z"/>
        <d v="2024-09-25T00:00:00Z"/>
        <d v="2024-08-06T00:00:00Z"/>
        <d v="2024-08-09T00:00:00Z"/>
        <d v="2024-12-12T00:00:00Z"/>
        <d v="2025-03-25T00:00:00Z"/>
        <d v="2024-07-27T00:00:00Z"/>
        <d v="2024-04-13T00:00:00Z"/>
        <d v="2023-03-23T00:00:00Z"/>
        <d v="2024-08-16T00:00:00Z"/>
        <d v="2024-11-04T00:00:00Z"/>
        <d v="2024-10-29T00:00:00Z"/>
        <d v="2024-01-06T00:00:00Z"/>
        <d v="2025-01-24T00:00:00Z"/>
        <d v="2025-01-29T00:00:00Z"/>
        <d v="2025-02-05T00:00:00Z"/>
        <d v="2024-03-20T00:00:00Z"/>
        <d v="2024-09-14T00:00:00Z"/>
        <d v="2024-10-10T00:00:00Z"/>
        <d v="2024-10-02T00:00:00Z"/>
      </sharedItems>
    </cacheField>
    <cacheField name="Date Fin">
      <sharedItems containsDate="1" containsBlank="1" containsMixedTypes="1">
        <d v="2024-03-08T00:00:00Z"/>
        <d v="2024-03-19T00:00:00Z"/>
        <m/>
        <d v="2024-04-06T00:00:00Z"/>
        <d v="2024-04-09T00:00:00Z"/>
        <d v="2024-04-19T00:00:00Z"/>
        <d v="2024-04-22T00:00:00Z"/>
        <d v="2024-04-18T00:00:00Z"/>
        <d v="2024-04-26T00:00:00Z"/>
        <d v="2024-05-02T00:00:00Z"/>
        <d v="2024-05-01T00:00:00Z"/>
        <d v="2024-05-04T00:00:00Z"/>
        <d v="2024-05-08T00:00:00Z"/>
        <d v="2024-05-07T00:00:00Z"/>
        <d v="2024-05-10T00:00:00Z"/>
        <d v="2024-05-13T00:00:00Z"/>
        <d v="2024-05-18T00:00:00Z"/>
        <d v="2024-05-14T00:00:00Z"/>
        <d v="2024-05-17T00:00:00Z"/>
        <d v="2024-05-23T00:00:00Z"/>
        <d v="2024-05-27T00:00:00Z"/>
        <d v="2024-05-29T00:00:00Z"/>
        <d v="2024-05-30T00:00:00Z"/>
        <d v="2024-05-31T00:00:00Z"/>
        <d v="2024-06-16T00:00:00Z"/>
        <d v="2024-06-17T00:00:00Z"/>
        <d v="2024-06-20T00:00:00Z"/>
        <d v="2024-06-22T00:00:00Z"/>
        <d v="2024-06-19T00:00:00Z"/>
        <d v="2024-06-23T00:00:00Z"/>
        <d v="2024-06-25T00:00:00Z"/>
        <d v="2024-06-24T00:00:00Z"/>
        <d v="2024-06-29T00:00:00Z"/>
        <d v="2024-07-06T00:00:00Z"/>
        <d v="2024-06-28T00:00:00Z"/>
        <d v="2024-07-01T00:00:00Z"/>
        <d v="2024-06-26T00:00:00Z"/>
        <d v="2024-06-30T00:00:00Z"/>
        <d v="2024-07-10T00:00:00Z"/>
        <d v="2024-07-07T00:00:00Z"/>
        <d v="2024-07-14T00:00:00Z"/>
        <d v="2024-07-12T00:00:00Z"/>
        <d v="2024-07-23T00:00:00Z"/>
        <d v="2024-07-24T00:00:00Z"/>
        <d v="2024-07-22T00:00:00Z"/>
        <d v="2024-07-21T00:00:00Z"/>
        <d v="2024-07-25T00:00:00Z"/>
        <d v="2024-09-06T00:00:00Z"/>
        <d v="2024-07-26T00:00:00Z"/>
        <d v="2024-08-01T00:00:00Z"/>
        <d v="2024-09-08T00:00:00Z"/>
        <d v="2024-08-06T00:00:00Z"/>
        <d v="2024-08-03T00:00:00Z"/>
        <d v="2024-08-02T00:00:00Z"/>
        <d v="2024-07-20T00:00:00Z"/>
        <d v="2024-07-30T00:00:00Z"/>
        <d v="2024-08-09T00:00:00Z"/>
        <d v="2024-08-16T00:00:00Z"/>
        <d v="2024-08-08T00:00:00Z"/>
        <d v="2024-08-15T00:00:00Z"/>
        <d v="2024-09-07T00:00:00Z"/>
        <d v="2024-08-22T00:00:00Z"/>
        <d v="2024-08-25T00:00:00Z"/>
        <d v="2024-08-18T00:00:00Z"/>
        <d v="2024-08-21T00:00:00Z"/>
        <d v="2024-08-20T00:00:00Z"/>
        <d v="2024-08-23T00:00:00Z"/>
        <d v="2024-09-02T00:00:00Z"/>
        <d v="2024-08-28T00:00:00Z"/>
        <d v="2024-08-24T00:00:00Z"/>
        <d v="2024-08-30T00:00:00Z"/>
        <d v="2024-09-13T00:00:00Z"/>
        <d v="2024-09-18T00:00:00Z"/>
        <d v="2024-09-19T00:00:00Z"/>
        <d v="2024-09-09T00:00:00Z"/>
        <d v="2024-10-02T00:00:00Z"/>
        <d v="2024-10-11T00:00:00Z"/>
        <d v="2024-09-23T00:00:00Z"/>
        <d v="2024-09-21T00:00:00Z"/>
        <d v="2024-10-06T00:00:00Z"/>
        <d v="2024-09-20T00:00:00Z"/>
        <d v="2024-08-10T00:00:00Z"/>
        <d v="2024-09-25T00:00:00Z"/>
        <d v="2025-06-15T00:00:00Z"/>
        <d v="2024-09-30T00:00:00Z"/>
        <d v="2024-09-26T00:00:00Z"/>
        <d v="2024-10-03T00:00:00Z"/>
        <d v="2024-11-02T00:00:00Z"/>
        <d v="2024-11-15T00:00:00Z"/>
        <d v="2024-11-01T00:00:00Z"/>
        <d v="2024-11-08T00:00:00Z"/>
        <d v="2024-10-27T00:00:00Z"/>
        <d v="2024-10-26T00:00:00Z"/>
        <d v="2024-10-28T00:00:00Z"/>
        <d v="2025-06-14T00:00:00Z"/>
        <d v="2024-11-05T00:00:00Z"/>
        <d v="2024-11-16T00:00:00Z"/>
        <d v="2024-11-10T00:00:00Z"/>
        <d v="2024-11-12T00:00:00Z"/>
        <d v="2024-11-11T00:00:00Z"/>
        <d v="2025-06-17T00:00:00Z"/>
        <d v="2024-10-22T00:00:00Z"/>
        <d v="2024-11-07T00:00:00Z"/>
        <d v="2025-02-10T00:00:00Z"/>
        <d v="2024-11-09T00:00:00Z"/>
        <d v="2024-11-29T00:00:00Z"/>
        <d v="2024-12-03T00:00:00Z"/>
        <d v="2024-11-19T00:00:00Z"/>
        <d v="2024-11-30T00:00:00Z"/>
        <d v="2024-11-20T00:00:00Z"/>
        <d v="2024-11-27T00:00:00Z"/>
        <d v="2024-11-22T00:00:00Z"/>
        <d v="2024-11-26T00:00:00Z"/>
        <d v="2024-12-02T00:00:00Z"/>
        <d v="2024-12-09T00:00:00Z"/>
        <d v="2024-11-28T00:00:00Z"/>
        <d v="2024-12-15T00:00:00Z"/>
        <d v="2024-12-17T00:00:00Z"/>
        <d v="2024-12-01T00:00:00Z"/>
        <d v="2024-12-10T00:00:00Z"/>
        <d v="2025-03-05T00:00:00Z"/>
        <d v="2024-12-25T00:00:00Z"/>
        <d v="2024-12-19T00:00:00Z"/>
        <d v="2024-12-29T00:00:00Z"/>
        <d v="2025-01-03T00:00:00Z"/>
        <d v="2025-01-09T00:00:00Z"/>
        <d v="2025-01-10T00:00:00Z"/>
        <d v="2025-01-23T00:00:00Z"/>
        <d v="2025-01-24T00:00:00Z"/>
        <d v="2025-01-25T00:00:00Z"/>
        <d v="2025-01-05T00:00:00Z"/>
        <d v="2025-01-20T00:00:00Z"/>
        <d v="2025-01-13T00:00:00Z"/>
        <d v="2025-03-10T00:00:00Z"/>
        <d v="2025-01-29T00:00:00Z"/>
        <d v="2025-01-15T00:00:00Z"/>
        <d v="2025-01-30T00:00:00Z"/>
        <d v="2025-01-22T00:00:00Z"/>
        <d v="2025-02-07T00:00:00Z"/>
        <d v="2025-02-19T00:00:00Z"/>
        <d v="2025-01-31T00:00:00Z"/>
        <d v="2025-02-04T00:00:00Z"/>
        <d v="2025-02-05T00:00:00Z"/>
        <d v="2025-02-14T00:00:00Z"/>
        <d v="2025-02-08T00:00:00Z"/>
        <d v="2025-02-16T00:00:00Z"/>
        <d v="2025-02-20T00:00:00Z"/>
        <d v="2025-02-21T00:00:00Z"/>
        <d v="2025-02-26T00:00:00Z"/>
        <d v="2025-02-27T00:00:00Z"/>
        <d v="2025-02-22T00:00:00Z"/>
        <d v="2025-02-25T00:00:00Z"/>
        <d v="2025-02-13T00:00:00Z"/>
        <d v="2025-03-31T00:00:00Z"/>
        <d v="2025-03-04T00:00:00Z"/>
        <d v="2025-03-15T00:00:00Z"/>
        <d v="2025-03-12T00:00:00Z"/>
        <d v="2025-04-21T00:00:00Z"/>
        <d v="2025-03-13T00:00:00Z"/>
        <d v="2025-03-16T00:00:00Z"/>
        <d v="2025-03-18T00:00:00Z"/>
        <d v="2025-03-22T00:00:00Z"/>
        <d v="2025-04-23T00:00:00Z"/>
        <d v="2025-03-29T00:00:00Z"/>
        <d v="2025-03-24T00:00:00Z"/>
        <d v="2025-03-14T00:00:00Z"/>
        <d v="2025-03-19T00:00:00Z"/>
        <d v="2025-03-30T00:00:00Z"/>
        <d v="2025-04-26T00:00:00Z"/>
        <d v="2025-03-21T00:00:00Z"/>
        <d v="2025-05-24T00:00:00Z"/>
        <d v="2025-04-01T00:00:00Z"/>
        <d v="2025-04-04T00:00:00Z"/>
        <d v="2025-03-28T00:00:00Z"/>
        <d v="2025-04-06T00:00:00Z"/>
        <d v="2025-04-07T00:00:00Z"/>
        <d v="2025-02-28T00:00:00Z"/>
        <d v="2025-01-14T00:00:00Z"/>
        <d v="2025-04-10T00:00:00Z"/>
        <d v="2025-03-26T00:00:00Z"/>
        <d v="2025-04-09T00:00:00Z"/>
        <d v="2025-04-12T00:00:00Z"/>
        <d v="2025-04-16T00:00:00Z"/>
        <d v="2025-04-19T00:00:00Z"/>
        <d v="2025-05-09T00:00:00Z"/>
        <d v="2025-04-18T00:00:00Z"/>
        <d v="2025-04-25T00:00:00Z"/>
        <d v="2025-04-24T00:00:00Z"/>
        <d v="2025-04-27T00:00:00Z"/>
        <d v="2025-05-19T00:00:00Z"/>
        <d v="2025-05-30T00:00:00Z"/>
        <d v="2025-04-29T00:00:00Z"/>
        <d v="2025-05-01T00:00:00Z"/>
        <d v="2025-04-30T00:00:00Z"/>
        <d v="2025-05-31T00:00:00Z"/>
        <s v="31/04/2025"/>
        <d v="2025-03-06T00:00:00Z"/>
        <d v="2025-05-04T00:00:00Z"/>
        <d v="2025-05-05T00:00:00Z"/>
        <d v="2025-05-02T00:00:00Z"/>
        <d v="2025-05-14T00:00:00Z"/>
        <d v="2025-05-23T00:00:00Z"/>
        <d v="2025-05-08T00:00:00Z"/>
        <d v="2025-05-21T00:00:00Z"/>
        <d v="2025-05-10T00:00:00Z"/>
        <d v="2025-05-16T00:00:00Z"/>
        <d v="2025-05-25T00:00:00Z"/>
        <d v="2025-06-22T00:00:00Z"/>
        <d v="2025-06-30T00:00:00Z"/>
        <d v="2025-05-20T00:00:00Z"/>
        <d v="2025-05-15T00:00:00Z"/>
        <d v="2025-05-17T00:00:00Z"/>
        <d v="2025-07-08T00:00:00Z"/>
        <d v="2025-05-29T00:00:00Z"/>
        <d v="2025-05-22T00:00:00Z"/>
        <d v="2025-07-13T00:00:00Z"/>
        <d v="2025-07-16T00:00:00Z"/>
        <d v="2025-01-17T00:00:00Z"/>
        <d v="2025-06-10T00:00:00Z"/>
        <d v="2025-06-04T00:00:00Z"/>
        <d v="2025-06-05T00:00:00Z"/>
        <d v="2025-02-11T00:00:00Z"/>
        <d v="2025-06-11T00:00:00Z"/>
        <d v="2025-06-13T00:00:00Z"/>
        <d v="2025-04-22T00:00:00Z"/>
        <d v="2025-06-25T00:00:00Z"/>
        <d v="2025-06-18T00:00:00Z"/>
        <d v="2025-06-26T00:00:00Z"/>
        <d v="2025-06-24T00:00:00Z"/>
        <d v="2025-06-29T00:00:00Z"/>
        <d v="2025-07-03T00:00:00Z"/>
        <d v="2025-06-20T00:00:00Z"/>
        <d v="2025-06-28T00:00:00Z"/>
        <d v="2025-07-26T00:00:00Z"/>
        <s v="31/06/2025"/>
        <d v="2025-07-07T00:00:00Z"/>
        <d v="2025-07-18T00:00:00Z"/>
        <d v="2025-06-27T00:00:00Z"/>
        <d v="2025-07-11T00:00:00Z"/>
        <d v="2025-07-04T00:00:00Z"/>
        <d v="2025-07-17T00:00:00Z"/>
        <d v="2025-07-05T00:00:00Z"/>
        <d v="2024-07-13T00:00:00Z"/>
        <d v="2025-07-10T00:00:00Z"/>
        <d v="2025-07-14T00:00:00Z"/>
        <d v="2025-07-19T00:00:00Z"/>
        <d v="2025-07-20T00:00:00Z"/>
        <d v="2025-07-22T00:00:00Z"/>
        <d v="2025-07-27T00:00:00Z"/>
        <d v="2025-07-23T00:00:00Z"/>
        <d v="2025-07-25T00:00:00Z"/>
        <d v="2025-08-15T00:00:00Z"/>
        <d v="2025-07-31T00:00:00Z"/>
        <d v="2025-07-28T00:00:00Z"/>
        <d v="2025-07-29T00:00:00Z"/>
        <d v="2025-08-10T00:00:00Z"/>
        <d v="2025-06-21T00:00:00Z"/>
        <d v="2025-01-28T00:00:00Z"/>
        <d v="2025-06-19T00:00:00Z"/>
        <d v="2024-10-04T00:00:00Z"/>
        <d v="2024-11-25T00:00:00Z"/>
        <d v="2025-08-07T00:00:00Z"/>
        <d v="2025-06-09T00:00:00Z"/>
        <d v="2024-10-10T00:00:00Z"/>
        <d v="2024-10-25T00:00:00Z"/>
        <d v="2024-10-30T00:00:00Z"/>
        <d v="2024-12-24T00:00:00Z"/>
        <d v="2024-07-08T00:00:00Z"/>
        <d v="2025-03-20T00:00:00Z"/>
        <d v="2025-04-28T00:00:00Z"/>
        <d v="2024-09-22T00:00:00Z"/>
        <d v="2024-12-22T00:00:00Z"/>
        <d v="2025-01-11T00:00:00Z"/>
        <d v="2025-03-17T00:00:00Z"/>
        <d v="2024-05-09T00:00:00Z"/>
        <d v="2024-12-28T00:00:00Z"/>
        <d v="2025-01-04T00:00:00Z"/>
        <d v="2024-04-14T00:00:00Z"/>
        <d v="2024-04-29T00:00:00Z"/>
        <d v="2024-05-11T00:00:00Z"/>
        <d v="2024-05-28T00:00:00Z"/>
        <d v="2024-06-02T00:00:00Z"/>
        <d v="2024-06-05T00:00:00Z"/>
        <d v="2024-06-07T00:00:00Z"/>
        <d v="2024-06-21T00:00:00Z"/>
        <d v="2024-07-03T00:00:00Z"/>
        <d v="2024-07-15T00:00:00Z"/>
        <d v="2024-07-28T00:00:00Z"/>
        <d v="2024-09-16T00:00:00Z"/>
        <d v="2024-09-27T00:00:00Z"/>
        <d v="2024-10-07T00:00:00Z"/>
        <d v="2024-10-20T00:00:00Z"/>
        <d v="2024-10-21T00:00:00Z"/>
        <d v="2025-02-06T00:00:00Z"/>
        <d v="2025-02-17T00:00:00Z"/>
        <d v="2025-02-23T00:00:00Z"/>
        <d v="2024-03-01T00:00:00Z"/>
        <d v="2024-12-12T00:00:00Z"/>
        <d v="2024-04-07T00:00:00Z"/>
        <d v="2024-04-11T00:00:00Z"/>
        <d v="2024-04-21T00:00:00Z"/>
        <d v="2024-05-19T00:00:00Z"/>
        <d v="2024-05-20T00:00:00Z"/>
        <d v="2024-08-11T00:00:00Z"/>
        <d v="2024-10-15T00:00:00Z"/>
        <d v="2025-02-15T00:00:00Z"/>
        <d v="2025-03-08T00:00:00Z"/>
        <d v="2024-07-16T00:00:00Z"/>
        <d v="2024-09-15T00:00:00Z"/>
        <d v="2024-10-17T00:00:00Z"/>
        <d v="2024-12-16T00:00:00Z"/>
        <d v="2024-11-14T00:00:00Z"/>
        <d v="2024-10-05T00:00:00Z"/>
        <d v="2025-03-11T00:00:00Z"/>
        <d v="2024-08-07T00:00:00Z"/>
        <d v="2024-08-26T00:00:00Z"/>
        <d v="2024-04-28T00:00:00Z"/>
        <d v="2024-05-03T00:00:00Z"/>
        <d v="2024-05-25T00:00:00Z"/>
        <d v="2025-01-02T00:00:00Z"/>
        <d v="2024-08-12T00:00:00Z"/>
        <d v="2024-04-30T00:00:00Z"/>
        <d v="2024-05-12T00:00:00Z"/>
        <d v="2024-04-10T00:00:00Z"/>
        <d v="2024-11-24T00:00:00Z"/>
        <n v="-619359.0"/>
        <d v="2024-04-15T00:00:00Z"/>
        <d v="2024-08-04T00:00:00Z"/>
        <d v="2024-09-03T00:00:00Z"/>
        <d v="2024-10-16T00:00:00Z"/>
        <d v="2024-12-13T00:00:00Z"/>
        <d v="2025-01-06T00:00:00Z"/>
        <d v="2025-02-24T00:00:00Z"/>
        <d v="2024-12-21T00:00:00Z"/>
        <d v="2024-06-27T00:00:00Z"/>
        <d v="2024-09-01T00:00:00Z"/>
        <d v="2024-10-31T00:00:00Z"/>
        <d v="2024-11-23T00:00:00Z"/>
      </sharedItems>
    </cacheField>
    <cacheField name="Status" numFmtId="0">
      <sharedItems containsBlank="1">
        <s v="Fait"/>
        <s v="Facture à envoyer"/>
        <s v="Script Revision Marque"/>
        <s v="Video Validée Marque"/>
        <s v="Video Revision Marque"/>
        <m/>
      </sharedItems>
    </cacheField>
    <cacheField name="Commentaire" numFmtId="0">
      <sharedItems containsBlank="1">
        <m/>
        <s v="ne pas mentionner d'autres marques 7 jours avant et après @ "/>
        <s v="resultat concours"/>
        <s v="en attente validation marque"/>
        <s v="VALIDÉ"/>
        <s v="Preview Validée"/>
        <s v="⚠️⚠️ demander à Inès code promo vs lien (car code différent)"/>
        <s v="à envoyer à la marque"/>
        <s v="en attente validation"/>
        <s v="envoyer facture"/>
        <s v="en attente info facturation"/>
        <s v="Ne pas envoyer facture au client mais faire une factureEn $$ une fois reception et convertion"/>
        <s v="brief partagé"/>
        <s v="ne pas poster 24h après ⚠️ verifier date (colis reçu le 23/05 = 3S)"/>
        <s v="en attente affiliate code"/>
        <s v="video"/>
        <s v="pas d'autres collabs 3 jours avant et après"/>
        <s v="commande passée"/>
        <s v="⚠️"/>
        <s v="date post à confirmer"/>
        <s v="DESCRIPTION (changement à faire) =&gt; Nouveautés @Anastasia Beverly Hills : Beauty balm &amp; Blurring serum blush ✨ Available from xxxx at Sephora all shades online and limited assortment in store #AD #ABHBLUSH #BLUSHHACK #LIQUIDBLUSH #ABHBeautyBalm #Anastasia"/>
        <s v="DESCRIPTION (changement à faire) =&gt;Makeup After Beachhh with Beauty Balm and Blurring Serum Blush @ANASTASIABEVERLYHILLS available from xxxx at Sephora all shades online and limited assortment in store. (il faudra remplacer les xx par la date de sortie, j"/>
        <s v="brouillon"/>
        <s v="DESCRIPTION (changement à faire) =&gt;⚠️ Date sortie SEPHORA"/>
        <s v="envoyer video à jour que Lily a partagé le 13/08"/>
        <s v="SUN SERUM"/>
        <s v="Partager ad code // DESCRIPTION (changement à faire) =&gt; The perfect complexion for this summer is: Beauty Balm and Blurring Serum Blush by @ANASTASIABEVERLYHILLS vavailable from xxxx (à remplacer par la date quand nous l'aurons) at Sephora all shades onli"/>
        <s v="une fois le paiement paypal faire facture pour € exact"/>
        <s v="DESCRIPTION (changement à faire) =&gt;"/>
        <s v="ajouter avant après"/>
        <s v="attendre retour autres factures"/>
        <s v="pas poster +3/-3   // partager ad code"/>
        <s v="envoyer facture 09/09 avec médiatisation + contenu"/>
        <s v="pas possible de poster le 23"/>
        <s v="⚠️ Dates Mixa -3+3 pas de collabs // date à confirmer"/>
        <s v="à poster"/>
        <s v="médiatisation à confirmer +100€"/>
        <s v="recuperer lien tacké pour IGs"/>
        <s v="IG"/>
        <s v="à refaire (réhaussement de cils)"/>
        <s v="24h no post any // 3 weeks of use"/>
        <s v="faire valider le contenu"/>
        <s v="+code boost"/>
        <s v="pas de média"/>
        <s v="date à définir"/>
        <s v="PERSONALISATION"/>
        <s v="draft: 3 jours apres reception // 26/09/2024 au plus tard // pas de post 12h apres poster"/>
        <s v="modif sur caption"/>
        <s v="Woo Juicy Tubes"/>
        <s v="facture à envoyer mais attendre ad code JEANNE"/>
        <s v="attendre Code boost"/>
        <s v="Facture à faire"/>
        <s v="Tracking Link 72h BIO https://testsgz.app.link/4hqEOX8xbNb"/>
        <s v="modifier caption  / pas de post 24h"/>
        <s v="en attente colis"/>
        <s v="18h"/>
        <s v="(+ usage rights + TikTok spark ads + IG ad codes"/>
        <s v="Reception Colis"/>
        <s v="video+ description"/>
        <s v="activer la fonctionnalité &quot;collaboration commercial&quot;"/>
        <s v="j'ai envoyé une facture en € mais c'est en dollar"/>
        <s v="125 de media à confimer "/>
        <s v="date à confirmer (7jours apres réception colis"/>
        <s v="commande"/>
        <s v="30j Myriam K entre chaque mois"/>
        <s v="cross post IG TT"/>
        <s v="mediat"/>
        <s v="ajouter lien en bio"/>
        <s v="Cross post IG + story swipe"/>
        <s v="rajouter code + 23% par contre impossible de refaire video modifs"/>
        <s v="mais ajouter ingrédient"/>
        <s v="facture faite"/>
        <s v="boost"/>
        <s v="preview"/>
        <s v="attente reception colis"/>
        <s v="facture au 3/03 à faire et envoyer"/>
        <s v="voir pour ajouter Ad"/>
        <s v=" "/>
        <s v="TT + Médiat"/>
        <s v="script idée creat TT médiat : du 1er au 27 avril !"/>
        <s v="médiat de 100€ en plus validée?"/>
        <s v="IGS à partager      IGs+ TIKTOK"/>
        <s v="1 TT"/>
        <s v="Pendant le repas"/>
        <s v="IG Reel médiat 01/03 au 27/03"/>
        <s v="02/03=&gt; idée creative ///// 10/03/2025 brouillon"/>
        <s v="1 IG reel + 1 IGs (3sets) AD CODE⚠️"/>
        <s v="dont 250€ de mediat"/>
        <s v="contrat à faire"/>
        <s v="en attente retour de la marque pour feu vert post"/>
        <s v="poster et partager ad code avant 12h"/>
        <s v="TT"/>
        <s v="x3 videos "/>
        <s v="pas besoin de valider preview 2 stories (10/04 et 11/04)"/>
        <s v="link in bio"/>
        <s v="avec ad code"/>
        <s v="⚠️changement facture - se referer au mail"/>
        <s v="médiatisation"/>
        <s v="dont 250€ mediat"/>
        <s v="integration produit"/>
        <s v="IG reel"/>
        <s v="350€ au lieu de 195 pour la derniere"/>
        <s v="IGS  "/>
        <s v="23/04/2025 preview et 16/04 idée creative"/>
        <s v="script  et preview le 01/05/2025"/>
        <s v="script"/>
        <s v="TT IGreel SNAP"/>
        <s v="poster sur TT"/>
        <s v="81€ en option?"/>
        <s v=": https://amzn.to/3Eubtp1"/>
        <s v="Comme beaucoup de followers lui demandent comment faire partir les taches d’acné, elle pourrait créer une vidéo sous l’un de ces formats : « J’ai trouvé un appareil magique pour éliminer les taches d’acné ! » Je présente le produit en détail.Je montre com"/>
        <s v="avec 100e d'ad code inclu"/>
        <s v="vidéo ok descritpion a modifier"/>
        <s v="TT add code a recup"/>
        <s v="GR check dates"/>
        <s v="pas besoin de revision"/>
        <s v="verifier si Lily a posté et partager lien video"/>
        <s v="Video tournée avant Script // envoyer video quand meme"/>
        <s v="partager les captions modifier repost ig"/>
        <s v="Contenu attendu par la marque"/>
        <s v="IGs ANAIS20 20% valable sur ensemble produit du site"/>
        <s v="médiat"/>
        <s v="TT ANAIS20 20% valable sur ensemble produit du site"/>
        <s v="Script 18/06 TT"/>
        <s v="One INS reel + 30 days ad &amp; organic usage rights+ link in bio"/>
        <s v="idée creative"/>
        <s v="manque HD + Sous Titres"/>
        <s v="idée creative à partager"/>
        <s v="TT + Tiktok Shop (reassort le 12/06"/>
        <s v="Script 18/06 IG + Cross Post Reel + IGs"/>
        <s v="UGC"/>
        <s v="Beach Babe Hair Waver Campaign"/>
        <s v="partager les stats dès le 18 juillet ?"/>
        <s v="Tiktok/ pas chez elle avant le 1 er juillet "/>
        <s v="Tiktok"/>
        <s v="partager dès le 24/07 les screens des statistiques de son contenu UGC aussi cession de droit partager la video en HD"/>
        <s v="4EX"/>
        <s v="TT + IGr"/>
        <s v="on a pas le brief"/>
        <s v="n'a pas le produit"/>
        <s v="avec mediat"/>
        <s v="IG + TT cross post + ad code +UGC"/>
        <s v="3 videos"/>
        <s v="Code promo perso à partager"/>
        <s v="mettre explications en anglais"/>
        <s v="⚠️ Gifting voir avec Gauthier "/>
        <s v="POUR CONTENU UGC AVANT AGENCE"/>
        <s v="TT + Tiktok Shop"/>
        <s v="partager stats"/>
        <s v="pas fait "/>
        <s v="16h30"/>
        <s v="partager à Jolt les détails pour la campagne (date, orna...)"/>
        <s v=": #Kiehlsfrance (TikTok) et @kiehlsfrance (Instagram) et le hashtag : #HYDRATATION"/>
        <s v="Fonctionnement Nice Work"/>
        <s v="3 contenus // pas d'exclu"/>
        <s v="https://docs.google.com/presentation/d/1q4NE7BfV_3-rP4IUQJmAq-Et7OVpK16CYhR5OVpmQYo/edit?usp=sharing"/>
        <s v="Fonctionnement Nice Work - Envoyer lien marque"/>
        <s v="Affiliation 10% // 2 post/mois"/>
        <s v="https://www.tiktok.com/@lavishhcam/video/7384102579849956641?lang=en"/>
        <s v="Reçu"/>
        <s v="Médiatisation "/>
        <s v="envoyer facture MÉDIA EN OPTION 250€ 4semaines 7-18 Octobre"/>
        <s v="Google Ads"/>
        <s v="La semaine du 1er avril"/>
        <s v="7 jours après reception sac"/>
        <s v="ATTENTION NOUVEAU BRIEF?"/>
        <s v="La semaine du 15 avril"/>
        <s v="VOIR MAIL POUR BRIEF"/>
        <s v="⚠️chiara_12  + Lien dans bio"/>
        <s v="Libre"/>
        <s v="Tester les produits et leur faire un retour. Si tu aimes pourquoi pas poster sur Tiktok"/>
        <s v="Photo avant/après"/>
        <s v="pas reçu"/>
        <s v="⚠️bleulividee_12 + Lien dans Bio"/>
        <s v="story juste"/>
        <s v="X2 video"/>
        <s v="en attente Micro Entreprise Jeanne"/>
        <s v="Brief dans mail Sparkle"/>
        <s v="colis pas encore reçu (30/11)"/>
        <s v="Contenu libre"/>
        <s v="laurine_12 + Lien dans bio"/>
        <s v="Post obligatoire sans brief"/>
        <s v="attendre description"/>
        <s v="Dès que possible"/>
        <s v="à poster dès que possible"/>
        <s v="retard livraison"/>
        <s v="Nice Work Fonctionnement "/>
        <s v="https://www.tiktok.com/@lilyy.nl/video/7361800761090526497"/>
        <s v="Attendre avant de facturer Médiatisation "/>
        <s v="Showroom 16h"/>
        <s v="RDV 11h Showroom"/>
        <s v="pas de preview"/>
        <s v="Nice Work"/>
      </sharedItems>
    </cacheField>
    <cacheField name="Description rapide de la demande" numFmtId="0">
      <sharedItems containsBlank="1">
        <s v="vidéo dédiée maquillage avec la marque Bell."/>
        <s v="post obligatoire avec brief"/>
        <s v="post obligatoire  "/>
        <s v="Brief à respecter"/>
        <s v="Thème du book"/>
        <m/>
        <s v="Post Obligatoire "/>
        <s v="Brief dans mail"/>
        <s v="Ne pas poster / Suivre brief"/>
        <s v="Post avec brief"/>
        <s v="Libre"/>
        <s v="Seeding"/>
        <s v="NiceWork"/>
        <s v="Nice Work"/>
        <s v="Post Obligatoire"/>
        <s v="Fonctionnement Nice Work"/>
        <s v="Pas de brief"/>
        <s v="Consignes Nice Work"/>
        <s v="Post obligatoire sans brief"/>
        <s v="1 Tiktok + 1 Reel"/>
        <s v="1 Tiktok + 1 IG story"/>
        <s v="Post non obligatoire"/>
        <s v="Libre - colis presse"/>
        <s v="Evenement"/>
        <s v="Sans obligation de post"/>
        <s v="Obligation de post"/>
        <s v="Nice Work Fonctionnement"/>
        <s v="Médiatisation"/>
      </sharedItems>
    </cacheField>
    <cacheField name="Format (influence vs UGC)" numFmtId="166">
      <sharedItems containsBlank="1">
        <s v="Influence"/>
        <m/>
        <s v="UGC "/>
        <s v="UGC"/>
        <s v="Evenement"/>
      </sharedItems>
    </cacheField>
    <cacheField name="Rémunération totale">
      <sharedItems containsBlank="1" containsMixedTypes="1" containsNumber="1">
        <n v="70.0"/>
        <n v="130.0"/>
        <n v="200.0"/>
        <s v="Gifting + Médiatisation"/>
        <s v="20€/semaine de médiatisation"/>
        <n v="350.0"/>
        <s v="Comptabilisé"/>
        <n v="500.0"/>
        <n v="150.0"/>
        <s v="Gifting"/>
        <n v="100.0"/>
        <m/>
        <n v="650.0"/>
        <n v="450.0"/>
        <n v="629.92"/>
        <n v="1800.0"/>
        <n v="175.0"/>
        <n v="250.0"/>
        <n v="1000.0"/>
        <n v="230.0"/>
        <n v="300.0"/>
        <n v="80.0"/>
        <n v="531.0"/>
        <n v="400.0"/>
        <n v="241.28"/>
        <n v="75.0"/>
        <n v="275.0"/>
        <n v="137.5"/>
        <n v="600.0"/>
        <n v="526.48"/>
        <n v="625.0"/>
        <n v="1250.0"/>
        <n v="800.0"/>
        <n v="699.2"/>
        <n v="225.0"/>
        <n v="1500.0"/>
        <n v="357.935"/>
        <n v="173.0"/>
        <n v="1200.0"/>
        <n v="233.33333333333334"/>
        <n v="750.0"/>
        <n v="700.0"/>
        <n v="393.3"/>
        <n v="125.0"/>
        <n v="382.5"/>
        <n v="325.0"/>
        <n v="0.0"/>
        <n v="170.0"/>
        <n v="900.0"/>
        <n v="375.0"/>
        <n v="195.0"/>
        <n v="950.0"/>
        <n v="1012.5"/>
        <n v="2000.0"/>
        <n v="333.3333333333333"/>
        <n v="582.0"/>
        <n v="291.0"/>
        <n v="970.0"/>
        <n v="1850.0"/>
        <n v="940.0"/>
        <n v="2500.0"/>
        <n v="850.0"/>
        <n v="1100.0"/>
        <n v="810.0"/>
        <n v="552.0"/>
        <n v="550.13"/>
        <n v="1400.0"/>
        <n v="1125.0"/>
        <n v="395.09"/>
        <n v="410.72"/>
        <n v="550.0"/>
        <n v="508.3"/>
        <n v="370.0"/>
        <n v="1300.0"/>
        <n v="492.87"/>
        <n v="166.66666666666666"/>
        <n v="3298.0"/>
        <n v="666.6666666666666"/>
        <n v="620.0"/>
        <n v="112.5"/>
        <n v="217.4"/>
        <n v="3125.0"/>
        <n v="266.6666666666667"/>
        <n v="310.0"/>
        <n v="880.0"/>
        <n v="1290.0"/>
        <n v="840.0"/>
        <n v="602.0"/>
        <n v="190.0"/>
        <s v="Affiliation"/>
        <s v="10% Commission"/>
        <s v="Showroom"/>
        <s v="Evenement"/>
      </sharedItems>
    </cacheField>
    <cacheField name="Date Stats">
      <sharedItems containsDate="1" containsString="0" containsBlank="1" containsMixedTypes="1">
        <m/>
        <d v="2024-04-16T00:00:00Z"/>
        <d v="2024-04-29T00:00:00Z"/>
        <d v="2024-04-25T00:00:00Z"/>
        <d v="2024-05-08T00:00:00Z"/>
        <d v="2024-05-11T00:00:00Z"/>
        <d v="2024-05-31T00:00:00Z"/>
        <n v="105.0"/>
        <n v="96.25"/>
        <n v="280.0"/>
        <n v="140.0"/>
        <n v="350.0"/>
        <n v="420.0"/>
      </sharedItems>
    </cacheField>
    <cacheField name="Lien video" numFmtId="0">
      <sharedItems containsBlank="1">
        <m/>
        <s v="https://www.tiktok.com/@melf.fnt/video/7382192283279494432"/>
        <s v="https://www.tiktok.com/@lilyy.nl/video/7383728309110050080"/>
        <s v="https://www.tiktok.com/@lolatagliaferroo/video/7383998473613479201"/>
        <s v="https://www.tiktok.com/@lavishhcam/video/7390792553022442784?lang=en"/>
        <s v="https://www.tiktok.com/@chiaraaaa.bnc/video/7391058568260111649"/>
        <s v="https://www.tiktok.com/@lina.mkrn2/video/7390790437969104161"/>
        <s v="https://www.tiktok.com/@perrine.trp/video/7391590382611516705"/>
        <s v="https://www.tiktok.com/@morgane.mrckk/video/7390710366738681121"/>
        <s v="https://www.tiktok.com/@perrine.trp/video/7394891259883654433"/>
        <s v="https://www.tiktok.com/@___oraane/video/7392965105924738336"/>
        <s v="https://www.tiktok.com/@paupibeauty/video/7395224727377251617"/>
        <s v="https://www.tiktok.com/@lolatagliaferroo/video/7395519666556259616"/>
        <s v="https://www.tiktok.com/@melf.fnt/video/7393286593676660000"/>
        <s v="https://www.tiktok.com/@perrine.trp/video/7393392477878701345"/>
        <s v="https://www.tiktok.com/@morgane.mrckk/video/7394042444519591201"/>
        <s v="https://www.tiktok.com/@paupibeauty/video/7394501330364075296"/>
        <s v="https://www.tiktok.com/@paupibeauty/video/7397449808555937056?_r=1&amp;_t=8oSOvlgWeMi"/>
        <s v="https://www.tiktok.com/@lolatagliaferroo/video/7398086597721263393"/>
        <s v="https://www.tiktok.com/@___oraane/video/7398548157925248288"/>
        <s v="https://vm.tiktok.com/ZGenfd12c/"/>
        <s v="https://www.tiktok.com/@liserdg/video/7397464254451911969"/>
        <s v="https://www.tiktok.com/@liserdg/video/7401195152984870176"/>
        <s v="https://www.tiktok.com/@lilyy.nl/video/7403767696283766048"/>
        <s v="https://www.tiktok.com/@morgane.mrckk/video/7411931626252422433"/>
        <s v="https://www.tiktok.com/@___oraane/video/7403673068578688289"/>
        <s v="https://www.tiktok.com/@lavishhcam/video/7406036857340824865?lang=en"/>
        <s v="https://www.tiktok.com/@lilyy.nl/video/7407093682731502880"/>
        <s v="https://www.tiktok.com/@paupibeauty/video/7403439757415533856?_r=1&amp;_t=8otpeszl9rE"/>
        <s v="https://www.tiktok.com/@perrine.trp/video/7411953653143129376"/>
        <s v="https://www.tiktok.com/@lavishhcam/video/7407487090046389537?lang=en"/>
        <s v="https://www.tiktok.com/@melf.fnt/video/7408135764502007073"/>
        <s v="https://www.tiktok.com/@lavishhcam/video/7406708879695875360?lang=en"/>
        <s v="https://www.tiktok.com/@lavishhcam/video/7411562966337834272?lang=en"/>
        <s v="https://www.tiktok.com/@morgane.mrckk/video/7406767459749055777"/>
        <s v="https://www.tiktok.com/@lilyy.nl/video/7411947131440827681"/>
        <s v="https://www.tiktok.com/@julianebernard/video/7415999447202663713"/>
        <s v="https://www.tiktok.com/@lilyy.nl/video/7412698376162135328"/>
        <s v="https://www.tiktok.com/@melf.fnt/video/7421252203458874656"/>
        <s v="https://www.tiktok.com/@melf.fnt/video/7417119746270776609"/>
        <s v="https://www.tiktok.com/@melf.fnt/video/7422703664969616673"/>
        <s v="https://www.tiktok.com/@paupibeauty/video/7416729046316338465?_r=1&amp;_t=8psjQcSNmPA"/>
        <s v="https://www.tiktok.com/@jessicadcstr/video/7401576606319398177"/>
        <s v="https://tiktok.com/@mary.zhh/video/7416774634885926176?lang=en"/>
        <s v="https://www.tiktok.com/@chiaraaaa.bnc/video/7417486710386232609"/>
        <s v="https://www.tiktok.com/@perrine.trp/video/7420530124208016672"/>
        <s v="https://www.tiktok.com/@paupibeauty/video/7418269204975078689"/>
        <s v="https://www.tiktok.com/@jeanne_bayart/video/7425572834992344353?_r=1&amp;_t=8qXCYC0RFJY"/>
        <s v="https://www.tiktok.com/@jeanne_bayart/video/7437562970659491105?lang=en"/>
        <s v="https://www.tiktok.com/@___oraane/video/7434852783339195681?lang=en"/>
        <s v="https://www.tiktok.com/@melf.fnt/video/7430522334919822624"/>
        <s v="https://www.tiktok.com/@liserdg/video/7430136572063796513?lang=en"/>
        <s v="https://www.tiktok.com/@liserdg/video/7432768931619802401?lang=en"/>
        <s v="https://www.tiktok.com/@morgane.mrckk/video/7430757799249988896?lang=en"/>
        <s v="https://www.tiktok.com/@shaa_dl/video/7515842386795187478"/>
        <s v="https://www.tiktok.com/@___oraane/video/7419283054981664033"/>
        <s v="https://www.tiktok.com/@anaiswairyy/video/7433837110584479008?lang=en"/>
        <s v="https://www.tiktok.com/@chiaraaaa.bnc/video/7438003860733578528?lang=en"/>
        <s v="https://www.tiktok.com/@morgane.mrckk/video/7437476392905805089?lang=en"/>
        <s v="https://www.tiktok.com/@iimslma/video/7436438336383880480?lang=en"/>
        <s v="https://www.tiktok.com/@melf.fnt/video/7436438601740668192?_r=1&amp;_t=8rKy09eXARN"/>
        <s v="https://www.tiktok.com/@lavishhcam/video/7437477138430741792"/>
        <s v="https://www.tiktok.com/@julianebernard/video/7437454498747927841?lang=en"/>
        <s v="https://www.tiktok.com/@melf.fnt/video/7437532619706731809"/>
        <s v="https://www.tiktok.com/@anaiswairyy/video/7455393883908771094?lang=en"/>
        <s v="https://www.tiktok.com/@anaiswairyy/video/7469871245606030614?lang=en"/>
        <s v="https://www.tiktok.com/@___oraane/video/7450792735776296214?lang=en"/>
        <s v="https://www.tiktok.com/@___oraane/video/7449648582451350806?lang=en"/>
        <s v="https://www.tiktok.com/@melf.fnt/video/7441913953858489633"/>
        <s v="https://www.tiktok.com/@paupibeauty/video/7442018892454694176?_r=1&amp;_t=8rkWjFn0wJa"/>
        <s v="https://www.tiktok.com/@anaiswairyy?lang=en"/>
        <s v="https://www.tiktok.com/@lilyy.nl/video/7443863318730689814"/>
        <s v="https://www.tiktok.com/@jeanne_bayart/video/7442798993492479265?lang=en"/>
        <s v="https://www.tiktok.com/@iman_cvls/video/7451924438834089238?_r=1&amp;_t=8sTta62xc1u"/>
        <s v="https://www.tiktok.com/@iman_cvls/video/7452023214944947478?_r=1&amp;_t=8sWEGQqinJO"/>
        <s v="https://www.tiktok.com/@iman_cvls/video/7452403635708775702"/>
        <s v="https://www.tiktok.com/@jasmiinelife/video/7453739165205777686?lang=en"/>
        <s v="https://www.tiktok.com/@lavishhcam/video/7463441462252932374"/>
        <s v="https://www.tiktok.com/@iimslma/video/7465383468805999894?_r=1&amp;_t=ZN-8tTXg6qHkUY"/>
        <s v="https://www.tiktok.com/@iman_cvls/video/7465390038260485398?_t=ZN-8tTZG4XbMr0&amp;_r=1"/>
        <s v="https://www.tiktok.com/@liserdg/video/7465785595495763222?lang=en"/>
        <s v="https://www.tiktok.com/@la_gur/video/7467998009230363926?lang=en"/>
        <s v="75 de media"/>
        <s v="https://www.tiktok.com/@dounsbnl/video/7471295610063310102"/>
        <s v="https://www.tiktok.com/@lolatagliaferroo?lang=en"/>
        <s v="https://www.tiktok.com/@___oraane/video/7471294678306934038?lang=en"/>
        <s v="https://www.tiktok.com/@shaa_dl/video/7471336075559046422"/>
        <s v="https://www.tiktok.com/@dounsbnl/video/7451645404535442710"/>
        <s v="https://www.tiktok.com/@anaiswairyy/video/7471353868702502166?lang=en"/>
        <s v="https://www.tiktok.com/@dounsbnl/video/7473150812873788674?_t=ZN-8u36zKwjrx0&amp;_r=1"/>
        <s v="https://www.tiktok.com/@lolatagliaferroo/video/7473819808870534422?lang=en"/>
        <s v="https://www.tiktok.com/@paupibeauty/video/7473538347969875222?_r=1&amp;_t=ZN-8u4tYDuW4wQ"/>
        <s v="https://www.tiktok.com/@perrine.trp/video/7476172058406194454?lang=en"/>
        <s v="https://www.tiktok.com/@eloiseaubeneauu/video/7482020827924401451"/>
        <s v="https://www.tiktok.com/@julianebernard/video/7496568197135486230?_r=1&amp;_t=ZN-8vmOTilRwgg"/>
        <s v="https://www.tiktok.com/@iimslma/video/7485792482345618710?_r=1&amp;_t=ZN-8uz1T2hjhy6"/>
        <s v="https://www.tiktok.com/@dounsbnl/video/7476794031935147286"/>
        <s v="https://www.tiktok.com/@eloiseaubeneauu/video/7495738839487581470?_t=ZP-8viaG7wegWt&amp;_r=1"/>
        <s v="https://www.tiktok.com/@lilyy.nl/video/7493984160173034774"/>
        <s v="https://www.tiktok.com/@ttemarine/video/7495056234014379266"/>
        <s v="https://www.tiktok.com/@ttemarine/video/7494670749865757974"/>
        <s v="https://www.tiktok.com/@julianebernard/video/7493986086654315798?lang=en"/>
        <s v="https://www.tiktok.com/@paupibeauty/video/7493948630144011542"/>
        <s v="https://www.tiktok.com/@lavishhcam/video/7495428391882198295"/>
        <s v="https://www.tiktok.com/@la_gur/video/7499405044245204246?lang=en"/>
        <s v="https://www.tiktok.com/@sarah.bdii/video/7499149208293788950"/>
        <s v="https://www.tiktok.com/@jasmiinelife/video/7499164614366645526?lang=en"/>
        <s v="https://www.tiktok.com/@ttemarine/video/7499519504368569622"/>
        <s v="https://www.tiktok.com/@lovelymorgane/video/7499894490853821718?_r=1&amp;_t=8kth38xkh3x"/>
        <s v="https://www.tiktok.com/@arwen.arwen1/video/7506934371669101846?lang=en"/>
        <s v="https://www.tiktok.com/@farahdisiaque/video/7505057972834372886"/>
        <s v="https://www.tiktok.com/@paupibeauty/video/7506557930817277206?_t=ZN-8wW7MsM3mNy&amp;_r=1"/>
        <s v="https://www.tiktok.com/@lavishhcam/video/7505069359010794774"/>
        <s v="https://www.tiktok.com/@paupibeauty/video/7507679880100810007?_r=1&amp;_t=ZN-8wbG54dkxtO"/>
        <s v="https://www.tiktok.com/@iam.sissou/video/7526589360469265686?is_from_webapp=1&amp;sender_device=pc&amp;web_id=7504317976587437590"/>
        <s v="https://www.tiktok.com/@mary.zhh/video/7462430581402520854"/>
        <s v="https://www.tiktok.com/@mary.zhh/video/7460561651675303190"/>
        <s v="https://www.tiktok.com/@paupibeauty/video/7439768252269546785?_r=1&amp;_t=8raH38QLVtG"/>
        <s v="https://www.tiktok.com/@amani_mee/video/7494728696528522518"/>
        <s v="https://vm.tiktok.com/ZNdPeJgF7/"/>
        <s v="https://www.tiktok.com/@ttemarine/video/7522142648207936790?_t=ZN-8xfVHZaTphe&amp;_r=1"/>
        <s v="https://www.tiktok.com/@iam.sissou/video/7513475563936369942"/>
        <s v="https://www.tiktok.com/@iimslma/video/7522888104374701335"/>
        <s v="https://drive.google.com/drive/folders/19ToYFCpY-wQNqLL1X6hkS610Je7ZJWpH?usp=sharing"/>
        <s v="https://drive.google.com/drive/folders/1cqb0DvHrI2AEf5Y1mODPl-Wb-x2ZpIBF?usp=sharing"/>
        <s v="https://www.tiktok.com/@shaa_dl/video/7525111945536523542?_r=1&amp;_t=ZN-8xwa2XIbgXO"/>
        <s v="https://www.instagram.com/p/DL9s1T-ucxx/?hl=fr"/>
        <s v="https://www.tiktok.com/@___oraane/video/7525503490924416279"/>
        <s v="https://www.tiktok.com/@julianebernard/video/7522838166227864854?lang=en"/>
        <s v="https://www.tiktok.com/@laudewit/video/7519192074919365920"/>
        <s v="https://www.tiktok.com/@asmaenel/video/7526542702301826326?is_from_webapp=1&amp;sender_device=pc&amp;web_id=7504317976587437590"/>
        <s v="https://www.tiktok.com/@shaa_dl/video/7525111987638979862?_r=1&amp;_t=ZN-8xwa1oeBxCQ"/>
        <s v="https://www.tiktok.com/@juliette.pn/video/7525473712418622742?is_from_webapp=1&amp;sender_device=pc&amp;web_id=7504317976587437590"/>
        <s v="https://www.tiktok.com/@laudewit/video/7525483945366998305"/>
        <s v="https://www.tiktok.com/@julianebernard/video/7526982773156924694?_r=1&amp;_t=ZN-8y1f4d2rh1K"/>
        <s v="https://www.tiktok.com/@la_gur/video/7528400374802173206"/>
        <s v="https://www.tiktok.com/@paupibeauty/video/7529220565756857622"/>
        <s v="https://vm.tiktok.com/ZNHp1gFdSuU6L-Orqzs/"/>
        <s v="https://www.tiktok.com/@melissa.pndd/video/7526574135296773398?is_from_webapp=1&amp;sender_device=pc&amp;web_id=7504317976587437590"/>
        <s v="https://www.tiktok.com/@laudewit/video/7529089646714735905"/>
        <s v="https://www.tiktok.com/@guenaire/video/7532570588146076950"/>
        <s v="https://www.tiktok.com/@laudewit/video/7525765188893674784"/>
        <s v="https://www.tiktok.com/@sarah.bdii/video/7516951979084598550"/>
        <s v="https://www.tiktok.com/@anaiswairyy/video/7466167514402229526?lang=en"/>
        <s v="https://www.tiktok.com/@melissa.pndd/video/7514352561562946838"/>
        <s v="https://vm.tiktok.com/ZNdyXTXHb/"/>
        <s v="https://www.instagram.com/reel/DLc5EB4ogna/?utm_source=ig_web_copy_link"/>
        <s v="https://www.tiktok.com/@glennwolff/video/7517353745353559318?is_from_webapp=1&amp;sender_device=pc&amp;web_id=7504317976587437590"/>
        <s v="https://www.instagram.com/reel/DLXs9HIijUX/?utm_source=ig_web_copy_link&amp;igsh=MzEyc2ZyNmFwZTMw"/>
        <s v="https://www.tiktok.com/@lolatagliaferroo/video/7520567485473492246?is_from_webapp=1&amp;sender_device=pc&amp;web_id=7504317976587437590"/>
        <s v="https://www.tiktok.com/@melissa.pndd/video/7519911199744494850?is_from_webapp=1&amp;sender_device=pc&amp;web_id=7504317976587437590"/>
        <s v="https://www.tiktok.com/@___oraane/video/7518063433611480343?_t=ZN-8xMoEPKM08s&amp;_r=1"/>
        <s v="https://www.tiktok.com/@paupibeauty/video/7521283052488641814?is_from_webapp=1&amp;sender_device=pc&amp;web_id=7504317976587437590"/>
        <s v="https://www.tiktok.com/@sarah.bdii/video/7532173540204891414"/>
        <s v="https://www.tiktok.com/@shaa_dl/video/7414067609177476384"/>
        <s v="https://www.tiktok.com/@shaa_dl/video/7430530285852167457"/>
        <s v="https://www.tiktok.com/@shaa_dl/video/7456916860278295830?_t=ZN-8sqlAIVsOJS&amp;_r=1"/>
        <s v="https://www.tiktok.com/@amandambt_/video/7483639690327788822?lang=en"/>
        <s v="La première à 1 min 17 https://vm.tiktok.com/ZNdMWypK4/ La seconde à 1 min 32 https://vm.tiktok.com/ZNdMWUM5e/"/>
        <s v="https://www.instagram.com/reel/DFqvAlCNUMN/"/>
        <s v="https://www.tiktok.com/@arwen.arwen1/video/7453509821812280598?lang=en"/>
        <s v="https://www.tiktok.com/@arwen.arwen1/video/7453509775200980246?lang=en"/>
        <s v="https://www.tiktok.com/@arwen.arwen1/video/7453530509163973910?lang=en"/>
        <s v="https://www.tiktok.com/@lavishhcam/video/7372599354646957344"/>
        <s v="https://www.tiktok.com/@lavishhcam/video/7370721490632772896?lang=en"/>
        <s v="https://www.tiktok.com/@lavishhcam/video/7374120668813659425"/>
        <s v="https://vm.tiktok.com/ZGeGrsEfX/"/>
        <s v="https://www.tiktok.com/@lavishhcam/video/7392636437163773217"/>
        <s v="https://www.tiktok.com/@lavishhcam/video/7401082023797902625?lang=en"/>
        <s v="https://www.tiktok.com/@lavishhcam/video/7401156666479119649?lang=en"/>
        <s v="https://www.tiktok.com/@lavishhcam/video/7415270528665046305?lang=en"/>
        <s v="https://www.tiktok.com/@lavishhcam/video/7414065973084359968?lang=en"/>
        <s v="https://www.tiktok.com/@lavishhcam/video/7421861704159464736?lang=en"/>
        <s v="https://www.tiktok.com/@lavishhcam/video/7421578850808646944"/>
        <s v="https://www.tiktok.com/@lavishhcam/video/7424528927714020641"/>
        <s v="https://tiktok.com/@lavishhcam/video/7428536491384638753"/>
        <s v="https://www.tiktok.com/@lavishhcam/video/7431968536773299489"/>
        <s v="https://www.tiktok.com/@lavishhcam/video/7431640311199255840"/>
        <s v="https://www.tiktok.com/@lavishhcam/video/7442372621200575776"/>
        <s v="https://www.tiktok.com/@lavishhcam/video/7451273510346820886"/>
        <s v="https://www.tiktok.com/@lavishhcam/video/7465046952749616406"/>
        <s v="https://www.tiktok.com/@lavishhcam/video/7462439461763157270"/>
        <s v="https://www.tiktok.com/@lavishhcam/video/7467602307832745238?_r=1&amp;_t=ZN-8tpZSV3gUPG"/>
        <s v="https://www.tiktok.com/@lavishhcam/video/7481621153107217686?_t=ZN-8ufuB4coZpW&amp;_r=1"/>
        <s v="https://www.tiktok.com/@lavishhcam/video/7480248461112216854?_t=ZN-8uksUX9QNRG&amp;_r=1"/>
        <s v="https://www.tiktok.com/@lavishhcam/video/7395231761887759649?lang=en"/>
        <s v="https://www.tiktok.com/@lavishhcam/video/7398186484789988641?lang=en"/>
        <s v="https://www.tiktok.com/@lavishhcam/video/7365759408892103969?lang=en"/>
        <s v="https://www.tiktok.com/@lavishhcam/video/7401530328214441248?lang=en"/>
        <s v="https://www.tiktok.com/@lavishhcam/video/7394844935842778400?lang=en"/>
        <s v="https://www.tiktok.com/@chiaraaaa.bnc/video/7391983750164319520?_r=1&amp;_t=8o3MXv1mvZJ"/>
        <s v="https://www.tiktok.com/@chiaraaaa.bnc/video/7394423173132913952"/>
        <s v="https://www.tiktok.com/@chiaraaaa.bnc/video/7405297473117310240"/>
        <s v="https://www.tiktok.com/@chiaraaaa.bnc/video/7404583889974480161"/>
        <s v="https://www.tiktok.com/@chiaraaaa.bnc/video/7416745525149584673"/>
        <s v="https://www.tiktok.com/@chiaraaaa.bnc/video/7415682356973014305?_r=1&amp;_t=8pnu1Dc4LKK"/>
        <s v="https://www.tiktok.com/@chiaraaaa.bnc/video/7426062687051713824?lang=en"/>
        <s v="https://www.tiktok.com/@chiaraaaa.bnc/video/7429003433572715809?lang=en"/>
        <s v="https://www.tiktok.com/@dounsbnl/video/7431205107913493793"/>
        <s v="https://www.tiktok.com/@dounsbnl/video/7474747644808613142"/>
        <s v="https://www.instagram.com/p/DHT2-JnIB-6/"/>
        <s v="https://www.instagram.com/reel/DJMIRWMoL9E/?igsh=MTY5bnFnZW5mZGI2dA=="/>
        <s v="https://www.tiktok.com/@eloiseaubeneauu/video/7483491441663036718?_t=ZT-8uoTJcOEruw&amp;_r=1"/>
        <s v="https://www.tiktok.com/@eloiseaubeneauu/video/7507226915682389279"/>
        <s v="https://www.instagram.com/reel/DJPcuR3Idt7/?igsh=OW9lOXZyc2hucGI="/>
        <s v="https://www.tiktok.com/@farahdisiaque/video/7483922941864955158?_t=ZN-8uqT7rbpmb8&amp;_r=1"/>
        <s v="c"/>
        <s v="https://www.tiktok.com/@bleulividee/video/7372251599776877856"/>
        <s v="https://vm.tiktok.com/ZGepDFE5y/"/>
        <s v="https://www.tiktok.com/@bleulividee/video/7391910299361709344"/>
        <s v="https://www.tiktok.com/@bleulividee/video/7392682253026970912"/>
        <s v="https://www.tiktok.com/@bleulividee/video/7410370727486049568"/>
        <s v="https://www.tiktok.com/@bleulividee/video/7375559768552770849"/>
        <s v="https://www.tiktok.com/@bleulividee/video/7393388652753194273"/>
        <s v="https://www.tiktok.com/@bleulividee/video/7397487380388744480"/>
        <s v="https://www.tiktok.com/@bleulividee/video/7365539403646651680"/>
        <s v="https://www.tiktok.com/@la_gur/photo/7457999858377428246?lang=en"/>
        <s v="https://www.tiktok.com/@la_gur/video/7485089693206433046?lang=en"/>
        <s v="https://www.tiktok.com/@la_gur/video/7495733948685815062?lang=en"/>
        <s v="https://drive.google.com/drive/folders/1bllXfbrb3bUB07wpoG2Ebl0SK0IzuWTC?usp=sharing"/>
        <s v="https://www.tiktok.com/@hidaya_bl/video/7484394919600213270"/>
        <s v="https://www.tiktok.com/@iman_cvls/video/7397858754177551649"/>
        <s v="https://www.tiktok.com/@iman_cvls/video/7404463230673849633"/>
        <s v="https://www.tiktok.com/@iman_cvls/video/7414564750392184096"/>
        <s v="https://www.tiktok.com/@iman_cvls/video/7430007298031930656?lang=en"/>
        <s v="https://www.tiktok.com/@iman_cvls/video/7442289270481636640?lang=en"/>
        <s v="https://www.tiktok.com/@iman_cvls/video/7458583066676710678?_t=ZN-8syYtKZMQGF&amp;_r=1"/>
        <s v="https://vm.tiktok.com/ZNdrMWKU9/   https://vm.tiktok.com/ZNdrMbUmK/&#10;"/>
        <s v="https://www.tiktok.com/@iman_cvls/video/7405646497515113761"/>
        <s v="https://www.tiktok.com/@jasmiinelife/video/7402157667159969057"/>
        <s v="https://www.tiktok.com/@jasmiinelife/video/7398942773430308128"/>
        <s v="https://www.tiktok.com/@jasmiinelife/video/7411133691189071137"/>
        <s v="https://www.tiktok.com/@jasmiinelife/video/7431849329335209249?_t=8qzxJsLvUuH&amp;_r=1"/>
        <s v="https://www.tiktok.com/@jasmiinelife/video/7481342810977881366?_r=1&amp;_t=ZN-8ued6vIUIJa"/>
        <s v="https://www.tiktok.com/@jasmiinelife/video/7478010649835064598?_t=ZN-8uksMc15EkI&amp;_r=1"/>
        <s v="https://vm.tiktok.com/ZNdr6BsyX/"/>
        <s v="https://www.tiktok.com/@jasmiinelife/video/7406012010816638240"/>
        <s v="https://www.instagram.com/reel/DAEGiSUicZy/"/>
        <s v="https://www.tiktok.com/@jeanne_bayart/video/7405111060274924832"/>
        <s v="https://www.tiktok.com/@jeanne_bayart/video/7401629838697565472"/>
        <s v="https://www.instagram.com/reel/DHYZokMIocA/?igsh=MXJmNGNqYzdlNjZ6eg%3D%3D"/>
        <s v="https://www.tiktok.com/@jessicadcstr/video/7374052571708771616"/>
        <s v="https://www.tiktok.com/@jessicadcstr/video/7375545597094464801"/>
        <s v="https://www.tiktok.com/@jessicadcstr/video/7388534640631450913"/>
        <s v="https://www.tiktok.com/@jessicadcstr/video/7389326468137995552"/>
        <s v="https://www.tiktok.com/@jessicadcstr/video/7402283442785766688"/>
        <s v="https://www.tiktok.com/@jessicadcstr/video/7400003750661819681"/>
        <s v="https://www.tiktok.com/@jessicadcstr/video/7401184127703108897"/>
        <s v="https://www.tiktok.com/@jessicadcstr/video/7379634512625487137"/>
        <s v="https://www.tiktok.com/@jessicadcstr/video/7370005908706921761?q=jessicadcstr%20aromazone&amp;t=1716383408647"/>
        <s v="https://www.tiktok.com/@julianebernard/video/7375950922876194080"/>
        <s v="https://www.tiktok.com/@julianebernard/video/7394526025591409952"/>
        <s v="https://www.tiktok.com/@julianebernard/video/7415662953526988065"/>
        <s v="https://www.tiktok.com/@julianebernard/video/7422201837324979489"/>
        <s v="https://www.tiktok.com/@julianebernard/video/7423819976387218720?lang=en"/>
        <s v="https://www.tiktok.com/@julianebernard/video/7428654055754353952?lang=en"/>
        <s v="https://www.tiktok.com/@julianebernard/video/7431227139405466912?lang=en"/>
        <s v="https://www.tiktok.com/@julianebernard/video/7470566844924005654?lang=en"/>
        <s v="https://www.tiktok.com/@julianebernard/video/7480957956545203478?_t=ZN-8uflzHw9hd0&amp;_r=1"/>
        <s v="https://www.tiktok.com/@julianebernard/video/7483144981474053398?_r=1&amp;_t=ZN-8umtSsTCOtq"/>
        <s v="https://www.tiktok.com/@julianebernard/video/7505188044769611030?_r=1&amp;_t=ZN-8wUPhwBCpra"/>
        <s v="https://www.tiktok.com/@julianebernard/video/7387355316817612064"/>
        <s v="https://www.tiktok.com/@laurieespamm/video/7373977897394048289"/>
        <s v="https://www.tiktok.com/@laurieespamm/video/7372894690884029729"/>
        <s v="https://www.tiktok.com/@laurieespamm/video/7385220213458980129"/>
        <s v="https://www.tiktok.com/@laurieespamm/video/7403685503830084896?_r=1&amp;_t=8ouxXOOFEH3"/>
        <s v="https://www.tiktok.com/@laurieespamm/video/7385584137039596833"/>
        <s v="https://www.tiktok.com/@lilyy.nl/video/7372250529398836512"/>
        <s v="https://www.tiktok.com/@lilyy.nl/video/7374127349601701153"/>
        <s v="https://www.tiktok.com/@lilyy.nl/video/7377465554560453921"/>
        <s v="https://www.tiktok.com/@lilyy.nl/video/7382595650866662688"/>
        <s v="https://www.tiktok.com/@lilyy.nl/video/7387413713944333601"/>
        <s v="https://www.tiktok.com/@lilyy.nl/video/7398197901182111008"/>
        <s v="https://www.tiktok.com/@lilyy.nl/video/7400071344089533728"/>
        <s v="https://www.tiktok.com/@lilyy.nl/video/7401181475330198816"/>
        <s v="https://www.tiktok.com/@lilyy.nl/video/7416387740951956768"/>
        <s v="https://www.tiktok.com/@lilyy.nl/video/7414163405205982497"/>
        <s v="https://www.tiktok.com/@lilyy.nl/video/7424229467951729953"/>
        <s v="https://www.tiktok.com/@lilyy.nl/video/7421229015719103776"/>
        <s v="https://www.tiktok.com/@lilyy.nl/video/7432644019890539808"/>
        <s v="https://www.tiktok.com/@lilyy.nl/video/7467121622500003094"/>
        <s v="https://www.tiktok.com/@lilyy.nl/video/7465615921470557462"/>
        <s v="https://www.tiktok.com/@lilyy.nl/video/7473378357531397398?_t=ZN-8uecd1X7Rby&amp;_r=1"/>
        <s v="https://www.tiktok.com/@lilyy.nl/video/7381865050685934881"/>
        <s v="https://www.tiktok.com/@lilyy.nl/video/7397468947290918176"/>
        <s v="https://www.tiktok.com/@lilyy.nl/video/7355571660520426784?q=lilyy.nl%20aromazone&amp;t=1716382679417"/>
        <s v="https://www.tiktok.com/@lilyy.nl/video/7407474534565154081"/>
        <s v="www.tiktok.com/@lilyy.nl/video/7402233435932216608?cid=NzQwMjIzNDY4NzAzMDE5OTA3Mg"/>
        <s v="https://www.tiktok.com/@lina.mkrn2/video/7384054300869217569?browserMode=1"/>
        <s v="https://www.tiktok.com/@liserdg/video/7399262478896614689"/>
        <s v="https://www.tiktok.com/@liserdg/video/7399698677285014817"/>
        <s v="https://www.tiktok.com/@liserdg/video/7404521868960501024"/>
        <s v="https://www.tiktok.com/@liserdg/video/7407523195101728033"/>
        <s v="https://www.tiktok.com/@liserdg/video/7418260695130623264"/>
        <s v="https://www.tiktok.com/@liserdg/video/7420486871957998880"/>
        <s v="https://www.tiktok.com/@liserdg/video/7431256738801667360?lang=en"/>
        <s v="https://www.tiktok.com/@liserdg/video/7441653570472135969?_t=8riqrKU7tr6&amp;_r=1"/>
        <s v="https://www.tiktok.com/@liserdg/video/7408641991967378720"/>
        <s v="https://www.tiktok.com/@liserdg/video/7381070326211317025"/>
        <s v="https://tiktok.com/@liserdg/video/7422323883673423136"/>
        <s v="https://www.tiktok.com/@lolatagliaferroo/video/7388560111800749345"/>
        <s v="https://www.tiktok.com/@lolatagliaferroo/video/7417167690537717024"/>
        <s v="https://www.tiktok.com/@lolatagliaferroo/video/7417539584071830816"/>
        <s v="https://www.tiktok.com/@lolatagliaferroo/video/7428671047366348065?lang=en"/>
        <s v="https://www.tiktok.com/@lolatagliaferroo/video/7445278458680266006?lang=en"/>
      </sharedItems>
    </cacheField>
    <cacheField name="X">
      <sharedItems containsBlank="1" containsMixedTypes="1" containsNumber="1" containsInteger="1">
        <m/>
        <n v="350.0"/>
        <n v="420.0"/>
        <n v="320.0"/>
        <s v="https://www.instagram.com/reel/DEKlEAhCcsg/"/>
        <s v="ANAIS-10 Il offre -10% de réduction sur une commande sans minimum d’achat, hors frais de port, valable jusqu’au 30/04/2025"/>
        <s v="envoyer facture en anglais"/>
        <s v="deja facture"/>
        <s v="500 médiat"/>
        <s v="dont 150 de médiat"/>
        <s v="envoyer facture en €"/>
        <s v="médiat à confirmer 202,50€"/>
        <s v="ajouter code promo"/>
        <s v="lien en bio"/>
        <s v="rembourser Produits"/>
        <s v="facture déjà envoyée"/>
      </sharedItems>
    </cacheField>
    <cacheField name="Grapper" numFmtId="0">
      <sharedItems containsBlank="1">
        <s v="Oui"/>
        <s v="Non"/>
        <m/>
        <s v="Non "/>
      </sharedItems>
    </cacheField>
    <cacheField name="Date vente" numFmtId="164">
      <sharedItems containsNonDate="0" containsDate="1" containsString="0" containsBlank="1" minDate="2024-01-14T00:00:00Z" maxDate="2025-07-17T00:00:00Z">
        <d v="2024-03-01T00:00:00Z"/>
        <d v="2024-03-15T00:00:00Z"/>
        <m/>
        <d v="2024-03-30T00:00:00Z"/>
        <d v="2024-03-25T00:00:00Z"/>
        <d v="2024-04-08T00:00:00Z"/>
        <d v="2024-04-11T00:00:00Z"/>
        <d v="2024-03-21T00:00:00Z"/>
        <d v="2024-04-25T00:00:00Z"/>
        <d v="2024-04-19T00:00:00Z"/>
        <d v="2024-05-07T00:00:00Z"/>
        <d v="2024-05-06T00:00:00Z"/>
        <d v="2024-05-02T00:00:00Z"/>
        <d v="2024-05-13T00:00:00Z"/>
        <d v="2024-05-14T00:00:00Z"/>
        <d v="2024-03-20T00:00:00Z"/>
        <d v="2024-04-10T00:00:00Z"/>
        <d v="2024-05-30T00:00:00Z"/>
        <d v="2024-05-11T00:00:00Z"/>
        <d v="2024-04-30T00:00:00Z"/>
        <d v="2024-05-23T00:00:00Z"/>
        <d v="2024-05-16T00:00:00Z"/>
        <d v="2024-06-08T00:00:00Z"/>
        <d v="2024-06-20T00:00:00Z"/>
        <d v="2024-06-18T00:00:00Z"/>
        <d v="2024-06-12T00:00:00Z"/>
        <d v="2024-06-24T00:00:00Z"/>
        <d v="2024-06-11T00:00:00Z"/>
        <d v="2024-07-16T00:00:00Z"/>
        <d v="2024-07-25T00:00:00Z"/>
        <d v="2024-07-03T00:00:00Z"/>
        <d v="2024-06-17T00:00:00Z"/>
        <d v="2024-06-27T00:00:00Z"/>
        <d v="2024-07-06T00:00:00Z"/>
        <d v="2024-06-14T00:00:00Z"/>
        <d v="2024-07-24T00:00:00Z"/>
        <d v="2024-07-10T00:00:00Z"/>
        <d v="2024-08-01T00:00:00Z"/>
        <d v="2024-07-04T00:00:00Z"/>
        <d v="2024-07-23T00:00:00Z"/>
        <d v="2024-07-21T00:00:00Z"/>
        <d v="2024-08-06T00:00:00Z"/>
        <d v="2024-07-29T00:00:00Z"/>
        <d v="2024-07-30T00:00:00Z"/>
        <d v="2024-07-17T00:00:00Z"/>
        <d v="2024-08-02T00:00:00Z"/>
        <d v="2024-07-31T00:00:00Z"/>
        <d v="2024-08-21T00:00:00Z"/>
        <d v="2024-08-19T00:00:00Z"/>
        <d v="2024-08-13T00:00:00Z"/>
        <d v="2024-09-11T00:00:00Z"/>
        <d v="2024-08-16T00:00:00Z"/>
        <d v="2024-09-12T00:00:00Z"/>
        <d v="2024-08-23T00:00:00Z"/>
        <d v="2024-09-04T00:00:00Z"/>
        <d v="2025-05-20T00:00:00Z"/>
        <d v="2024-09-09T00:00:00Z"/>
        <d v="2024-08-28T00:00:00Z"/>
        <d v="2024-09-14T00:00:00Z"/>
        <d v="2024-09-13T00:00:00Z"/>
        <d v="2024-08-20T00:00:00Z"/>
        <d v="2024-09-26T00:00:00Z"/>
        <d v="2024-08-29T00:00:00Z"/>
        <d v="2025-05-13T00:00:00Z"/>
        <d v="2024-09-03T00:00:00Z"/>
        <d v="2024-09-27T00:00:00Z"/>
        <d v="2024-10-01T00:00:00Z"/>
        <d v="2025-05-07T00:00:00Z"/>
        <d v="2024-10-28T00:00:00Z"/>
        <d v="2024-09-10T00:00:00Z"/>
        <d v="2024-10-15T00:00:00Z"/>
        <d v="2024-10-29T00:00:00Z"/>
        <d v="2024-10-24T00:00:00Z"/>
        <d v="2024-10-02T00:00:00Z"/>
        <d v="2024-10-30T00:00:00Z"/>
        <d v="2024-10-14T00:00:00Z"/>
        <d v="2024-10-25T00:00:00Z"/>
        <d v="2024-11-05T00:00:00Z"/>
        <d v="2024-11-08T00:00:00Z"/>
        <d v="2024-11-04T00:00:00Z"/>
        <d v="2024-10-23T00:00:00Z"/>
        <d v="2024-11-29T00:00:00Z"/>
        <d v="2024-11-19T00:00:00Z"/>
        <d v="2024-12-09T00:00:00Z"/>
        <d v="2024-11-26T00:00:00Z"/>
        <d v="2024-11-25T00:00:00Z"/>
        <d v="2024-12-05T00:00:00Z"/>
        <d v="2024-12-16T00:00:00Z"/>
        <d v="2024-11-11T00:00:00Z"/>
        <d v="2024-12-03T00:00:00Z"/>
        <d v="2024-12-24T00:00:00Z"/>
        <d v="2025-02-20T00:00:00Z"/>
        <d v="2024-12-23T00:00:00Z"/>
        <d v="2025-01-07T00:00:00Z"/>
        <d v="2024-12-12T00:00:00Z"/>
        <d v="2025-01-21T00:00:00Z"/>
        <d v="2025-01-24T00:00:00Z"/>
        <d v="2025-01-17T00:00:00Z"/>
        <d v="2025-01-09T00:00:00Z"/>
        <d v="2025-01-27T00:00:00Z"/>
        <d v="2025-01-23T00:00:00Z"/>
        <d v="2024-10-22T00:00:00Z"/>
        <d v="2024-10-21T00:00:00Z"/>
        <d v="2025-01-22T00:00:00Z"/>
        <d v="2025-01-16T00:00:00Z"/>
        <d v="2025-02-12T00:00:00Z"/>
        <d v="2025-02-18T00:00:00Z"/>
        <d v="2025-01-29T00:00:00Z"/>
        <d v="2025-02-14T00:00:00Z"/>
        <d v="2025-02-15T00:00:00Z"/>
        <d v="2025-02-06T00:00:00Z"/>
        <d v="2025-02-21T00:00:00Z"/>
        <d v="2025-03-31T00:00:00Z"/>
        <d v="2025-02-26T00:00:00Z"/>
        <d v="2025-02-28T00:00:00Z"/>
        <d v="2025-02-25T00:00:00Z"/>
        <d v="2025-02-19T00:00:00Z"/>
        <d v="2025-03-11T00:00:00Z"/>
        <d v="2025-03-21T00:00:00Z"/>
        <d v="2025-03-12T00:00:00Z"/>
        <d v="2025-03-17T00:00:00Z"/>
        <d v="2025-03-24T00:00:00Z"/>
        <d v="2025-03-10T00:00:00Z"/>
        <d v="2025-03-14T00:00:00Z"/>
        <d v="2025-04-17T00:00:00Z"/>
        <d v="2025-03-16T00:00:00Z"/>
        <d v="2025-04-04T00:00:00Z"/>
        <d v="2025-04-07T00:00:00Z"/>
        <d v="2025-04-15T00:00:00Z"/>
        <d v="2025-04-25T00:00:00Z"/>
        <d v="2025-05-16T00:00:00Z"/>
        <d v="2025-04-14T00:00:00Z"/>
        <d v="2025-03-28T00:00:00Z"/>
        <d v="2025-03-06T00:00:00Z"/>
        <d v="2025-03-20T00:00:00Z"/>
        <d v="2025-04-09T00:00:00Z"/>
        <d v="2025-04-11T00:00:00Z"/>
        <d v="2025-03-13T00:00:00Z"/>
        <d v="2025-04-08T00:00:00Z"/>
        <d v="2025-04-30T00:00:00Z"/>
        <d v="2025-04-21T00:00:00Z"/>
        <d v="2025-06-02T00:00:00Z"/>
        <d v="2025-06-10T00:00:00Z"/>
        <d v="2025-03-30T00:00:00Z"/>
        <d v="2025-03-26T00:00:00Z"/>
        <d v="2025-06-20T00:00:00Z"/>
        <d v="2025-02-10T00:00:00Z"/>
        <d v="2025-05-19T00:00:00Z"/>
        <d v="2025-04-24T00:00:00Z"/>
        <d v="2025-06-26T00:00:00Z"/>
        <d v="2025-05-23T00:00:00Z"/>
        <d v="2025-05-06T00:00:00Z"/>
        <d v="2025-05-24T00:00:00Z"/>
        <d v="2025-06-05T00:00:00Z"/>
        <d v="2025-05-27T00:00:00Z"/>
        <d v="2025-06-12T00:00:00Z"/>
        <d v="2025-05-28T00:00:00Z"/>
        <d v="2025-06-16T00:00:00Z"/>
        <d v="2025-06-18T00:00:00Z"/>
        <d v="2025-06-11T00:00:00Z"/>
        <d v="2025-06-23T00:00:00Z"/>
        <d v="2025-02-03T00:00:00Z"/>
        <d v="2025-06-04T00:00:00Z"/>
        <d v="2025-05-22T00:00:00Z"/>
        <d v="2025-06-22T00:00:00Z"/>
        <d v="2025-07-16T00:00:00Z"/>
        <d v="2025-06-19T00:00:00Z"/>
        <d v="2025-07-01T00:00:00Z"/>
        <d v="2025-06-17T00:00:00Z"/>
        <d v="2025-06-13T00:00:00Z"/>
        <d v="2025-07-03T00:00:00Z"/>
        <d v="2024-10-18T00:00:00Z"/>
        <d v="2025-05-29T00:00:00Z"/>
        <d v="2025-06-30T00:00:00Z"/>
        <d v="2025-03-07T00:00:00Z"/>
        <d v="2024-09-08T00:00:00Z"/>
        <d v="2024-10-08T00:00:00Z"/>
        <d v="2024-11-13T00:00:00Z"/>
        <d v="2024-12-10T00:00:00Z"/>
        <d v="2024-12-04T00:00:00Z"/>
        <d v="2024-06-07T00:00:00Z"/>
        <d v="2024-05-31T00:00:00Z"/>
        <d v="2025-02-23T00:00:00Z"/>
        <d v="2024-11-07T00:00:00Z"/>
        <d v="2024-11-28T00:00:00Z"/>
        <d v="2024-12-18T00:00:00Z"/>
        <d v="2025-02-11T00:00:00Z"/>
        <d v="2025-02-07T00:00:00Z"/>
        <d v="2024-09-05T00:00:00Z"/>
        <d v="2024-12-13T00:00:00Z"/>
        <d v="2024-03-08T00:00:00Z"/>
        <d v="2024-04-22T00:00:00Z"/>
        <d v="2024-05-17T00:00:00Z"/>
        <d v="2024-04-24T00:00:00Z"/>
        <d v="2024-05-24T00:00:00Z"/>
        <d v="2024-07-19T00:00:00Z"/>
        <d v="2024-08-09T00:00:00Z"/>
        <d v="2024-07-01T00:00:00Z"/>
        <d v="2024-08-26T00:00:00Z"/>
        <d v="2024-09-17T00:00:00Z"/>
        <d v="2024-09-25T00:00:00Z"/>
        <d v="2024-09-30T00:00:00Z"/>
        <d v="2024-10-10T00:00:00Z"/>
        <d v="2024-12-02T00:00:00Z"/>
        <d v="2025-01-06T00:00:00Z"/>
        <d v="2025-01-13T00:00:00Z"/>
        <d v="2024-06-26T00:00:00Z"/>
        <d v="2024-08-07T00:00:00Z"/>
        <d v="2024-07-11T00:00:00Z"/>
        <d v="2024-09-16T00:00:00Z"/>
        <d v="2024-11-14T00:00:00Z"/>
        <d v="2024-03-22T00:00:00Z"/>
        <d v="2024-04-06T00:00:00Z"/>
        <d v="2024-04-07T00:00:00Z"/>
        <d v="2024-06-04T00:00:00Z"/>
        <d v="2024-10-11T00:00:00Z"/>
        <d v="2024-03-23T00:00:00Z"/>
        <d v="2024-04-04T00:00:00Z"/>
        <d v="2024-04-09T00:00:00Z"/>
        <d v="2024-05-21T00:00:00Z"/>
        <d v="2024-05-27T00:00:00Z"/>
        <d v="2024-08-27T00:00:00Z"/>
        <d v="2025-04-12T00:00:00Z"/>
        <d v="2024-02-28T00:00:00Z"/>
        <d v="2024-05-28T00:00:00Z"/>
        <d v="2024-09-23T00:00:00Z"/>
        <d v="2024-06-30T00:00:00Z"/>
        <d v="2024-09-20T00:00:00Z"/>
        <d v="2024-10-07T00:00:00Z"/>
        <d v="2024-03-27T00:00:00Z"/>
        <d v="2024-04-13T00:00:00Z"/>
        <d v="2024-04-27T00:00:00Z"/>
        <d v="2024-01-15T00:00:00Z"/>
        <d v="2024-01-14T00:00:00Z"/>
        <d v="2025-03-18T00:00:00Z"/>
        <d v="2024-05-18T00:00:00Z"/>
        <d v="2024-06-19T00:00:00Z"/>
        <d v="2024-10-09T00:00:00Z"/>
        <d v="2024-11-12T00:00:00Z"/>
        <d v="2024-12-19T00:00:00Z"/>
        <d v="2025-02-22T00:00:00Z"/>
        <d v="2024-03-26T00:00:00Z"/>
        <d v="2024-05-20T00:00:00Z"/>
        <d v="2024-07-08T00:00:00Z"/>
        <d v="2024-11-22T00:00:00Z"/>
        <d v="2024-10-31T00:00:00Z"/>
      </sharedItems>
      <fieldGroup base="16">
        <rangePr autoStart="0" autoEnd="0" groupBy="months" startDate="2024-01-14T00:00:00Z" endDate="2025-07-17T00:00:00Z"/>
        <groupItems>
          <s v="&lt;01/14/24"/>
          <s v="Jan"/>
          <s v="Feb"/>
          <s v="Mar"/>
          <s v="Apr"/>
          <s v="May"/>
          <s v="Jun"/>
          <s v="Jul"/>
          <s v="Aug"/>
          <s v="Sep"/>
          <s v="Oct"/>
          <s v="Nov"/>
          <s v="Dec"/>
          <s v="&gt;07/17/25"/>
        </groupItems>
      </fieldGroup>
    </cacheField>
    <cacheField name="Commission" numFmtId="166">
      <sharedItems containsString="0" containsBlank="1" containsNumber="1">
        <n v="14.0"/>
        <m/>
        <n v="40.0"/>
        <n v="125.0"/>
        <n v="20.0"/>
        <n v="130.0"/>
        <n v="112.5"/>
        <n v="157.48"/>
        <n v="50.0"/>
        <n v="450.0"/>
        <n v="43.75"/>
        <n v="62.5"/>
        <n v="200.0"/>
        <n v="45.0"/>
        <n v="46.0"/>
        <n v="75.0"/>
        <n v="90.0"/>
        <n v="16.0"/>
        <n v="37.5"/>
        <n v="150.0"/>
        <n v="87.5"/>
        <n v="159.29999999999998"/>
        <n v="100.0"/>
        <n v="135.0"/>
        <n v="60.32"/>
        <n v="250.0"/>
        <n v="30.0"/>
        <n v="22.5"/>
        <n v="82.5"/>
        <n v="41.25"/>
        <n v="70.0"/>
        <n v="120.0"/>
        <n v="60.0"/>
        <n v="180.0"/>
        <n v="80.0"/>
        <n v="105.0"/>
        <n v="157.944"/>
        <n v="312.5"/>
        <n v="209.76000000000002"/>
        <n v="71.587"/>
        <n v="34.6"/>
        <n v="360.0"/>
        <n v="187.5"/>
        <n v="210.0"/>
        <n v="117.99"/>
        <n v="540.0"/>
        <n v="114.75"/>
        <n v="97.5"/>
        <n v="0.0"/>
        <n v="195.0"/>
        <n v="34.0"/>
        <n v="240.0"/>
        <n v="225.0"/>
        <n v="300.0"/>
        <n v="58.5"/>
        <n v="285.0"/>
        <n v="253.125"/>
        <n v="15.0"/>
        <n v="600.0"/>
        <n v="99.99999999999999"/>
        <n v="270.0"/>
        <n v="174.6"/>
        <n v="58.2"/>
        <n v="291.0"/>
        <n v="175.0"/>
        <n v="555.0"/>
        <n v="375.0"/>
        <n v="282.0"/>
        <n v="750.0"/>
        <n v="255.0"/>
        <n v="330.0"/>
        <n v="202.5"/>
        <n v="165.6"/>
        <n v="165.039"/>
        <n v="420.0"/>
        <n v="281.25"/>
        <n v="118.52699999999999"/>
        <n v="123.21600000000001"/>
        <n v="165.0"/>
        <n v="152.49"/>
        <n v="111.0"/>
        <n v="390.0"/>
        <n v="147.861"/>
        <n v="33.333333333333336"/>
        <n v="989.4"/>
        <n v="199.99999999999997"/>
        <n v="186.0"/>
        <n v="33.75"/>
        <n v="65.22"/>
        <n v="500.0"/>
        <n v="937.5"/>
        <n v="93.0"/>
        <n v="264.0"/>
        <n v="387.0"/>
        <n v="252.0"/>
        <n v="180.6"/>
        <n v="57.0"/>
        <n v="1733.0"/>
        <n v="140.0"/>
        <n v="25.0"/>
        <n v="56.25"/>
      </sharedItems>
    </cacheField>
  </cacheFields>
</pivotCacheDefinition>
</file>

<file path=xl/pivotCache/pivotCacheDefinition3.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R1286" sheet="Global1"/>
  </cacheSource>
  <cacheFields>
    <cacheField name="Talent" numFmtId="0">
      <sharedItems>
        <s v="Pauline"/>
        <s v="Chiara"/>
        <s v="Melissa"/>
        <s v="Camille"/>
        <s v="Lily Noël"/>
        <s v="Lina"/>
        <s v="Flavie"/>
        <s v="Jessica"/>
        <s v="Orane"/>
        <s v="Lola"/>
        <s v="Juliane"/>
        <s v="Alice"/>
        <s v="Laurie"/>
        <s v="Perrine"/>
        <s v="Morgane"/>
        <s v="Lise"/>
        <s v="Jeanne"/>
        <s v="Mary"/>
        <s v="Melissa P"/>
        <s v="Anaïs"/>
        <s v="Salma"/>
        <s v="Aïcha"/>
        <s v="Jasmine"/>
        <s v="Asmae"/>
        <s v="Rachel"/>
        <s v="Arwen"/>
        <s v="Iman"/>
        <s v="Moped"/>
        <s v="Dounia"/>
        <s v="Gurbet"/>
        <s v="Amani"/>
        <s v="Hidaya"/>
        <s v="Sirine"/>
        <s v="Eloise"/>
        <s v="Imane"/>
        <s v="Marine"/>
        <s v="Sofia"/>
        <s v="Sarah"/>
        <s v="Eiliassa"/>
        <s v="Farah"/>
        <s v="Estelle"/>
        <s v="Juliette"/>
        <s v="Nidal"/>
        <s v="Lola H."/>
        <s v="Morgane C"/>
        <s v="Chloe"/>
        <s v="Laura"/>
        <s v="Lilou"/>
        <s v="Lily"/>
        <s v="Amanda"/>
        <s v="Glenn"/>
        <s v="--"/>
        <s v="Amelle"/>
        <s v="Angie"/>
        <s v="Fanny"/>
        <s v="Laurine"/>
        <s v="Marlène"/>
        <s v="Migos Media"/>
        <s v="Romane"/>
        <s v="Maeva"/>
      </sharedItems>
    </cacheField>
    <cacheField name="Date Création" numFmtId="164">
      <sharedItems containsDate="1" containsString="0" containsBlank="1">
        <d v="2024-03-01T00:00:00Z"/>
        <d v="2024-03-15T00:00:00Z"/>
        <m/>
        <d v="2024-03-30T00:00:00Z"/>
        <d v="2024-03-25T00:00:00Z"/>
        <d v="2024-04-08T00:00:00Z"/>
        <d v="2024-04-11T00:00:00Z"/>
        <d v="2024-03-21T00:00:00Z"/>
        <d v="2024-04-25T00:00:00Z"/>
        <d v="2024-04-19T00:00:00Z"/>
        <d v="2024-05-07T00:00:00Z"/>
        <d v="2024-05-06T00:00:00Z"/>
        <d v="2024-05-02T00:00:00Z"/>
        <d v="2024-05-13T00:00:00Z"/>
        <d v="2024-05-14T00:00:00Z"/>
        <d v="2024-03-20T00:00:00Z"/>
        <d v="2024-04-10T00:00:00Z"/>
        <d v="2024-05-30T00:00:00Z"/>
        <d v="2024-05-11T00:00:00Z"/>
        <d v="2024-04-30T00:00:00Z"/>
        <d v="2024-05-23T00:00:00Z"/>
        <d v="2024-05-16T00:00:00Z"/>
        <d v="2024-06-08T00:00:00Z"/>
        <d v="2024-06-20T00:00:00Z"/>
        <d v="2024-06-18T00:00:00Z"/>
        <d v="2024-06-12T00:00:00Z"/>
        <d v="2024-06-24T00:00:00Z"/>
        <d v="2024-06-11T00:00:00Z"/>
        <d v="2024-07-16T00:00:00Z"/>
        <d v="2024-07-25T00:00:00Z"/>
        <d v="2024-07-03T00:00:00Z"/>
        <d v="2024-06-17T00:00:00Z"/>
        <d v="2024-06-27T00:00:00Z"/>
        <d v="2024-07-06T00:00:00Z"/>
        <d v="2024-06-14T00:00:00Z"/>
        <d v="2024-07-24T00:00:00Z"/>
        <d v="2024-07-10T00:00:00Z"/>
        <d v="2024-08-01T00:00:00Z"/>
        <d v="2024-07-04T00:00:00Z"/>
        <d v="2024-07-23T00:00:00Z"/>
        <d v="2024-07-21T00:00:00Z"/>
        <d v="2024-08-06T00:00:00Z"/>
        <d v="2024-07-29T00:00:00Z"/>
        <d v="2024-07-30T00:00:00Z"/>
        <d v="2024-07-17T00:00:00Z"/>
        <d v="2024-08-02T00:00:00Z"/>
        <d v="2024-07-31T00:00:00Z"/>
        <d v="2024-08-21T00:00:00Z"/>
        <d v="2024-08-19T00:00:00Z"/>
        <d v="2024-08-13T00:00:00Z"/>
        <d v="2024-09-11T00:00:00Z"/>
        <d v="2024-08-16T00:00:00Z"/>
        <d v="2024-09-12T00:00:00Z"/>
        <d v="2024-08-23T00:00:00Z"/>
        <d v="2024-09-04T00:00:00Z"/>
        <d v="2025-05-20T00:00:00Z"/>
        <d v="2024-09-09T00:00:00Z"/>
        <d v="2024-08-28T00:00:00Z"/>
        <d v="2024-09-14T00:00:00Z"/>
        <d v="2024-09-13T00:00:00Z"/>
        <d v="2024-08-20T00:00:00Z"/>
        <d v="2024-09-26T00:00:00Z"/>
        <d v="2024-08-29T00:00:00Z"/>
        <d v="2025-05-13T00:00:00Z"/>
        <d v="2024-09-03T00:00:00Z"/>
        <d v="2024-09-27T00:00:00Z"/>
        <d v="2024-10-01T00:00:00Z"/>
        <d v="2025-05-07T00:00:00Z"/>
        <d v="2024-10-28T00:00:00Z"/>
        <d v="2024-09-10T00:00:00Z"/>
        <d v="2024-10-15T00:00:00Z"/>
        <d v="2024-10-29T00:00:00Z"/>
        <d v="2024-10-24T00:00:00Z"/>
        <d v="2024-10-02T00:00:00Z"/>
        <d v="2024-10-30T00:00:00Z"/>
        <d v="2024-10-14T00:00:00Z"/>
        <d v="2024-10-25T00:00:00Z"/>
        <d v="2024-11-05T00:00:00Z"/>
        <d v="2024-11-08T00:00:00Z"/>
        <d v="2024-11-04T00:00:00Z"/>
        <d v="2024-10-23T00:00:00Z"/>
        <d v="2024-11-29T00:00:00Z"/>
        <d v="2024-11-19T00:00:00Z"/>
        <d v="2024-12-09T00:00:00Z"/>
        <d v="2024-11-26T00:00:00Z"/>
        <d v="2024-11-25T00:00:00Z"/>
        <d v="2024-12-05T00:00:00Z"/>
        <d v="2024-12-16T00:00:00Z"/>
        <d v="2024-11-11T00:00:00Z"/>
        <d v="2024-12-03T00:00:00Z"/>
        <d v="2024-12-24T00:00:00Z"/>
        <d v="2025-02-20T00:00:00Z"/>
        <d v="2024-12-23T00:00:00Z"/>
        <d v="2025-01-07T00:00:00Z"/>
        <d v="2024-12-12T00:00:00Z"/>
        <d v="2025-01-21T00:00:00Z"/>
        <d v="2025-01-24T00:00:00Z"/>
        <d v="2025-01-17T00:00:00Z"/>
        <d v="2025-01-09T00:00:00Z"/>
        <d v="2025-01-27T00:00:00Z"/>
        <d v="2025-01-23T00:00:00Z"/>
        <d v="2024-10-22T00:00:00Z"/>
        <d v="2024-10-21T00:00:00Z"/>
        <d v="2025-01-22T00:00:00Z"/>
        <d v="2025-01-16T00:00:00Z"/>
        <d v="2025-02-12T00:00:00Z"/>
        <d v="2025-02-18T00:00:00Z"/>
        <d v="2025-01-29T00:00:00Z"/>
        <d v="2025-02-14T00:00:00Z"/>
        <d v="2025-02-15T00:00:00Z"/>
        <d v="2025-02-06T00:00:00Z"/>
        <d v="2025-02-21T00:00:00Z"/>
        <d v="2025-03-31T00:00:00Z"/>
        <d v="2025-02-26T00:00:00Z"/>
        <d v="2025-02-28T00:00:00Z"/>
        <d v="2025-02-25T00:00:00Z"/>
        <d v="2025-02-19T00:00:00Z"/>
        <d v="2025-03-11T00:00:00Z"/>
        <d v="2025-03-21T00:00:00Z"/>
        <d v="2025-03-12T00:00:00Z"/>
        <d v="2025-03-17T00:00:00Z"/>
        <d v="2025-03-24T00:00:00Z"/>
        <d v="2025-03-10T00:00:00Z"/>
        <d v="2025-03-14T00:00:00Z"/>
        <d v="2025-04-17T00:00:00Z"/>
        <d v="2025-03-16T00:00:00Z"/>
        <d v="2025-04-04T00:00:00Z"/>
        <d v="2025-04-07T00:00:00Z"/>
        <d v="2025-04-15T00:00:00Z"/>
        <d v="2025-04-25T00:00:00Z"/>
        <d v="2025-05-16T00:00:00Z"/>
        <d v="2025-04-14T00:00:00Z"/>
        <d v="2025-03-28T00:00:00Z"/>
        <d v="2025-03-06T00:00:00Z"/>
        <d v="2025-03-20T00:00:00Z"/>
        <d v="2025-04-09T00:00:00Z"/>
        <d v="2025-04-11T00:00:00Z"/>
        <d v="2025-03-13T00:00:00Z"/>
        <d v="2025-04-08T00:00:00Z"/>
        <d v="2025-04-30T00:00:00Z"/>
        <d v="2025-04-21T00:00:00Z"/>
        <d v="2025-06-02T00:00:00Z"/>
        <d v="2025-06-10T00:00:00Z"/>
        <d v="2025-03-30T00:00:00Z"/>
        <d v="2025-03-26T00:00:00Z"/>
        <d v="2025-06-20T00:00:00Z"/>
        <d v="2025-02-10T00:00:00Z"/>
        <d v="2025-05-19T00:00:00Z"/>
        <d v="2025-04-24T00:00:00Z"/>
        <d v="2025-06-26T00:00:00Z"/>
        <d v="2025-05-23T00:00:00Z"/>
        <d v="2025-05-06T00:00:00Z"/>
        <d v="2025-05-24T00:00:00Z"/>
        <d v="2025-06-05T00:00:00Z"/>
        <d v="2025-05-27T00:00:00Z"/>
        <d v="2025-06-12T00:00:00Z"/>
        <d v="2025-05-28T00:00:00Z"/>
        <d v="2025-06-16T00:00:00Z"/>
        <d v="2025-06-18T00:00:00Z"/>
        <d v="2025-06-11T00:00:00Z"/>
        <d v="2025-06-23T00:00:00Z"/>
        <d v="2025-02-03T00:00:00Z"/>
        <d v="2025-06-04T00:00:00Z"/>
        <d v="2025-05-22T00:00:00Z"/>
        <d v="2025-06-22T00:00:00Z"/>
        <d v="2025-07-16T00:00:00Z"/>
        <d v="2025-06-19T00:00:00Z"/>
        <d v="2025-07-01T00:00:00Z"/>
        <d v="2025-06-17T00:00:00Z"/>
        <d v="2025-06-13T00:00:00Z"/>
        <d v="2025-07-03T00:00:00Z"/>
        <d v="2024-10-18T00:00:00Z"/>
        <d v="2025-05-29T00:00:00Z"/>
        <d v="2025-06-30T00:00:00Z"/>
        <d v="2025-03-07T00:00:00Z"/>
        <d v="2024-09-08T00:00:00Z"/>
        <d v="2024-10-08T00:00:00Z"/>
        <d v="2024-11-13T00:00:00Z"/>
        <d v="2024-12-10T00:00:00Z"/>
        <d v="2024-12-04T00:00:00Z"/>
        <d v="2024-06-07T00:00:00Z"/>
        <d v="2024-05-31T00:00:00Z"/>
        <d v="2025-02-23T00:00:00Z"/>
        <d v="2024-11-07T00:00:00Z"/>
        <d v="2024-11-28T00:00:00Z"/>
        <d v="2024-12-18T00:00:00Z"/>
        <d v="2025-02-11T00:00:00Z"/>
        <d v="2025-02-07T00:00:00Z"/>
        <d v="2024-09-05T00:00:00Z"/>
        <d v="2024-12-13T00:00:00Z"/>
        <d v="2024-03-08T00:00:00Z"/>
        <d v="2024-04-22T00:00:00Z"/>
        <d v="2024-05-17T00:00:00Z"/>
        <d v="2024-04-24T00:00:00Z"/>
        <d v="2024-05-24T00:00:00Z"/>
        <d v="2024-07-19T00:00:00Z"/>
        <d v="2024-08-09T00:00:00Z"/>
        <d v="2024-07-01T00:00:00Z"/>
        <d v="2024-08-26T00:00:00Z"/>
        <d v="2024-09-17T00:00:00Z"/>
        <d v="2024-09-25T00:00:00Z"/>
        <d v="2024-09-30T00:00:00Z"/>
        <d v="2024-10-10T00:00:00Z"/>
        <d v="2024-12-02T00:00:00Z"/>
        <d v="2025-01-06T00:00:00Z"/>
        <d v="2025-01-13T00:00:00Z"/>
        <d v="2024-06-26T00:00:00Z"/>
        <d v="2024-08-07T00:00:00Z"/>
        <d v="2024-07-11T00:00:00Z"/>
        <d v="2024-09-16T00:00:00Z"/>
        <d v="2024-11-14T00:00:00Z"/>
        <d v="2024-03-22T00:00:00Z"/>
        <d v="2024-04-06T00:00:00Z"/>
        <d v="2024-04-07T00:00:00Z"/>
        <d v="2024-06-04T00:00:00Z"/>
        <d v="2024-10-11T00:00:00Z"/>
        <d v="2024-03-23T00:00:00Z"/>
        <d v="2024-04-04T00:00:00Z"/>
        <d v="2024-04-09T00:00:00Z"/>
        <d v="2024-05-21T00:00:00Z"/>
        <d v="2024-05-27T00:00:00Z"/>
        <d v="2024-08-27T00:00:00Z"/>
        <d v="2025-04-12T00:00:00Z"/>
        <d v="2024-02-28T00:00:00Z"/>
        <d v="2024-05-28T00:00:00Z"/>
        <d v="2024-09-23T00:00:00Z"/>
        <d v="2024-06-30T00:00:00Z"/>
        <d v="2024-09-20T00:00:00Z"/>
        <d v="2024-10-07T00:00:00Z"/>
        <d v="2024-03-27T00:00:00Z"/>
        <d v="2024-04-13T00:00:00Z"/>
        <d v="2024-04-27T00:00:00Z"/>
        <d v="2024-01-15T00:00:00Z"/>
        <d v="2024-01-14T00:00:00Z"/>
        <d v="2025-03-18T00:00:00Z"/>
        <d v="2024-05-18T00:00:00Z"/>
        <d v="2024-06-19T00:00:00Z"/>
        <d v="2024-10-09T00:00:00Z"/>
        <d v="2024-11-12T00:00:00Z"/>
        <d v="2024-12-19T00:00:00Z"/>
        <d v="2025-02-22T00:00:00Z"/>
        <d v="2024-03-26T00:00:00Z"/>
        <d v="2024-05-20T00:00:00Z"/>
        <d v="2024-07-08T00:00:00Z"/>
        <d v="2024-11-22T00:00:00Z"/>
        <d v="2024-10-31T00:00:00Z"/>
        <d v="2024-07-15T00:00:00Z"/>
        <d v="2024-09-24T00:00:00Z"/>
        <d v="2024-02-15T00:00:00Z"/>
        <d v="2024-04-26T00:00:00Z"/>
        <d v="2024-06-03T00:00:00Z"/>
        <d v="2024-04-12T00:00:00Z"/>
        <d v="2024-07-09T00:00:00Z"/>
        <d v="2024-09-29T00:00:00Z"/>
        <d v="2024-10-06T00:00:00Z"/>
        <d v="2024-10-16T00:00:00Z"/>
        <d v="2024-09-19T00:00:00Z"/>
        <d v="2024-03-28T00:00:00Z"/>
        <d v="2024-10-17T00:00:00Z"/>
        <d v="2025-04-29T00:00:00Z"/>
        <d v="2024-03-18T00:00:00Z"/>
        <d v="2024-08-14T00:00:00Z"/>
        <d v="2024-09-01T00:00:00Z"/>
        <d v="2024-11-15T00:00:00Z"/>
        <d v="2025-01-03T00:00:00Z"/>
        <d v="2024-07-18T00:00:00Z"/>
        <d v="2025-07-11T00:00:00Z"/>
        <d v="2025-07-18T00:00:00Z"/>
        <d v="2025-07-21T00:00:00Z"/>
        <d v="2025-07-22T00:00:00Z"/>
        <d v="2025-07-24T00:00:00Z"/>
        <d v="2025-07-25T00:00:00Z"/>
        <d v="2025-07-28T00:00:00Z"/>
        <d v="2025-06-24T00:00:00Z"/>
      </sharedItems>
    </cacheField>
    <cacheField name="Marque" numFmtId="3">
      <sharedItems>
        <s v="BYS Maquillage"/>
        <s v="Yepoda"/>
        <s v="Rimmel London"/>
        <s v="SHEIN"/>
        <s v="Yves Rocher"/>
        <s v="Temu"/>
        <s v="Anua"/>
        <s v="SOS Beauty"/>
        <s v="Haru Haru Wonder"/>
        <s v="Maybelline"/>
        <s v="Koru"/>
        <s v="PINKO PAZZESCO"/>
        <s v="GHD"/>
        <s v="SKIN1004"/>
        <s v="Les Pistolets en Plastique"/>
        <s v="Rose Skin Co."/>
        <s v="Skin &amp; Out"/>
        <s v="Dyson"/>
        <s v="Satinée"/>
        <s v="BodyCross"/>
        <s v="Garnier"/>
        <s v="Eau Thermale Jonzac"/>
        <s v="So Bio Etic"/>
        <s v="Terre de Mars"/>
        <s v="Commonlabs"/>
        <s v="BENEFIT"/>
        <s v="Anastasia Beverly Hills"/>
        <s v="Grande Cosmetics"/>
        <s v="Mixa"/>
        <s v="My House of Jewels"/>
        <s v="Uriage"/>
        <s v="Erborian"/>
        <s v="Lancôme "/>
        <s v="Nocibé"/>
        <s v="Crocs"/>
        <s v="JOLT"/>
        <s v="Ducray"/>
        <s v="Bioré"/>
        <s v="La Roche Posay"/>
        <s v="Yesstyle"/>
        <s v="Sheglam"/>
        <s v="Abib"/>
        <s v="Bershka"/>
        <s v="Dr.Althea"/>
        <s v="Stylevana"/>
        <s v="Dreame"/>
        <s v="Lancôme"/>
        <s v="Wandernana"/>
        <s v="Essence"/>
        <s v="Monopoly Go"/>
        <s v="Frank Provost"/>
        <s v="Myriam K Paris"/>
        <s v="Sol De Janeiro"/>
        <s v="Mixsoon"/>
        <s v="Current Body"/>
        <s v="Aïa Curl"/>
        <s v="Aromazone"/>
        <s v="iHerb"/>
        <s v="Mova"/>
        <s v="L'Oréal"/>
        <s v="Hacoo"/>
        <s v="Biocyte"/>
        <s v="Musc Intime"/>
        <s v="NYX"/>
        <s v="L'Oreal"/>
        <s v="Remington"/>
        <s v="Dynveo"/>
        <s v="Vitavea"/>
        <s v="Uberliss"/>
        <s v="Luxéol"/>
        <s v="Darry Ring"/>
        <s v="Capcut"/>
        <s v="Redken"/>
        <s v="Naali"/>
        <s v="Cerave"/>
        <s v="Paalm Cosmetics"/>
        <s v="Shavest"/>
        <s v="Inava"/>
        <s v="Cellublue"/>
        <s v="Caudalie"/>
        <s v="Voghion"/>
        <s v="BeReal"/>
        <s v="Current Body "/>
        <s v="Ali Express"/>
        <s v="Keracare"/>
        <s v="ZIIP"/>
        <s v="Feel My Skin"/>
        <s v="BYD"/>
        <s v="ISIS Pharma"/>
        <s v="Sanytol"/>
        <s v="Mavatys"/>
        <s v="Sanex"/>
        <s v="My Little Box "/>
        <s v="Lazartigue"/>
        <s v="Solinotes"/>
        <s v="It Fruit"/>
        <s v="TORRAS"/>
        <s v="Medicube"/>
        <s v="H&amp;S"/>
        <s v="Perroy Parfum"/>
        <s v="Nike"/>
        <s v="Bella Barrnett"/>
        <s v="Passion Marine"/>
        <s v="Avene"/>
        <s v="Beauty Of Joseon"/>
        <s v="Etiaxil"/>
        <s v="Just Spin"/>
        <s v="PlanJoy"/>
        <s v="YTTP"/>
        <s v="Sanytol "/>
        <s v="Dior"/>
        <s v="Pretty Little Things"/>
        <s v="L'Univers de Baya"/>
        <s v="Bob Oré"/>
        <s v="YSL"/>
        <s v="Ouvéa"/>
        <s v="Cider"/>
        <s v="Milk Make Up"/>
        <s v="SPA &amp; BIEN ÊTRE - GRAVITI"/>
        <s v="Ole Henriksen"/>
        <s v="Rare Beauty"/>
        <s v="Lancôme #MWL"/>
        <s v="Clarine"/>
        <s v="SHU UEMURA"/>
        <s v="Aveda"/>
        <s v="Clinique"/>
        <s v="KIEHLS"/>
        <s v="Embryolisse"/>
        <s v="Focus Skincare"/>
        <s v="MILK"/>
        <s v="Superdry"/>
        <s v="Prada"/>
        <s v="YSL Stylo Touche Éclat"/>
        <s v="R.E.M Beauty"/>
        <s v="IT Cosmetics"/>
        <s v="Lancôme - HYPNOSE DRAMA 🖤"/>
        <s v="Charlotte Tilburry (Nice Work)"/>
        <s v="YSL Beauty Summer Box"/>
        <s v="Fenty"/>
        <s v="Dr. Dennis Gross (Nice Work)"/>
        <s v="YSL Blushs "/>
        <s v="Valentino"/>
        <s v="Huda Beauty"/>
        <s v="Sephora"/>
        <s v="Charlotte Tilburry"/>
        <s v="The Inkey List"/>
        <s v="Cecotec"/>
        <s v="Vichy"/>
        <s v="Flower Knows"/>
        <s v="Rituals"/>
        <s v="Respire"/>
        <s v="LANEIGE"/>
        <s v="Glow Recipe"/>
        <s v="Franck Provost"/>
        <s v="MAC Cosmetics"/>
        <s v="Milk Makeup (Nice Work)"/>
        <s v="Typology"/>
        <s v="Kiehl's"/>
        <s v="JW PEI"/>
        <s v="Bloom"/>
        <s v="Nars"/>
        <s v="The Commense"/>
        <s v="Bijoux Divins"/>
        <s v="Biotherm"/>
        <s v="Courrèges (Nice Work)"/>
        <s v="Pulpe de Vie"/>
        <s v="Dieti Natura"/>
        <s v="Make Up For Ever"/>
        <s v="Jimmy Fairly"/>
        <s v="Lili Sidonio"/>
        <s v="Dr Jart +"/>
        <s v="Gallinée"/>
        <s v="Evoluderm"/>
        <s v="Drunk Elephant"/>
        <s v="Shokz"/>
        <s v="Fresh"/>
        <s v="Bourjois"/>
        <s v="Too Faced"/>
        <s v="L'Oréal Professionnel"/>
        <s v="NARS (Nice Work)"/>
        <s v="Fenty (Nice Work)"/>
        <s v="Black &amp; White Burger"/>
        <s v="Daylo"/>
        <s v="Maria Nila"/>
        <s v="The Inkey List (Nice Work)"/>
        <s v="Wonderskin"/>
        <s v="Olaplex (Nice Work)"/>
        <s v="Kurku-ma"/>
        <s v="Origins"/>
        <s v="Kielh's"/>
        <s v="SAYANA"/>
        <s v="Havaianas"/>
        <s v="Réelle"/>
        <s v="Rare Beauty (Nice Work)"/>
        <s v="Boohoo"/>
        <s v="Kylie"/>
        <s v="Eau Thermale Jonzac "/>
        <s v="Hawkers"/>
        <s v="The Ordinary"/>
        <s v="Myrimimi"/>
        <s v="Fenty Skin"/>
        <s v="L'Oreal Luxe"/>
        <s v="Maybelline Concours"/>
        <s v="Sol de Janeiro (Nice Work)"/>
        <s v="TOMO"/>
        <s v="TABASQUISHY"/>
        <s v="Armani Beauty"/>
        <s v="Summer Fridays"/>
        <s v="Lanolips"/>
        <s v="Kiko Milano"/>
        <s v="Halal Nutrition"/>
        <s v="Kylie Cosmetics"/>
        <s v="My Little Box"/>
        <s v="Cuure"/>
        <s v="Interview"/>
        <s v="Le Petit Lunetier"/>
        <s v="Maybelline "/>
        <s v="Kalista"/>
        <s v="Neutrogena"/>
        <s v="Néonail"/>
        <s v="Milk Make Up (Nice Work)"/>
        <s v="Ongle24"/>
        <s v="Bobbi Brown"/>
        <s v="Axis-Y"/>
        <s v="Filorga"/>
        <s v="YSL Beauty Summer Box (Nice Work)"/>
        <s v="Estée Lauder"/>
        <s v="ULIKE"/>
        <s v="La Boutique du Coiffeur"/>
        <s v="Weleda"/>
        <s v="Seasonly"/>
        <s v="YSL "/>
        <s v="Air Up"/>
        <s v="Saforelle"/>
        <s v="Chantelle"/>
        <s v="Lancôme Event"/>
        <s v="Hourglass"/>
        <s v="Celimax"/>
        <s v="Dexeryl"/>
      </sharedItems>
    </cacheField>
    <cacheField name="Complément">
      <sharedItems containsBlank="1" containsMixedTypes="1" containsNumber="1" containsInteger="1">
        <m/>
        <s v="CA"/>
        <s v="BOURS"/>
        <s v="Lancôme #MWL"/>
        <n v="2.0"/>
        <s v="GRWM for bed"/>
        <s v="Whats in my bag"/>
        <n v="1.0"/>
        <s v="Woo Juicy Tubes"/>
        <s v="Army"/>
        <s v="Shein deals "/>
        <s v="nov"/>
        <s v="janv"/>
        <s v="AMZ"/>
        <s v="Juicy"/>
        <s v="Sun Serum"/>
        <s v="Poremizing"/>
        <s v="PM Clay Stick"/>
        <s v="Relief"/>
        <s v="2-Double Cleansing"/>
        <s v="3-Sun Serum Hyalu"/>
        <s v="4-Tone Brightening"/>
        <s v="Tiktok"/>
        <s v="Mega Haul + Full Face Campaign"/>
        <s v="5- Glow Project"/>
        <s v="Black Friday et du Cyber Monday de SHEIN"/>
        <s v=" 💎SHEGLAM Partnership: SHEGLAM Liquid Fam Festival Glow Set"/>
        <s v="déc"/>
        <s v="👐️ SHEGLAM: Partnership Opportunity"/>
        <s v="1-PM Clay Stick"/>
        <s v="TT"/>
        <s v="Revitalift"/>
        <s v="poremizing quick clay stick mask "/>
        <s v="Poremizing Clay Stick Mask "/>
        <s v="hello kitty"/>
        <s v="février"/>
        <s v="Bold Booster Lip Combo Campaign"/>
        <s v="Big Cil mars"/>
        <s v="Blowdry"/>
        <s v="mars"/>
        <s v="THE Adventure Time X SHEGLAM COLLECTION"/>
        <s v="avril"/>
        <s v="Full SkinCare Routine in 1 Box"/>
        <s v="Double Cleansing"/>
        <s v="Big Cil avril"/>
        <s v="Lissage avril "/>
        <s v="Compléments alimentaire mai"/>
        <s v="Big Cil juin"/>
        <s v="Big Cil mai"/>
        <s v="Hyalu-Cica Sunserum "/>
        <s v="mai"/>
        <s v="Glow project "/>
        <s v="#1Bean Essence + Bean Cream + Centella Sun Cream routine "/>
        <s v="Tone-Brightening Ampoule"/>
        <s v="Glow Project"/>
        <s v="PM Stick "/>
        <s v="Lissage juin"/>
        <s v="skin care routine for beginners "/>
        <s v="Stick Mask"/>
        <s v="Beginner Routine"/>
        <s v="SKIN MASK CLAY"/>
        <s v="Tone Brightening"/>
        <s v="ad"/>
        <s v="UGC Trousse"/>
        <s v="Essentials home"/>
        <s v="UGC"/>
        <s v="Beach day "/>
        <s v="Festival outfitxtravel"/>
        <s v="Essentials home "/>
        <s v="#2 Bean Essence"/>
        <s v="Beach day"/>
        <s v="Bean Essence + Bean Cream + Centella Sun Cream routine"/>
        <s v="Bean Collagen Hydrogel Mask Pack"/>
        <s v="#3 Bean Collagen Hydrogel Mask Pack"/>
        <s v="Festival outfit "/>
        <s v="Collagen Cleansing Balm"/>
        <s v="Centella Sun Cream"/>
        <s v="Bean Cleansing Oil + Centella Cleansing Foam routine"/>
        <s v="Sunscreen Comparison"/>
        <s v="Soondy Centella Asiatica Essnece, Glacier Waster Hyaluronic Acid Serum, Bean Essence Layering"/>
        <s v="#4 Centella Sun Cream"/>
        <s v="Temps forts "/>
        <s v="skin care for beginners "/>
        <s v="sun serum real"/>
        <s v="lash idole"/>
        <s v="Masque"/>
        <s v="Tone brightening "/>
        <s v="PAS REÇU"/>
        <s v="Bean Essence"/>
        <s v=" Precision Sculpt"/>
        <s v="GLOW Project (Hyalu-Cica sun Serum + Probio-cica ampoule)"/>
        <s v="Halloween"/>
        <n v="3.0"/>
        <s v="SPF"/>
        <s v="LIP IDÔLE 💄"/>
        <s v="Juicy Tubes"/>
        <s v="Apres Collection Calendrier"/>
        <s v="Candy Glow"/>
        <s v="LASH IDÔLE"/>
        <s v="Saint Valentin"/>
        <s v="Produits Cultes"/>
        <s v="Best sellers"/>
        <s v="Loveshin &amp; Candy Glaze "/>
        <s v="2024 Black Friday Product Review"/>
        <s v="fev"/>
        <s v="creme solaire"/>
        <s v="Nice Work"/>
        <s v="Calendrier"/>
        <s v="Mascara Flutter Extension"/>
        <s v="Loveshine Plumping Lip Gloss"/>
        <s v="SHEIN Grosses Remises Day ! 🔥 Réglez votre rappel maintenant !"/>
        <s v="Fenty (Nice Work)"/>
        <s v="Hydra Jelly Pocket Lip Jam Campaign"/>
        <s v="Brumes"/>
        <s v="Pimple Patch"/>
        <s v="sérum + gel crème hyalu B5"/>
        <s v="Bell Hypoallergenique"/>
        <s v="CandyGlow"/>
        <s v="Patch"/>
        <s v="Revitalift IG"/>
        <s v="Noël"/>
        <s v="Sélection"/>
        <s v="Lissage mars"/>
        <s v="Mascara"/>
        <s v="Poremizing Light Gel Cream"/>
        <s v="Skincare Routine for Beginners"/>
        <s v="Collagen Glass Skin Mask"/>
        <s v="GLOW Project (Hyalu-Cica sun Serum + Probio-cica ampoule) "/>
        <s v="Cica-Hyal Sun Stick"/>
        <s v="#5 Bean Cleansing Oil + Centella Cleansing Foam routine"/>
        <s v="Centella Clenasing Foam + Centella Toner Pad + Soondy Centella Asiatica Essnece + Bean Cream + Centella Sun Cream Routine"/>
        <s v="Tone-Brightening Ampoule "/>
        <s v="#6 Soondy Centella Asiatica Essnece, Glacier Waster Hyaluronic Acid Serum, Bean Essence Layering"/>
        <s v="#7 Bean Cream"/>
        <s v="#8 Soybean Milk Serum"/>
        <s v="#9 Cica-Hyal Sun Stick"/>
      </sharedItems>
    </cacheField>
    <cacheField name=" Brouillon draft">
      <sharedItems containsDate="1" containsBlank="1" containsMixedTypes="1">
        <d v="2024-02-29T00:00:00Z"/>
        <d v="2024-03-14T00:00:00Z"/>
        <d v="2024-04-03T00:00:00Z"/>
        <d v="2024-04-05T00:00:00Z"/>
        <d v="2024-04-15T00:00:00Z"/>
        <d v="2024-04-19T00:00:00Z"/>
        <d v="2024-04-22T00:00:00Z"/>
        <d v="2024-04-26T00:00:00Z"/>
        <d v="2024-04-27T00:00:00Z"/>
        <d v="2024-04-28T00:00:00Z"/>
        <d v="2024-04-29T00:00:00Z"/>
        <d v="2024-05-06T00:00:00Z"/>
        <d v="2024-05-07T00:00:00Z"/>
        <d v="2024-05-08T00:00:00Z"/>
        <d v="2024-05-09T00:00:00Z"/>
        <d v="2024-05-12T00:00:00Z"/>
        <d v="2024-05-13T00:00:00Z"/>
        <d v="2024-05-15T00:00:00Z"/>
        <d v="2024-05-19T00:00:00Z"/>
        <d v="2024-05-24T00:00:00Z"/>
        <d v="2024-05-25T00:00:00Z"/>
        <d v="2024-05-26T00:00:00Z"/>
        <d v="2024-05-30T00:00:00Z"/>
        <d v="2024-06-12T00:00:00Z"/>
        <d v="2024-06-13T00:00:00Z"/>
        <d v="2024-06-14T00:00:00Z"/>
        <d v="2024-06-15T00:00:00Z"/>
        <d v="2024-06-18T00:00:00Z"/>
        <d v="2024-06-16T00:00:00Z"/>
        <d v="2024-06-17T00:00:00Z"/>
        <d v="2024-06-19T00:00:00Z"/>
        <d v="2024-06-20T00:00:00Z"/>
        <d v="2024-06-22T00:00:00Z"/>
        <d v="2024-06-23T00:00:00Z"/>
        <d v="2024-06-24T00:00:00Z"/>
        <d v="2024-06-25T00:00:00Z"/>
        <d v="2024-06-29T00:00:00Z"/>
        <d v="2024-07-02T00:00:00Z"/>
        <d v="2024-07-06T00:00:00Z"/>
        <d v="2024-07-07T00:00:00Z"/>
        <d v="2024-07-08T00:00:00Z"/>
        <d v="2024-07-10T00:00:00Z"/>
        <d v="2024-07-13T00:00:00Z"/>
        <d v="2024-07-17T00:00:00Z"/>
        <d v="2024-07-18T00:00:00Z"/>
        <d v="2024-07-19T00:00:00Z"/>
        <d v="2024-07-21T00:00:00Z"/>
        <d v="2024-07-22T00:00:00Z"/>
        <d v="2024-07-27T00:00:00Z"/>
        <d v="2024-07-29T00:00:00Z"/>
        <d v="2024-07-28T00:00:00Z"/>
        <d v="2024-07-30T00:00:00Z"/>
        <m/>
        <d v="2024-08-02T00:00:00Z"/>
        <d v="2024-08-07T00:00:00Z"/>
        <d v="2024-08-08T00:00:00Z"/>
        <d v="2024-08-11T00:00:00Z"/>
        <d v="2024-08-13T00:00:00Z"/>
        <d v="2024-08-14T00:00:00Z"/>
        <d v="2024-08-16T00:00:00Z"/>
        <d v="2024-08-18T00:00:00Z"/>
        <d v="2024-08-19T00:00:00Z"/>
        <d v="2024-08-20T00:00:00Z"/>
        <d v="2024-08-21T00:00:00Z"/>
        <d v="2024-08-22T00:00:00Z"/>
        <d v="2024-08-25T00:00:00Z"/>
        <d v="2024-08-28T00:00:00Z"/>
        <d v="2024-08-29T00:00:00Z"/>
        <d v="2024-08-30T00:00:00Z"/>
        <d v="2024-09-01T00:00:00Z"/>
        <d v="2024-09-02T00:00:00Z"/>
        <d v="2024-09-04T00:00:00Z"/>
        <d v="2024-09-08T00:00:00Z"/>
        <d v="2024-09-10T00:00:00Z"/>
        <d v="2024-09-12T00:00:00Z"/>
        <d v="2024-08-23T00:00:00Z"/>
        <d v="2024-09-13T00:00:00Z"/>
        <d v="2024-09-14T00:00:00Z"/>
        <d v="2024-09-16T00:00:00Z"/>
        <d v="2024-09-19T00:00:00Z"/>
        <d v="2024-09-22T00:00:00Z"/>
        <d v="2025-06-10T00:00:00Z"/>
        <d v="2024-09-23T00:00:00Z"/>
        <d v="2024-09-24T00:00:00Z"/>
        <d v="2024-09-28T00:00:00Z"/>
        <d v="2024-09-29T00:00:00Z"/>
        <d v="2024-10-06T00:00:00Z"/>
        <d v="2024-10-09T00:00:00Z"/>
        <d v="2024-10-07T00:00:00Z"/>
        <d v="2024-10-11T00:00:00Z"/>
        <d v="2024-10-16T00:00:00Z"/>
        <d v="2024-10-15T00:00:00Z"/>
        <d v="2024-09-21T00:00:00Z"/>
        <d v="2024-10-17T00:00:00Z"/>
        <d v="2024-10-18T00:00:00Z"/>
        <d v="2024-10-23T00:00:00Z"/>
        <d v="2025-06-11T00:00:00Z"/>
        <d v="2024-10-25T00:00:00Z"/>
        <d v="2024-10-27T00:00:00Z"/>
        <d v="2024-11-02T00:00:00Z"/>
        <d v="2024-11-03T00:00:00Z"/>
        <d v="2024-10-28T00:00:00Z"/>
        <d v="2024-10-30T00:00:00Z"/>
        <d v="2024-11-04T00:00:00Z"/>
        <d v="2024-11-05T00:00:00Z"/>
        <d v="2025-06-15T00:00:00Z"/>
        <d v="2024-10-24T00:00:00Z"/>
        <d v="2024-11-07T00:00:00Z"/>
        <d v="2024-11-10T00:00:00Z"/>
        <d v="2024-11-12T00:00:00Z"/>
        <d v="2024-11-06T00:00:00Z"/>
        <d v="2024-11-17T00:00:00Z"/>
        <d v="2024-11-11T00:00:00Z"/>
        <d v="2024-11-18T00:00:00Z"/>
        <d v="2024-11-14T00:00:00Z"/>
        <d v="2024-11-15T00:00:00Z"/>
        <d v="2024-11-19T00:00:00Z"/>
        <d v="2024-11-22T00:00:00Z"/>
        <d v="2024-11-20T00:00:00Z"/>
        <d v="2024-11-21T00:00:00Z"/>
        <d v="2024-11-24T00:00:00Z"/>
        <d v="2024-11-25T00:00:00Z"/>
        <d v="2024-11-28T00:00:00Z"/>
        <d v="2024-11-26T00:00:00Z"/>
        <d v="2024-11-27T00:00:00Z"/>
        <d v="2024-12-11T00:00:00Z"/>
        <s v="ANNULÉ NE PAS SUPP"/>
        <d v="2024-12-14T00:00:00Z"/>
        <d v="2024-12-15T00:00:00Z"/>
        <d v="2024-11-29T00:00:00Z"/>
        <d v="2024-12-03T00:00:00Z"/>
        <d v="2024-12-16T00:00:00Z"/>
        <d v="2025-02-11T00:00:00Z"/>
        <d v="2024-12-19T00:00:00Z"/>
        <d v="2024-12-20T00:00:00Z"/>
        <d v="2024-12-22T00:00:00Z"/>
        <d v="2025-01-03T00:00:00Z"/>
        <d v="2024-12-25T00:00:00Z"/>
        <d v="2024-12-27T00:00:00Z"/>
        <d v="2025-01-20T00:00:00Z"/>
        <d v="2024-12-12T00:00:00Z"/>
        <d v="2025-01-02T00:00:00Z"/>
        <d v="2025-01-10T00:00:00Z"/>
        <d v="2025-03-07T00:00:00Z"/>
        <d v="2025-01-21T00:00:00Z"/>
        <d v="2025-01-24T00:00:00Z"/>
        <d v="2025-01-26T00:00:00Z"/>
        <d v="2025-01-28T00:00:00Z"/>
        <d v="2025-01-30T00:00:00Z"/>
        <d v="2025-01-29T00:00:00Z"/>
        <d v="2025-02-05T00:00:00Z"/>
        <d v="2025-01-31T00:00:00Z"/>
        <d v="2025-02-03T00:00:00Z"/>
        <d v="2025-02-06T00:00:00Z"/>
        <d v="2025-02-13T00:00:00Z"/>
        <d v="2025-02-12T00:00:00Z"/>
        <d v="2025-02-14T00:00:00Z"/>
        <d v="2025-02-15T00:00:00Z"/>
        <d v="2025-02-16T00:00:00Z"/>
        <d v="2025-02-20T00:00:00Z"/>
        <d v="2025-02-19T00:00:00Z"/>
        <d v="2025-02-21T00:00:00Z"/>
        <d v="2025-02-23T00:00:00Z"/>
        <d v="2025-02-27T00:00:00Z"/>
        <d v="2025-02-24T00:00:00Z"/>
        <d v="2025-03-01T00:00:00Z"/>
        <d v="2025-02-25T00:00:00Z"/>
        <d v="2025-03-12T00:00:00Z"/>
        <d v="2025-03-02T00:00:00Z"/>
        <d v="2025-02-28T00:00:00Z"/>
        <d v="2025-03-05T00:00:00Z"/>
        <d v="2025-03-08T00:00:00Z"/>
        <d v="2025-04-16T00:00:00Z"/>
        <d v="2025-03-09T00:00:00Z"/>
        <d v="2025-03-10T00:00:00Z"/>
        <d v="2025-03-11T00:00:00Z"/>
        <d v="2025-03-14T00:00:00Z"/>
        <d v="2025-04-22T00:00:00Z"/>
        <d v="2025-03-16T00:00:00Z"/>
        <d v="2025-03-17T00:00:00Z"/>
        <d v="2025-03-13T00:00:00Z"/>
        <d v="2025-03-18T00:00:00Z"/>
        <d v="2025-03-23T00:00:00Z"/>
        <d v="2025-03-24T00:00:00Z"/>
        <d v="2025-04-20T00:00:00Z"/>
        <d v="2025-03-26T00:00:00Z"/>
        <d v="2025-03-19T00:00:00Z"/>
        <d v="2025-03-20T00:00:00Z"/>
        <d v="2025-04-01T00:00:00Z"/>
        <d v="2025-03-27T00:00:00Z"/>
        <d v="2025-03-30T00:00:00Z"/>
        <d v="2025-04-02T00:00:00Z"/>
        <d v="2025-04-04T00:00:00Z"/>
        <d v="2025-04-03T00:00:00Z"/>
        <d v="2025-04-10T00:00:00Z"/>
        <d v="2025-04-11T00:00:00Z"/>
        <d v="2025-04-14T00:00:00Z"/>
        <d v="2025-05-08T00:00:00Z"/>
        <d v="2025-04-13T00:00:00Z"/>
        <d v="2025-04-15T00:00:00Z"/>
        <d v="2025-04-17T00:00:00Z"/>
        <d v="2025-04-18T00:00:00Z"/>
        <d v="2025-04-19T00:00:00Z"/>
        <d v="2025-05-26T00:00:00Z"/>
        <d v="2025-04-23T00:00:00Z"/>
        <d v="2025-04-24T00:00:00Z"/>
        <d v="2025-04-26T00:00:00Z"/>
        <d v="2025-04-27T00:00:00Z"/>
        <d v="2025-04-28T00:00:00Z"/>
        <d v="2025-04-29T00:00:00Z"/>
        <d v="2025-05-04T00:00:00Z"/>
        <d v="2025-04-30T00:00:00Z"/>
        <d v="2025-05-01T00:00:00Z"/>
        <d v="2025-05-06T00:00:00Z"/>
        <d v="2025-05-07T00:00:00Z"/>
        <d v="2025-05-03T00:00:00Z"/>
        <d v="2025-05-05T00:00:00Z"/>
        <d v="2025-06-29T00:00:00Z"/>
        <d v="2025-06-30T00:00:00Z"/>
        <d v="2025-05-14T00:00:00Z"/>
        <d v="2025-05-09T00:00:00Z"/>
        <d v="2025-05-13T00:00:00Z"/>
        <d v="2025-07-03T00:00:00Z"/>
        <d v="2025-05-17T00:00:00Z"/>
        <d v="2025-05-15T00:00:00Z"/>
        <d v="2025-05-16T00:00:00Z"/>
        <d v="2025-05-21T00:00:00Z"/>
        <d v="2025-05-22T00:00:00Z"/>
        <d v="2025-05-24T00:00:00Z"/>
        <d v="2025-07-07T00:00:00Z"/>
        <d v="2025-07-15T00:00:00Z"/>
        <d v="2025-06-01T00:00:00Z"/>
        <d v="2025-06-02T00:00:00Z"/>
        <d v="2025-05-28T00:00:00Z"/>
        <d v="2025-05-30T00:00:00Z"/>
        <d v="2025-06-05T00:00:00Z"/>
        <d v="2025-06-08T00:00:00Z"/>
        <d v="2025-06-12T00:00:00Z"/>
        <d v="2024-12-04T00:00:00Z"/>
        <d v="2025-06-13T00:00:00Z"/>
        <d v="2025-06-24T00:00:00Z"/>
        <d v="2025-06-17T00:00:00Z"/>
        <d v="2025-06-19T00:00:00Z"/>
        <d v="2025-06-20T00:00:00Z"/>
        <d v="2025-06-22T00:00:00Z"/>
        <d v="2025-06-25T00:00:00Z"/>
        <d v="2025-05-27T00:00:00Z"/>
        <d v="2025-06-07T00:00:00Z"/>
        <d v="2025-06-27T00:00:00Z"/>
        <d v="2025-07-02T00:00:00Z"/>
        <d v="2025-07-01T00:00:00Z"/>
        <d v="2025-07-24T00:00:00Z"/>
        <d v="2025-02-26T00:00:00Z"/>
        <d v="2025-01-11T00:00:00Z"/>
        <d v="2025-06-21T00:00:00Z"/>
        <d v="2025-07-19T00:00:00Z"/>
        <d v="2025-06-04T00:00:00Z"/>
        <d v="2025-07-08T00:00:00Z"/>
        <d v="2025-07-05T00:00:00Z"/>
        <d v="2025-07-06T00:00:00Z"/>
        <d v="2025-07-10T00:00:00Z"/>
        <d v="2025-07-04T00:00:00Z"/>
        <d v="2025-07-09T00:00:00Z"/>
        <d v="2025-07-14T00:00:00Z"/>
        <d v="2025-07-11T00:00:00Z"/>
        <d v="2025-07-13T00:00:00Z"/>
        <d v="2025-07-17T00:00:00Z"/>
        <d v="2025-07-23T00:00:00Z"/>
        <d v="2025-07-18T00:00:00Z"/>
        <d v="2025-07-20T00:00:00Z"/>
        <d v="2025-07-22T00:00:00Z"/>
        <d v="2025-07-25T00:00:00Z"/>
        <d v="2025-08-03T00:00:00Z"/>
        <s v=" "/>
        <d v="2025-07-26T00:00:00Z"/>
        <d v="2025-07-27T00:00:00Z"/>
        <d v="2025-07-28T00:00:00Z"/>
        <d v="2025-07-29T00:00:00Z"/>
        <d v="2025-06-26T00:00:00Z"/>
        <d v="2025-07-30T00:00:00Z"/>
        <d v="2025-07-31T00:00:00Z"/>
        <d v="2025-08-04T00:00:00Z"/>
        <d v="2025-08-05T00:00:00Z"/>
        <d v="2025-08-10T00:00:00Z"/>
        <d v="2025-08-14T00:00:00Z"/>
        <d v="2025-08-18T00:00:00Z"/>
        <d v="2025-08-19T00:00:00Z"/>
        <d v="2025-08-20T00:00:00Z"/>
        <d v="2025-08-25T00:00:00Z"/>
        <d v="2025-09-01T00:00:00Z"/>
        <d v="2025-09-02T00:00:00Z"/>
        <d v="2025-09-14T00:00:00Z"/>
        <d v="2025-09-28T00:00:00Z"/>
      </sharedItems>
    </cacheField>
    <cacheField name="Date Début">
      <sharedItems containsDate="1" containsBlank="1" containsMixedTypes="1">
        <m/>
        <d v="2024-03-19T00:00:00Z"/>
        <d v="2024-05-14T00:00:00Z"/>
        <d v="2024-05-25T00:00:00Z"/>
        <d v="2024-05-27T00:00:00Z"/>
        <d v="2024-06-10T00:00:00Z"/>
        <d v="2024-06-18T00:00:00Z"/>
        <d v="2024-06-19T00:00:00Z"/>
        <d v="2024-06-16T00:00:00Z"/>
        <d v="2024-06-24T00:00:00Z"/>
        <d v="2024-07-06T00:00:00Z"/>
        <d v="2024-06-17T00:00:00Z"/>
        <d v="2024-07-01T00:00:00Z"/>
        <d v="2024-07-10T00:00:00Z"/>
        <d v="2024-06-25T00:00:00Z"/>
        <d v="2024-07-19T00:00:00Z"/>
        <d v="2024-08-18T00:00:00Z"/>
        <d v="2024-09-02T00:00:00Z"/>
        <d v="2024-09-16T00:00:00Z"/>
        <d v="2024-10-20T00:00:00Z"/>
        <d v="2025-05-01T00:00:00Z"/>
        <d v="2024-11-01T00:00:00Z"/>
        <d v="2024-11-13T00:00:00Z"/>
        <d v="2024-11-10T00:00:00Z"/>
        <d v="2024-12-10T00:00:00Z"/>
        <d v="2025-01-31T00:00:00Z"/>
        <d v="2025-02-03T00:00:00Z"/>
        <d v="2025-02-13T00:00:00Z"/>
        <d v="2025-01-23T00:00:00Z"/>
        <d v="2025-03-01T00:00:00Z"/>
        <d v="2025-02-28T00:00:00Z"/>
        <d v="2025-02-15T00:00:00Z"/>
        <d v="2025-05-21T00:00:00Z"/>
        <d v="2025-06-05T00:00:00Z"/>
        <d v="2025-07-16T00:00:00Z"/>
        <d v="2025-06-22T00:00:00Z"/>
        <d v="2025-07-01T00:00:00Z"/>
        <s v=" "/>
        <d v="2025-01-09T00:00:00Z"/>
        <d v="2024-09-13T00:00:00Z"/>
        <d v="2024-10-16T00:00:00Z"/>
        <d v="2024-11-18T00:00:00Z"/>
        <d v="2024-01-11T00:00:00Z"/>
        <d v="2024-12-06T00:00:00Z"/>
        <d v="2025-02-27T00:00:00Z"/>
        <d v="2025-04-08T00:00:00Z"/>
        <d v="2025-01-27T00:00:00Z"/>
        <d v="2024-11-11T00:00:00Z"/>
        <d v="2024-11-28T00:00:00Z"/>
        <d v="2024-12-21T00:00:00Z"/>
        <d v="2025-01-13T00:00:00Z"/>
        <d v="2025-02-11T00:00:00Z"/>
        <d v="2025-03-06T00:00:00Z"/>
        <d v="2024-04-01T00:00:00Z"/>
        <d v="2024-04-08T00:00:00Z"/>
        <d v="2024-02-29T00:00:00Z"/>
        <d v="2024-04-18T00:00:00Z"/>
        <d v="2024-06-07T00:00:00Z"/>
        <d v="2024-03-21T00:00:00Z"/>
        <d v="2024-06-20T00:00:00Z"/>
        <d v="2024-07-08T00:00:00Z"/>
        <d v="2024-07-29T00:00:00Z"/>
        <d v="2024-09-01T00:00:00Z"/>
        <d v="2024-09-12T00:00:00Z"/>
        <d v="2024-09-23T00:00:00Z"/>
        <d v="2024-09-28T00:00:00Z"/>
        <d v="2024-09-30T00:00:00Z"/>
        <d v="2024-10-01T00:00:00Z"/>
        <d v="2024-10-12T00:00:00Z"/>
        <d v="2024-11-06T00:00:00Z"/>
        <d v="2024-12-04T00:00:00Z"/>
        <d v="2025-01-16T00:00:00Z"/>
        <d v="2025-01-20T00:00:00Z"/>
        <d v="2024-04-15T00:00:00Z"/>
        <d v="2024-03-26T00:00:00Z"/>
        <d v="2024-04-20T00:00:00Z"/>
        <d v="2024-08-26T00:00:00Z"/>
        <d v="2024-02-28T00:00:00Z"/>
        <d v="2024-04-05T00:00:00Z"/>
        <d v="2024-09-26T00:00:00Z"/>
        <d v="2024-03-01T00:00:00Z"/>
        <d v="2024-10-24T00:00:00Z"/>
        <d v="2024-08-29T00:00:00Z"/>
        <d v="2024-11-15T00:00:00Z"/>
        <d v="2025-02-25T00:00:00Z"/>
        <d v="2024-09-25T00:00:00Z"/>
        <d v="2024-08-06T00:00:00Z"/>
        <d v="2024-08-09T00:00:00Z"/>
        <d v="2024-12-12T00:00:00Z"/>
        <d v="2025-03-25T00:00:00Z"/>
        <d v="2024-07-27T00:00:00Z"/>
        <d v="2024-04-13T00:00:00Z"/>
        <d v="2023-03-23T00:00:00Z"/>
        <d v="2024-08-16T00:00:00Z"/>
        <d v="2024-11-04T00:00:00Z"/>
        <d v="2024-10-29T00:00:00Z"/>
        <d v="2024-01-06T00:00:00Z"/>
        <d v="2025-01-24T00:00:00Z"/>
        <d v="2025-01-29T00:00:00Z"/>
        <d v="2025-02-05T00:00:00Z"/>
        <d v="2024-03-20T00:00:00Z"/>
        <d v="2024-09-14T00:00:00Z"/>
        <d v="2024-10-10T00:00:00Z"/>
        <d v="2024-10-02T00:00:00Z"/>
        <d v="2024-06-14T00:00:00Z"/>
        <d v="2025-01-28T00:00:00Z"/>
        <d v="2024-06-01T00:00:00Z"/>
        <d v="2024-06-11T00:00:00Z"/>
        <d v="2024-12-03T00:00:00Z"/>
        <d v="2024-04-04T00:00:00Z"/>
        <d v="2024-06-27T00:00:00Z"/>
        <d v="2024-07-18T00:00:00Z"/>
        <d v="2024-10-28T00:00:00Z"/>
        <n v="-619148.0"/>
        <d v="2024-10-30T00:00:00Z"/>
        <d v="2024-12-11T00:00:00Z"/>
        <d v="2024-12-02T00:00:00Z"/>
        <d v="2025-01-25T00:00:00Z"/>
        <d v="2024-06-08T00:00:00Z"/>
        <d v="2024-10-25T00:00:00Z"/>
        <d v="2024-03-22T00:00:00Z"/>
        <d v="2024-07-26T00:00:00Z"/>
        <d v="2024-11-08T00:00:00Z"/>
        <d v="2025-09-08T00:00:00Z"/>
        <d v="2025-03-26T00:00:00Z"/>
        <d v="2025-08-10T00:00:00Z"/>
      </sharedItems>
    </cacheField>
    <cacheField name="Date Fin">
      <sharedItems containsDate="1" containsBlank="1" containsMixedTypes="1">
        <d v="2024-03-08T00:00:00Z"/>
        <d v="2024-03-19T00:00:00Z"/>
        <m/>
        <d v="2024-04-06T00:00:00Z"/>
        <d v="2024-04-09T00:00:00Z"/>
        <d v="2024-04-19T00:00:00Z"/>
        <d v="2024-04-22T00:00:00Z"/>
        <d v="2024-04-18T00:00:00Z"/>
        <d v="2024-04-26T00:00:00Z"/>
        <d v="2024-05-02T00:00:00Z"/>
        <d v="2024-05-01T00:00:00Z"/>
        <d v="2024-05-04T00:00:00Z"/>
        <d v="2024-05-08T00:00:00Z"/>
        <d v="2024-05-07T00:00:00Z"/>
        <d v="2024-05-10T00:00:00Z"/>
        <d v="2024-05-13T00:00:00Z"/>
        <d v="2024-05-18T00:00:00Z"/>
        <d v="2024-05-14T00:00:00Z"/>
        <d v="2024-05-17T00:00:00Z"/>
        <d v="2024-05-23T00:00:00Z"/>
        <d v="2024-05-27T00:00:00Z"/>
        <d v="2024-05-29T00:00:00Z"/>
        <d v="2024-05-30T00:00:00Z"/>
        <d v="2024-05-31T00:00:00Z"/>
        <d v="2024-06-16T00:00:00Z"/>
        <d v="2024-06-17T00:00:00Z"/>
        <d v="2024-06-20T00:00:00Z"/>
        <d v="2024-06-22T00:00:00Z"/>
        <d v="2024-06-19T00:00:00Z"/>
        <d v="2024-06-23T00:00:00Z"/>
        <d v="2024-06-25T00:00:00Z"/>
        <d v="2024-06-24T00:00:00Z"/>
        <d v="2024-06-29T00:00:00Z"/>
        <d v="2024-07-06T00:00:00Z"/>
        <d v="2024-06-28T00:00:00Z"/>
        <d v="2024-07-01T00:00:00Z"/>
        <d v="2024-06-26T00:00:00Z"/>
        <d v="2024-06-30T00:00:00Z"/>
        <d v="2024-07-10T00:00:00Z"/>
        <d v="2024-07-07T00:00:00Z"/>
        <d v="2024-07-14T00:00:00Z"/>
        <d v="2024-07-12T00:00:00Z"/>
        <d v="2024-07-23T00:00:00Z"/>
        <d v="2024-07-24T00:00:00Z"/>
        <d v="2024-07-22T00:00:00Z"/>
        <d v="2024-07-21T00:00:00Z"/>
        <d v="2024-07-25T00:00:00Z"/>
        <d v="2024-09-06T00:00:00Z"/>
        <d v="2024-07-26T00:00:00Z"/>
        <d v="2024-08-01T00:00:00Z"/>
        <d v="2024-09-08T00:00:00Z"/>
        <d v="2024-08-06T00:00:00Z"/>
        <d v="2024-08-03T00:00:00Z"/>
        <d v="2024-08-02T00:00:00Z"/>
        <d v="2024-07-20T00:00:00Z"/>
        <d v="2024-07-30T00:00:00Z"/>
        <d v="2024-08-09T00:00:00Z"/>
        <d v="2024-08-16T00:00:00Z"/>
        <d v="2024-08-08T00:00:00Z"/>
        <d v="2024-08-15T00:00:00Z"/>
        <d v="2024-09-07T00:00:00Z"/>
        <d v="2024-08-22T00:00:00Z"/>
        <d v="2024-08-25T00:00:00Z"/>
        <d v="2024-08-18T00:00:00Z"/>
        <d v="2024-08-21T00:00:00Z"/>
        <d v="2024-08-20T00:00:00Z"/>
        <d v="2024-08-23T00:00:00Z"/>
        <d v="2024-09-02T00:00:00Z"/>
        <d v="2024-08-28T00:00:00Z"/>
        <d v="2024-08-24T00:00:00Z"/>
        <d v="2024-08-30T00:00:00Z"/>
        <d v="2024-09-13T00:00:00Z"/>
        <d v="2024-09-18T00:00:00Z"/>
        <d v="2024-09-19T00:00:00Z"/>
        <d v="2024-09-09T00:00:00Z"/>
        <d v="2024-10-02T00:00:00Z"/>
        <d v="2024-10-11T00:00:00Z"/>
        <d v="2024-09-23T00:00:00Z"/>
        <d v="2024-09-21T00:00:00Z"/>
        <d v="2024-10-06T00:00:00Z"/>
        <d v="2024-09-20T00:00:00Z"/>
        <d v="2024-08-10T00:00:00Z"/>
        <d v="2024-09-25T00:00:00Z"/>
        <d v="2025-06-15T00:00:00Z"/>
        <d v="2024-09-30T00:00:00Z"/>
        <d v="2024-09-26T00:00:00Z"/>
        <d v="2024-10-03T00:00:00Z"/>
        <d v="2024-11-02T00:00:00Z"/>
        <d v="2024-11-15T00:00:00Z"/>
        <d v="2024-11-01T00:00:00Z"/>
        <d v="2024-11-08T00:00:00Z"/>
        <d v="2024-10-27T00:00:00Z"/>
        <d v="2024-10-26T00:00:00Z"/>
        <d v="2024-10-28T00:00:00Z"/>
        <d v="2025-06-14T00:00:00Z"/>
        <d v="2024-11-05T00:00:00Z"/>
        <d v="2024-11-16T00:00:00Z"/>
        <d v="2024-11-10T00:00:00Z"/>
        <d v="2024-11-12T00:00:00Z"/>
        <d v="2024-11-11T00:00:00Z"/>
        <d v="2025-06-17T00:00:00Z"/>
        <d v="2024-10-22T00:00:00Z"/>
        <d v="2024-11-07T00:00:00Z"/>
        <d v="2025-02-10T00:00:00Z"/>
        <d v="2024-11-09T00:00:00Z"/>
        <d v="2024-11-29T00:00:00Z"/>
        <d v="2024-12-03T00:00:00Z"/>
        <d v="2024-11-19T00:00:00Z"/>
        <d v="2024-11-30T00:00:00Z"/>
        <d v="2024-11-20T00:00:00Z"/>
        <d v="2024-11-27T00:00:00Z"/>
        <d v="2024-11-22T00:00:00Z"/>
        <d v="2024-11-26T00:00:00Z"/>
        <d v="2024-12-02T00:00:00Z"/>
        <d v="2024-12-09T00:00:00Z"/>
        <d v="2024-11-28T00:00:00Z"/>
        <d v="2024-12-15T00:00:00Z"/>
        <d v="2024-12-17T00:00:00Z"/>
        <d v="2024-12-01T00:00:00Z"/>
        <d v="2024-12-10T00:00:00Z"/>
        <d v="2025-03-05T00:00:00Z"/>
        <d v="2024-12-25T00:00:00Z"/>
        <d v="2024-12-19T00:00:00Z"/>
        <d v="2024-12-29T00:00:00Z"/>
        <d v="2025-01-03T00:00:00Z"/>
        <d v="2025-01-09T00:00:00Z"/>
        <d v="2025-01-10T00:00:00Z"/>
        <d v="2025-01-23T00:00:00Z"/>
        <d v="2025-01-24T00:00:00Z"/>
        <d v="2025-01-25T00:00:00Z"/>
        <d v="2025-01-05T00:00:00Z"/>
        <d v="2025-01-20T00:00:00Z"/>
        <d v="2025-01-13T00:00:00Z"/>
        <d v="2025-03-10T00:00:00Z"/>
        <d v="2025-01-29T00:00:00Z"/>
        <d v="2025-01-15T00:00:00Z"/>
        <d v="2025-01-30T00:00:00Z"/>
        <d v="2025-01-22T00:00:00Z"/>
        <d v="2025-02-07T00:00:00Z"/>
        <d v="2025-02-19T00:00:00Z"/>
        <d v="2025-01-31T00:00:00Z"/>
        <d v="2025-02-04T00:00:00Z"/>
        <d v="2025-02-05T00:00:00Z"/>
        <d v="2025-02-14T00:00:00Z"/>
        <d v="2025-02-08T00:00:00Z"/>
        <d v="2025-02-16T00:00:00Z"/>
        <d v="2025-02-20T00:00:00Z"/>
        <d v="2025-02-21T00:00:00Z"/>
        <d v="2025-02-26T00:00:00Z"/>
        <d v="2025-02-27T00:00:00Z"/>
        <d v="2025-02-22T00:00:00Z"/>
        <d v="2025-02-25T00:00:00Z"/>
        <d v="2025-02-13T00:00:00Z"/>
        <d v="2025-03-31T00:00:00Z"/>
        <d v="2025-03-04T00:00:00Z"/>
        <d v="2025-03-15T00:00:00Z"/>
        <d v="2025-03-12T00:00:00Z"/>
        <d v="2025-04-21T00:00:00Z"/>
        <d v="2025-03-13T00:00:00Z"/>
        <d v="2025-03-16T00:00:00Z"/>
        <d v="2025-03-18T00:00:00Z"/>
        <d v="2025-03-22T00:00:00Z"/>
        <d v="2025-04-23T00:00:00Z"/>
        <d v="2025-03-29T00:00:00Z"/>
        <d v="2025-03-24T00:00:00Z"/>
        <d v="2025-03-14T00:00:00Z"/>
        <d v="2025-03-19T00:00:00Z"/>
        <d v="2025-03-30T00:00:00Z"/>
        <d v="2025-04-26T00:00:00Z"/>
        <d v="2025-03-21T00:00:00Z"/>
        <d v="2025-05-24T00:00:00Z"/>
        <d v="2025-04-01T00:00:00Z"/>
        <d v="2025-04-04T00:00:00Z"/>
        <d v="2025-03-28T00:00:00Z"/>
        <d v="2025-04-06T00:00:00Z"/>
        <d v="2025-04-07T00:00:00Z"/>
        <d v="2025-02-28T00:00:00Z"/>
        <d v="2025-01-14T00:00:00Z"/>
        <d v="2025-04-10T00:00:00Z"/>
        <d v="2025-03-26T00:00:00Z"/>
        <d v="2025-04-09T00:00:00Z"/>
        <d v="2025-04-12T00:00:00Z"/>
        <d v="2025-04-16T00:00:00Z"/>
        <d v="2025-04-19T00:00:00Z"/>
        <d v="2025-05-09T00:00:00Z"/>
        <d v="2025-04-18T00:00:00Z"/>
        <d v="2025-04-25T00:00:00Z"/>
        <d v="2025-04-24T00:00:00Z"/>
        <d v="2025-04-27T00:00:00Z"/>
        <d v="2025-05-19T00:00:00Z"/>
        <d v="2025-05-30T00:00:00Z"/>
        <d v="2025-04-29T00:00:00Z"/>
        <d v="2025-05-01T00:00:00Z"/>
        <d v="2025-04-30T00:00:00Z"/>
        <d v="2025-05-31T00:00:00Z"/>
        <s v="31/04/2025"/>
        <d v="2025-03-06T00:00:00Z"/>
        <d v="2025-05-04T00:00:00Z"/>
        <d v="2025-05-05T00:00:00Z"/>
        <d v="2025-05-02T00:00:00Z"/>
        <d v="2025-05-14T00:00:00Z"/>
        <d v="2025-05-23T00:00:00Z"/>
        <d v="2025-05-08T00:00:00Z"/>
        <d v="2025-05-21T00:00:00Z"/>
        <d v="2025-05-10T00:00:00Z"/>
        <d v="2025-05-16T00:00:00Z"/>
        <d v="2025-05-25T00:00:00Z"/>
        <d v="2025-06-22T00:00:00Z"/>
        <d v="2025-06-30T00:00:00Z"/>
        <d v="2025-05-20T00:00:00Z"/>
        <d v="2025-05-15T00:00:00Z"/>
        <d v="2025-05-17T00:00:00Z"/>
        <d v="2025-07-08T00:00:00Z"/>
        <d v="2025-05-29T00:00:00Z"/>
        <d v="2025-05-22T00:00:00Z"/>
        <d v="2025-07-13T00:00:00Z"/>
        <d v="2025-07-16T00:00:00Z"/>
        <d v="2025-01-17T00:00:00Z"/>
        <d v="2025-06-10T00:00:00Z"/>
        <d v="2025-06-04T00:00:00Z"/>
        <d v="2025-06-05T00:00:00Z"/>
        <d v="2025-02-11T00:00:00Z"/>
        <d v="2025-06-11T00:00:00Z"/>
        <d v="2025-06-13T00:00:00Z"/>
        <d v="2025-04-22T00:00:00Z"/>
        <d v="2025-06-25T00:00:00Z"/>
        <d v="2025-06-18T00:00:00Z"/>
        <d v="2025-06-26T00:00:00Z"/>
        <d v="2025-06-24T00:00:00Z"/>
        <d v="2025-06-29T00:00:00Z"/>
        <d v="2025-07-03T00:00:00Z"/>
        <d v="2025-06-20T00:00:00Z"/>
        <d v="2025-06-28T00:00:00Z"/>
        <d v="2025-07-26T00:00:00Z"/>
        <s v="31/06/2025"/>
        <d v="2025-07-07T00:00:00Z"/>
        <d v="2025-07-18T00:00:00Z"/>
        <d v="2025-06-27T00:00:00Z"/>
        <d v="2025-07-11T00:00:00Z"/>
        <d v="2025-07-04T00:00:00Z"/>
        <d v="2025-07-17T00:00:00Z"/>
        <d v="2025-07-05T00:00:00Z"/>
        <d v="2024-07-13T00:00:00Z"/>
        <d v="2025-07-10T00:00:00Z"/>
        <d v="2025-07-14T00:00:00Z"/>
        <d v="2025-07-19T00:00:00Z"/>
        <d v="2025-07-20T00:00:00Z"/>
        <d v="2025-07-22T00:00:00Z"/>
        <d v="2025-07-27T00:00:00Z"/>
        <d v="2025-07-23T00:00:00Z"/>
        <d v="2025-07-25T00:00:00Z"/>
        <d v="2025-08-15T00:00:00Z"/>
        <d v="2025-07-31T00:00:00Z"/>
        <d v="2025-07-28T00:00:00Z"/>
        <d v="2025-07-29T00:00:00Z"/>
        <d v="2025-08-10T00:00:00Z"/>
        <d v="2025-06-21T00:00:00Z"/>
        <d v="2025-01-28T00:00:00Z"/>
        <d v="2025-06-19T00:00:00Z"/>
        <d v="2024-10-04T00:00:00Z"/>
        <d v="2024-11-25T00:00:00Z"/>
        <d v="2025-08-07T00:00:00Z"/>
        <d v="2025-06-09T00:00:00Z"/>
        <d v="2024-10-10T00:00:00Z"/>
        <d v="2024-10-25T00:00:00Z"/>
        <d v="2024-10-30T00:00:00Z"/>
        <d v="2024-12-24T00:00:00Z"/>
        <d v="2024-07-08T00:00:00Z"/>
        <d v="2025-03-20T00:00:00Z"/>
        <d v="2025-04-28T00:00:00Z"/>
        <d v="2024-09-22T00:00:00Z"/>
        <d v="2024-12-22T00:00:00Z"/>
        <d v="2025-01-11T00:00:00Z"/>
        <d v="2025-03-17T00:00:00Z"/>
        <d v="2024-05-09T00:00:00Z"/>
        <d v="2024-12-28T00:00:00Z"/>
        <d v="2025-01-04T00:00:00Z"/>
        <d v="2024-04-14T00:00:00Z"/>
        <d v="2024-04-29T00:00:00Z"/>
        <d v="2024-05-11T00:00:00Z"/>
        <d v="2024-05-28T00:00:00Z"/>
        <d v="2024-06-02T00:00:00Z"/>
        <d v="2024-06-05T00:00:00Z"/>
        <d v="2024-06-07T00:00:00Z"/>
        <d v="2024-06-21T00:00:00Z"/>
        <d v="2024-07-03T00:00:00Z"/>
        <d v="2024-07-15T00:00:00Z"/>
        <d v="2024-07-28T00:00:00Z"/>
        <d v="2024-09-16T00:00:00Z"/>
        <d v="2024-09-27T00:00:00Z"/>
        <d v="2024-10-07T00:00:00Z"/>
        <d v="2024-10-20T00:00:00Z"/>
        <d v="2024-10-21T00:00:00Z"/>
        <d v="2025-02-06T00:00:00Z"/>
        <d v="2025-02-17T00:00:00Z"/>
        <d v="2025-02-23T00:00:00Z"/>
        <d v="2024-03-01T00:00:00Z"/>
        <d v="2024-12-12T00:00:00Z"/>
        <d v="2024-04-07T00:00:00Z"/>
        <d v="2024-04-11T00:00:00Z"/>
        <d v="2024-04-21T00:00:00Z"/>
        <d v="2024-05-19T00:00:00Z"/>
        <d v="2024-05-20T00:00:00Z"/>
        <d v="2024-08-11T00:00:00Z"/>
        <d v="2024-10-15T00:00:00Z"/>
        <d v="2025-02-15T00:00:00Z"/>
        <d v="2025-03-08T00:00:00Z"/>
        <d v="2024-07-16T00:00:00Z"/>
        <d v="2024-09-15T00:00:00Z"/>
        <d v="2024-10-17T00:00:00Z"/>
        <d v="2024-12-16T00:00:00Z"/>
        <d v="2024-11-14T00:00:00Z"/>
        <d v="2024-10-05T00:00:00Z"/>
        <d v="2025-03-11T00:00:00Z"/>
        <d v="2024-08-07T00:00:00Z"/>
        <d v="2024-08-26T00:00:00Z"/>
        <d v="2024-04-28T00:00:00Z"/>
        <d v="2024-05-03T00:00:00Z"/>
        <d v="2024-05-25T00:00:00Z"/>
        <d v="2025-01-02T00:00:00Z"/>
        <d v="2024-08-12T00:00:00Z"/>
        <d v="2024-04-30T00:00:00Z"/>
        <d v="2024-05-12T00:00:00Z"/>
        <d v="2024-04-10T00:00:00Z"/>
        <d v="2024-11-24T00:00:00Z"/>
        <n v="-619359.0"/>
        <d v="2024-04-15T00:00:00Z"/>
        <d v="2024-08-04T00:00:00Z"/>
        <d v="2024-09-03T00:00:00Z"/>
        <d v="2024-10-16T00:00:00Z"/>
        <d v="2024-12-13T00:00:00Z"/>
        <d v="2025-01-06T00:00:00Z"/>
        <d v="2025-02-24T00:00:00Z"/>
        <d v="2024-12-21T00:00:00Z"/>
        <d v="2024-06-27T00:00:00Z"/>
        <d v="2024-09-01T00:00:00Z"/>
        <d v="2024-10-31T00:00:00Z"/>
        <d v="2024-11-23T00:00:00Z"/>
        <d v="2024-02-15T00:00:00Z"/>
        <d v="2024-05-15T00:00:00Z"/>
        <d v="2024-06-14T00:00:00Z"/>
        <d v="2024-07-27T00:00:00Z"/>
        <d v="2024-09-14T00:00:00Z"/>
        <d v="2024-09-17T00:00:00Z"/>
        <d v="2024-10-08T00:00:00Z"/>
        <d v="2024-06-08T00:00:00Z"/>
        <d v="2024-06-11T00:00:00Z"/>
        <d v="2024-12-20T00:00:00Z"/>
        <d v="2023-02-01T00:00:00Z"/>
        <d v="2024-02-01T00:00:00Z"/>
        <d v="2024-03-28T00:00:00Z"/>
        <d v="2024-03-31T00:00:00Z"/>
        <d v="2024-08-29T00:00:00Z"/>
        <d v="2024-11-03T00:00:00Z"/>
        <d v="2024-12-06T00:00:00Z"/>
        <d v="2024-12-23T00:00:00Z"/>
        <d v="2024-07-11T00:00:00Z"/>
        <d v="2024-08-19T00:00:00Z"/>
        <d v="2025-03-27T00:00:00Z"/>
        <d v="2025-09-15T00:00:00Z"/>
        <d v="2025-08-03T00:00:00Z"/>
        <d v="2025-05-18T00:00:00Z"/>
        <d v="2025-08-14T00:00:00Z"/>
        <d v="2025-08-08T00:00:00Z"/>
        <d v="2025-08-24T00:00:00Z"/>
        <d v="2025-08-13T00:00:00Z"/>
        <d v="2025-09-03T00:00:00Z"/>
        <d v="2025-08-21T00:00:00Z"/>
        <d v="2025-09-06T00:00:00Z"/>
        <d v="2025-09-01T00:00:00Z"/>
        <d v="2025-09-08T00:00:00Z"/>
        <d v="2025-09-19T00:00:00Z"/>
        <d v="2025-09-09T00:00:00Z"/>
        <d v="2025-10-03T00:00:00Z"/>
        <d v="2025-10-15T00:00:00Z"/>
      </sharedItems>
    </cacheField>
    <cacheField name="Status" numFmtId="0">
      <sharedItems containsBlank="1">
        <s v="Fait"/>
        <s v="Facture à envoyer"/>
        <s v="Script Revision Marque"/>
        <s v="Video Validée Marque"/>
        <s v="Video Revision Marque"/>
        <m/>
        <s v="Colis Reçu?"/>
        <s v="Script Validée Marque"/>
      </sharedItems>
    </cacheField>
    <cacheField name="Commentaire" numFmtId="0">
      <sharedItems containsBlank="1">
        <m/>
        <s v="ne pas mentionner d'autres marques 7 jours avant et après @ "/>
        <s v="resultat concours"/>
        <s v="en attente validation marque"/>
        <s v="VALIDÉ"/>
        <s v="Preview Validée"/>
        <s v="⚠️⚠️ demander à Inès code promo vs lien (car code différent)"/>
        <s v="à envoyer à la marque"/>
        <s v="en attente validation"/>
        <s v="envoyer facture"/>
        <s v="en attente info facturation"/>
        <s v="Ne pas envoyer facture au client mais faire une factureEn $$ une fois reception et convertion"/>
        <s v="brief partagé"/>
        <s v="ne pas poster 24h après ⚠️ verifier date (colis reçu le 23/05 = 3S)"/>
        <s v="en attente affiliate code"/>
        <s v="video"/>
        <s v="pas d'autres collabs 3 jours avant et après"/>
        <s v="commande passée"/>
        <s v="⚠️"/>
        <s v="date post à confirmer"/>
        <s v="DESCRIPTION (changement à faire) =&gt; Nouveautés @Anastasia Beverly Hills : Beauty balm &amp; Blurring serum blush ✨ Available from xxxx at Sephora all shades online and limited assortment in store #AD #ABHBLUSH #BLUSHHACK #LIQUIDBLUSH #ABHBeautyBalm #Anastasia"/>
        <s v="DESCRIPTION (changement à faire) =&gt;Makeup After Beachhh with Beauty Balm and Blurring Serum Blush @ANASTASIABEVERLYHILLS available from xxxx at Sephora all shades online and limited assortment in store. (il faudra remplacer les xx par la date de sortie, j"/>
        <s v="brouillon"/>
        <s v="DESCRIPTION (changement à faire) =&gt;⚠️ Date sortie SEPHORA"/>
        <s v="envoyer video à jour que Lily a partagé le 13/08"/>
        <s v="SUN SERUM"/>
        <s v="Partager ad code // DESCRIPTION (changement à faire) =&gt; The perfect complexion for this summer is: Beauty Balm and Blurring Serum Blush by @ANASTASIABEVERLYHILLS vavailable from xxxx (à remplacer par la date quand nous l'aurons) at Sephora all shades onli"/>
        <s v="une fois le paiement paypal faire facture pour € exact"/>
        <s v="DESCRIPTION (changement à faire) =&gt;"/>
        <s v="ajouter avant après"/>
        <s v="attendre retour autres factures"/>
        <s v="pas poster +3/-3   // partager ad code"/>
        <s v="envoyer facture 09/09 avec médiatisation + contenu"/>
        <s v="pas possible de poster le 23"/>
        <s v="⚠️ Dates Mixa -3+3 pas de collabs // date à confirmer"/>
        <s v="à poster"/>
        <s v="médiatisation à confirmer +100€"/>
        <s v="recuperer lien tacké pour IGs"/>
        <s v="IG"/>
        <s v="à refaire (réhaussement de cils)"/>
        <s v="24h no post any // 3 weeks of use"/>
        <s v="faire valider le contenu"/>
        <s v="+code boost"/>
        <s v="pas de média"/>
        <s v="date à définir"/>
        <s v="PERSONALISATION"/>
        <s v="draft: 3 jours apres reception // 26/09/2024 au plus tard // pas de post 12h apres poster"/>
        <s v="modif sur caption"/>
        <s v="Woo Juicy Tubes"/>
        <s v="facture à envoyer mais attendre ad code JEANNE"/>
        <s v="attendre Code boost"/>
        <s v="Facture à faire"/>
        <s v="Tracking Link 72h BIO https://testsgz.app.link/4hqEOX8xbNb"/>
        <s v="modifier caption  / pas de post 24h"/>
        <s v="en attente colis"/>
        <s v="18h"/>
        <s v="(+ usage rights + TikTok spark ads + IG ad codes"/>
        <s v="Reception Colis"/>
        <s v="video+ description"/>
        <s v="activer la fonctionnalité &quot;collaboration commercial&quot;"/>
        <s v="j'ai envoyé une facture en € mais c'est en dollar"/>
        <s v="125 de media à confimer "/>
        <s v="date à confirmer (7jours apres réception colis"/>
        <s v="commande"/>
        <s v="30j Myriam K entre chaque mois"/>
        <s v="cross post IG TT"/>
        <s v="mediat"/>
        <s v="ajouter lien en bio"/>
        <s v="Cross post IG + story swipe"/>
        <s v="rajouter code + 23% par contre impossible de refaire video modifs"/>
        <s v="mais ajouter ingrédient"/>
        <s v="facture faite"/>
        <s v="boost"/>
        <s v="preview"/>
        <s v="attente reception colis"/>
        <s v="facture au 3/03 à faire et envoyer"/>
        <s v="voir pour ajouter Ad"/>
        <s v=" "/>
        <s v="TT + Médiat"/>
        <s v="script idée creat TT médiat : du 1er au 27 avril !"/>
        <s v="médiat de 100€ en plus validée?"/>
        <s v="IGS à partager      IGs+ TIKTOK"/>
        <s v="1 TT"/>
        <s v="Pendant le repas"/>
        <s v="IG Reel médiat 01/03 au 27/03"/>
        <s v="02/03=&gt; idée creative ///// 10/03/2025 brouillon"/>
        <s v="1 IG reel + 1 IGs (3sets) AD CODE⚠️"/>
        <s v="dont 250€ de mediat"/>
        <s v="contrat à faire"/>
        <s v="en attente retour de la marque pour feu vert post"/>
        <s v="poster et partager ad code avant 12h"/>
        <s v="TT"/>
        <s v="x3 videos "/>
        <s v="pas besoin de valider preview 2 stories (10/04 et 11/04)"/>
        <s v="link in bio"/>
        <s v="avec ad code"/>
        <s v="⚠️changement facture - se referer au mail"/>
        <s v="médiatisation"/>
        <s v="dont 250€ mediat"/>
        <s v="integration produit"/>
        <s v="IG reel"/>
        <s v="350€ au lieu de 195 pour la derniere"/>
        <s v="IGS  "/>
        <s v="23/04/2025 preview et 16/04 idée creative"/>
        <s v="script  et preview le 01/05/2025"/>
        <s v="script"/>
        <s v="TT IGreel SNAP"/>
        <s v="poster sur TT"/>
        <s v="81€ en option?"/>
        <s v=": https://amzn.to/3Eubtp1"/>
        <s v="Comme beaucoup de followers lui demandent comment faire partir les taches d’acné, elle pourrait créer une vidéo sous l’un de ces formats : « J’ai trouvé un appareil magique pour éliminer les taches d’acné ! » Je présente le produit en détail.Je montre com"/>
        <s v="avec 100e d'ad code inclu"/>
        <s v="vidéo ok descritpion a modifier"/>
        <s v="TT add code a recup"/>
        <s v="GR check dates"/>
        <s v="pas besoin de revision"/>
        <s v="verifier si Lily a posté et partager lien video"/>
        <s v="Video tournée avant Script // envoyer video quand meme"/>
        <s v="partager les captions modifier repost ig"/>
        <s v="Contenu attendu par la marque"/>
        <s v="IGs ANAIS20 20% valable sur ensemble produit du site"/>
        <s v="médiat"/>
        <s v="TT ANAIS20 20% valable sur ensemble produit du site"/>
        <s v="Script 18/06 TT"/>
        <s v="One INS reel + 30 days ad &amp; organic usage rights+ link in bio"/>
        <s v="idée creative"/>
        <s v="manque HD + Sous Titres"/>
        <s v="idée creative à partager"/>
        <s v="TT + Tiktok Shop (reassort le 12/06"/>
        <s v="Script 18/06 IG + Cross Post Reel + IGs"/>
        <s v="UGC"/>
        <s v="Beach Babe Hair Waver Campaign"/>
        <s v="partager les stats dès le 18 juillet ?"/>
        <s v="Tiktok/ pas chez elle avant le 1 er juillet "/>
        <s v="Tiktok"/>
        <s v="partager dès le 24/07 les screens des statistiques de son contenu UGC aussi cession de droit partager la video en HD"/>
        <s v="4EX"/>
        <s v="TT + IGr"/>
        <s v="on a pas le brief"/>
        <s v="n'a pas le produit"/>
        <s v="avec mediat"/>
        <s v="IG + TT cross post + ad code +UGC"/>
        <s v="3 videos"/>
        <s v="Code promo perso à partager"/>
        <s v="mettre explications en anglais"/>
        <s v="⚠️ Gifting voir avec Gauthier "/>
        <s v="POUR CONTENU UGC AVANT AGENCE"/>
        <s v="TT + Tiktok Shop"/>
        <s v="partager stats"/>
        <s v="pas fait "/>
        <s v="16h30"/>
        <s v="partager à Jolt les détails pour la campagne (date, orna...)"/>
        <s v=": #Kiehlsfrance (TikTok) et @kiehlsfrance (Instagram) et le hashtag : #HYDRATATION"/>
        <s v="Fonctionnement Nice Work"/>
        <s v="3 contenus // pas d'exclu"/>
        <s v="https://docs.google.com/presentation/d/1q4NE7BfV_3-rP4IUQJmAq-Et7OVpK16CYhR5OVpmQYo/edit?usp=sharing"/>
        <s v="Fonctionnement Nice Work - Envoyer lien marque"/>
        <s v="Affiliation 10% // 2 post/mois"/>
        <s v="https://www.tiktok.com/@lavishhcam/video/7384102579849956641?lang=en"/>
        <s v="Reçu"/>
        <s v="Médiatisation "/>
        <s v="envoyer facture MÉDIA EN OPTION 250€ 4semaines 7-18 Octobre"/>
        <s v="Google Ads"/>
        <s v="La semaine du 1er avril"/>
        <s v="7 jours après reception sac"/>
        <s v="ATTENTION NOUVEAU BRIEF?"/>
        <s v="La semaine du 15 avril"/>
        <s v="VOIR MAIL POUR BRIEF"/>
        <s v="⚠️chiara_12  + Lien dans bio"/>
        <s v="Libre"/>
        <s v="Tester les produits et leur faire un retour. Si tu aimes pourquoi pas poster sur Tiktok"/>
        <s v="Photo avant/après"/>
        <s v="pas reçu"/>
        <s v="⚠️bleulividee_12 + Lien dans Bio"/>
        <s v="story juste"/>
        <s v="X2 video"/>
        <s v="en attente Micro Entreprise Jeanne"/>
        <s v="Brief dans mail Sparkle"/>
        <s v="colis pas encore reçu (30/11)"/>
        <s v="Contenu libre"/>
        <s v="laurine_12 + Lien dans bio"/>
        <s v="Post obligatoire sans brief"/>
        <s v="attendre description"/>
        <s v="Dès que possible"/>
        <s v="à poster dès que possible"/>
        <s v="retard livraison"/>
        <s v="Nice Work Fonctionnement "/>
        <s v="https://www.tiktok.com/@lilyy.nl/video/7361800761090526497"/>
        <s v="Attendre avant de facturer Médiatisation "/>
        <s v="Showroom 16h"/>
        <s v="RDV 11h Showroom"/>
        <s v="pas de preview"/>
        <s v="Nice Work"/>
        <s v="https://www.tiktok.com/@melf.fnt/video/7384078329554423073"/>
        <s v="D'ici 2 semaines après 20/03/24"/>
        <s v="https://www.tiktok.com/@melf.fnt/video/7360752268607491360"/>
        <s v="En attente date"/>
        <s v="colis confidentiel jussqu'au 08/10"/>
        <s v="Rappel"/>
        <s v="https://www.tiktok.com/@morgane.mrckk/video/7384031967643307296"/>
        <s v="10h à 18h"/>
        <s v="partager video TT"/>
        <s v="en attente validation contrat"/>
        <s v="Brief"/>
        <s v="Dès réception colis"/>
        <s v="ads big cils"/>
        <s v="RDV 12h Showroom"/>
        <s v="description"/>
        <s v="mercredi 18/09, de 19h à 21h30,"/>
        <s v="IG + TT Cross Post"/>
        <s v="n'a pas reçu les produits"/>
        <s v="demander ce qu'elle pense du produit"/>
        <s v="colis non reçu"/>
        <s v="1 mois d'utilisation? si elle a bien utiliser le produit? lui rappeler de bien mettre photo avant/après dans l video"/>
        <s v="acheter produit Script 18/06 IG + Cross Post Reel + IGs"/>
      </sharedItems>
    </cacheField>
    <cacheField name="Description rapide de la demande" numFmtId="0">
      <sharedItems containsBlank="1">
        <s v="vidéo dédiée maquillage avec la marque Bell."/>
        <s v="post obligatoire avec brief"/>
        <s v="post obligatoire  "/>
        <s v="Brief à respecter"/>
        <s v="Thème du book"/>
        <m/>
        <s v="Post Obligatoire "/>
        <s v="Brief dans mail"/>
        <s v="Ne pas poster / Suivre brief"/>
        <s v="Post avec brief"/>
        <s v="Libre"/>
        <s v="Seeding"/>
        <s v="NiceWork"/>
        <s v="Nice Work"/>
        <s v="Post Obligatoire"/>
        <s v="Fonctionnement Nice Work"/>
        <s v="Pas de brief"/>
        <s v="Consignes Nice Work"/>
        <s v="Post obligatoire sans brief"/>
        <s v="1 Tiktok + 1 Reel"/>
        <s v="1 Tiktok + 1 IG story"/>
        <s v="Post non obligatoire"/>
        <s v="Libre - colis presse"/>
        <s v="Evenement"/>
        <s v="Sans obligation de post"/>
        <s v="Obligation de post"/>
        <s v="Nice Work Fonctionnement"/>
        <s v="Médiatisation"/>
        <s v="Apport D'affaire"/>
        <s v="Promouvoir les 2 produits"/>
        <s v="Voir Brief mail"/>
        <s v="Event"/>
      </sharedItems>
    </cacheField>
    <cacheField name="Format (influence vs UGC)" numFmtId="166">
      <sharedItems containsBlank="1">
        <s v="Influence"/>
        <m/>
        <s v="UGC "/>
        <s v="UGC"/>
        <s v="Evenement"/>
        <s v="Skeepers"/>
        <s v="Interview"/>
        <s v="Médiatisation"/>
      </sharedItems>
    </cacheField>
    <cacheField name="Rémunération totale">
      <sharedItems containsBlank="1" containsMixedTypes="1" containsNumber="1">
        <n v="70.0"/>
        <n v="130.0"/>
        <n v="200.0"/>
        <s v="Gifting + Médiatisation"/>
        <s v="20€/semaine de médiatisation"/>
        <n v="350.0"/>
        <s v="Comptabilisé"/>
        <n v="500.0"/>
        <n v="150.0"/>
        <s v="Gifting"/>
        <n v="100.0"/>
        <m/>
        <n v="650.0"/>
        <n v="450.0"/>
        <n v="629.92"/>
        <n v="1800.0"/>
        <n v="175.0"/>
        <n v="250.0"/>
        <n v="1000.0"/>
        <n v="230.0"/>
        <n v="300.0"/>
        <n v="80.0"/>
        <n v="531.0"/>
        <n v="400.0"/>
        <n v="241.28"/>
        <n v="75.0"/>
        <n v="275.0"/>
        <n v="137.5"/>
        <n v="600.0"/>
        <n v="526.48"/>
        <n v="625.0"/>
        <n v="1250.0"/>
        <n v="800.0"/>
        <n v="699.2"/>
        <n v="225.0"/>
        <n v="1500.0"/>
        <n v="357.935"/>
        <n v="173.0"/>
        <n v="1200.0"/>
        <n v="233.33333333333334"/>
        <n v="750.0"/>
        <n v="700.0"/>
        <n v="393.3"/>
        <n v="125.0"/>
        <n v="382.5"/>
        <n v="325.0"/>
        <n v="0.0"/>
        <n v="170.0"/>
        <n v="900.0"/>
        <n v="375.0"/>
        <n v="195.0"/>
        <n v="950.0"/>
        <n v="1012.5"/>
        <n v="2000.0"/>
        <n v="333.3333333333333"/>
        <n v="582.0"/>
        <n v="291.0"/>
        <n v="970.0"/>
        <n v="1850.0"/>
        <n v="940.0"/>
        <n v="2500.0"/>
        <n v="850.0"/>
        <n v="1100.0"/>
        <n v="810.0"/>
        <n v="552.0"/>
        <n v="550.13"/>
        <n v="1400.0"/>
        <n v="1125.0"/>
        <n v="395.09"/>
        <n v="410.72"/>
        <n v="550.0"/>
        <n v="508.3"/>
        <n v="370.0"/>
        <n v="1300.0"/>
        <n v="492.87"/>
        <n v="166.66666666666666"/>
        <n v="3298.0"/>
        <n v="666.6666666666666"/>
        <n v="620.0"/>
        <n v="112.5"/>
        <n v="217.4"/>
        <n v="3125.0"/>
        <n v="266.6666666666667"/>
        <n v="310.0"/>
        <n v="880.0"/>
        <n v="1290.0"/>
        <n v="840.0"/>
        <n v="602.0"/>
        <n v="190.0"/>
        <s v="Affiliation"/>
        <s v="10% Commission"/>
        <s v="Showroom"/>
        <s v="Evenement"/>
        <n v="235.0"/>
        <n v="144.0"/>
        <s v="Affiliate"/>
        <s v="Event"/>
        <n v="933.3333333333334"/>
        <n v="3000.0"/>
        <n v="4500.0"/>
        <n v="588.0"/>
      </sharedItems>
    </cacheField>
    <cacheField name="Date Stats">
      <sharedItems containsDate="1" containsString="0" containsBlank="1" containsMixedTypes="1">
        <m/>
        <d v="2024-04-16T00:00:00Z"/>
        <d v="2024-04-29T00:00:00Z"/>
        <d v="2024-04-25T00:00:00Z"/>
        <d v="2024-05-08T00:00:00Z"/>
        <d v="2024-05-11T00:00:00Z"/>
        <d v="2024-05-31T00:00:00Z"/>
        <n v="105.0"/>
        <n v="96.25"/>
        <n v="280.0"/>
        <n v="140.0"/>
        <n v="350.0"/>
        <n v="420.0"/>
      </sharedItems>
    </cacheField>
    <cacheField name="Lien video" numFmtId="0">
      <sharedItems containsBlank="1">
        <m/>
        <s v="https://www.tiktok.com/@melf.fnt/video/7382192283279494432"/>
        <s v="https://www.tiktok.com/@lilyy.nl/video/7383728309110050080"/>
        <s v="https://www.tiktok.com/@lolatagliaferroo/video/7383998473613479201"/>
        <s v="https://www.tiktok.com/@lavishhcam/video/7390792553022442784?lang=en"/>
        <s v="https://www.tiktok.com/@chiaraaaa.bnc/video/7391058568260111649"/>
        <s v="https://www.tiktok.com/@lina.mkrn2/video/7390790437969104161"/>
        <s v="https://www.tiktok.com/@perrine.trp/video/7391590382611516705"/>
        <s v="https://www.tiktok.com/@morgane.mrckk/video/7390710366738681121"/>
        <s v="https://www.tiktok.com/@perrine.trp/video/7394891259883654433"/>
        <s v="https://www.tiktok.com/@___oraane/video/7392965105924738336"/>
        <s v="https://www.tiktok.com/@paupibeauty/video/7395224727377251617"/>
        <s v="https://www.tiktok.com/@lolatagliaferroo/video/7395519666556259616"/>
        <s v="https://www.tiktok.com/@melf.fnt/video/7393286593676660000"/>
        <s v="https://www.tiktok.com/@perrine.trp/video/7393392477878701345"/>
        <s v="https://www.tiktok.com/@morgane.mrckk/video/7394042444519591201"/>
        <s v="https://www.tiktok.com/@paupibeauty/video/7394501330364075296"/>
        <s v="https://www.tiktok.com/@paupibeauty/video/7397449808555937056?_r=1&amp;_t=8oSOvlgWeMi"/>
        <s v="https://www.tiktok.com/@lolatagliaferroo/video/7398086597721263393"/>
        <s v="https://www.tiktok.com/@___oraane/video/7398548157925248288"/>
        <s v="https://vm.tiktok.com/ZGenfd12c/"/>
        <s v="https://www.tiktok.com/@liserdg/video/7397464254451911969"/>
        <s v="https://www.tiktok.com/@liserdg/video/7401195152984870176"/>
        <s v="https://www.tiktok.com/@lilyy.nl/video/7403767696283766048"/>
        <s v="https://www.tiktok.com/@morgane.mrckk/video/7411931626252422433"/>
        <s v="https://www.tiktok.com/@___oraane/video/7403673068578688289"/>
        <s v="https://www.tiktok.com/@lavishhcam/video/7406036857340824865?lang=en"/>
        <s v="https://www.tiktok.com/@lilyy.nl/video/7407093682731502880"/>
        <s v="https://www.tiktok.com/@paupibeauty/video/7403439757415533856?_r=1&amp;_t=8otpeszl9rE"/>
        <s v="https://www.tiktok.com/@perrine.trp/video/7411953653143129376"/>
        <s v="https://www.tiktok.com/@lavishhcam/video/7407487090046389537?lang=en"/>
        <s v="https://www.tiktok.com/@melf.fnt/video/7408135764502007073"/>
        <s v="https://www.tiktok.com/@lavishhcam/video/7406708879695875360?lang=en"/>
        <s v="https://www.tiktok.com/@lavishhcam/video/7411562966337834272?lang=en"/>
        <s v="https://www.tiktok.com/@morgane.mrckk/video/7406767459749055777"/>
        <s v="https://www.tiktok.com/@lilyy.nl/video/7411947131440827681"/>
        <s v="https://www.tiktok.com/@julianebernard/video/7415999447202663713"/>
        <s v="https://www.tiktok.com/@lilyy.nl/video/7412698376162135328"/>
        <s v="https://www.tiktok.com/@melf.fnt/video/7421252203458874656"/>
        <s v="https://www.tiktok.com/@melf.fnt/video/7417119746270776609"/>
        <s v="https://www.tiktok.com/@melf.fnt/video/7422703664969616673"/>
        <s v="https://www.tiktok.com/@paupibeauty/video/7416729046316338465?_r=1&amp;_t=8psjQcSNmPA"/>
        <s v="https://www.tiktok.com/@jessicadcstr/video/7401576606319398177"/>
        <s v="https://tiktok.com/@mary.zhh/video/7416774634885926176?lang=en"/>
        <s v="https://www.tiktok.com/@chiaraaaa.bnc/video/7417486710386232609"/>
        <s v="https://www.tiktok.com/@perrine.trp/video/7420530124208016672"/>
        <s v="https://www.tiktok.com/@paupibeauty/video/7418269204975078689"/>
        <s v="https://www.tiktok.com/@jeanne_bayart/video/7425572834992344353?_r=1&amp;_t=8qXCYC0RFJY"/>
        <s v="https://www.tiktok.com/@jeanne_bayart/video/7437562970659491105?lang=en"/>
        <s v="https://www.tiktok.com/@___oraane/video/7434852783339195681?lang=en"/>
        <s v="https://www.tiktok.com/@melf.fnt/video/7430522334919822624"/>
        <s v="https://www.tiktok.com/@liserdg/video/7430136572063796513?lang=en"/>
        <s v="https://www.tiktok.com/@liserdg/video/7432768931619802401?lang=en"/>
        <s v="https://www.tiktok.com/@morgane.mrckk/video/7430757799249988896?lang=en"/>
        <s v="https://www.tiktok.com/@shaa_dl/video/7515842386795187478"/>
        <s v="https://www.tiktok.com/@___oraane/video/7419283054981664033"/>
        <s v="https://www.tiktok.com/@anaiswairyy/video/7433837110584479008?lang=en"/>
        <s v="https://www.tiktok.com/@chiaraaaa.bnc/video/7438003860733578528?lang=en"/>
        <s v="https://www.tiktok.com/@morgane.mrckk/video/7437476392905805089?lang=en"/>
        <s v="https://www.tiktok.com/@iimslma/video/7436438336383880480?lang=en"/>
        <s v="https://www.tiktok.com/@melf.fnt/video/7436438601740668192?_r=1&amp;_t=8rKy09eXARN"/>
        <s v="https://www.tiktok.com/@lavishhcam/video/7437477138430741792"/>
        <s v="https://www.tiktok.com/@julianebernard/video/7437454498747927841?lang=en"/>
        <s v="https://www.tiktok.com/@melf.fnt/video/7437532619706731809"/>
        <s v="https://www.tiktok.com/@anaiswairyy/video/7455393883908771094?lang=en"/>
        <s v="https://www.tiktok.com/@anaiswairyy/video/7469871245606030614?lang=en"/>
        <s v="https://www.tiktok.com/@___oraane/video/7450792735776296214?lang=en"/>
        <s v="https://www.tiktok.com/@___oraane/video/7449648582451350806?lang=en"/>
        <s v="https://www.tiktok.com/@melf.fnt/video/7441913953858489633"/>
        <s v="https://www.tiktok.com/@paupibeauty/video/7442018892454694176?_r=1&amp;_t=8rkWjFn0wJa"/>
        <s v="https://www.tiktok.com/@anaiswairyy?lang=en"/>
        <s v="https://www.tiktok.com/@lilyy.nl/video/7443863318730689814"/>
        <s v="https://www.tiktok.com/@jeanne_bayart/video/7442798993492479265?lang=en"/>
        <s v="https://www.tiktok.com/@iman_cvls/video/7451924438834089238?_r=1&amp;_t=8sTta62xc1u"/>
        <s v="https://www.tiktok.com/@iman_cvls/video/7452023214944947478?_r=1&amp;_t=8sWEGQqinJO"/>
        <s v="https://www.tiktok.com/@iman_cvls/video/7452403635708775702"/>
        <s v="https://www.tiktok.com/@jasmiinelife/video/7453739165205777686?lang=en"/>
        <s v="https://www.tiktok.com/@lavishhcam/video/7463441462252932374"/>
        <s v="https://www.tiktok.com/@iimslma/video/7465383468805999894?_r=1&amp;_t=ZN-8tTXg6qHkUY"/>
        <s v="https://www.tiktok.com/@iman_cvls/video/7465390038260485398?_t=ZN-8tTZG4XbMr0&amp;_r=1"/>
        <s v="https://www.tiktok.com/@liserdg/video/7465785595495763222?lang=en"/>
        <s v="https://www.tiktok.com/@la_gur/video/7467998009230363926?lang=en"/>
        <s v="75 de media"/>
        <s v="https://www.tiktok.com/@dounsbnl/video/7471295610063310102"/>
        <s v="https://www.tiktok.com/@lolatagliaferroo?lang=en"/>
        <s v="https://www.tiktok.com/@___oraane/video/7471294678306934038?lang=en"/>
        <s v="https://www.tiktok.com/@shaa_dl/video/7471336075559046422"/>
        <s v="https://www.tiktok.com/@dounsbnl/video/7451645404535442710"/>
        <s v="https://www.tiktok.com/@anaiswairyy/video/7471353868702502166?lang=en"/>
        <s v="https://www.tiktok.com/@dounsbnl/video/7473150812873788674?_t=ZN-8u36zKwjrx0&amp;_r=1"/>
        <s v="https://www.tiktok.com/@lolatagliaferroo/video/7473819808870534422?lang=en"/>
        <s v="https://www.tiktok.com/@paupibeauty/video/7473538347969875222?_r=1&amp;_t=ZN-8u4tYDuW4wQ"/>
        <s v="https://www.tiktok.com/@perrine.trp/video/7476172058406194454?lang=en"/>
        <s v="https://www.tiktok.com/@eloiseaubeneauu/video/7482020827924401451"/>
        <s v="https://www.tiktok.com/@julianebernard/video/7496568197135486230?_r=1&amp;_t=ZN-8vmOTilRwgg"/>
        <s v="https://www.tiktok.com/@iimslma/video/7485792482345618710?_r=1&amp;_t=ZN-8uz1T2hjhy6"/>
        <s v="https://www.tiktok.com/@dounsbnl/video/7476794031935147286"/>
        <s v="https://www.tiktok.com/@eloiseaubeneauu/video/7495738839487581470?_t=ZP-8viaG7wegWt&amp;_r=1"/>
        <s v="https://www.tiktok.com/@lilyy.nl/video/7493984160173034774"/>
        <s v="https://www.tiktok.com/@ttemarine/video/7495056234014379266"/>
        <s v="https://www.tiktok.com/@ttemarine/video/7494670749865757974"/>
        <s v="https://www.tiktok.com/@julianebernard/video/7493986086654315798?lang=en"/>
        <s v="https://www.tiktok.com/@paupibeauty/video/7493948630144011542"/>
        <s v="https://www.tiktok.com/@lavishhcam/video/7495428391882198295"/>
        <s v="https://www.tiktok.com/@la_gur/video/7499405044245204246?lang=en"/>
        <s v="https://www.tiktok.com/@sarah.bdii/video/7499149208293788950"/>
        <s v="https://www.tiktok.com/@jasmiinelife/video/7499164614366645526?lang=en"/>
        <s v="https://www.tiktok.com/@ttemarine/video/7499519504368569622"/>
        <s v="https://www.tiktok.com/@lovelymorgane/video/7499894490853821718?_r=1&amp;_t=8kth38xkh3x"/>
        <s v="https://www.tiktok.com/@arwen.arwen1/video/7506934371669101846?lang=en"/>
        <s v="https://www.tiktok.com/@farahdisiaque/video/7505057972834372886"/>
        <s v="https://www.tiktok.com/@paupibeauty/video/7506557930817277206?_t=ZN-8wW7MsM3mNy&amp;_r=1"/>
        <s v="https://www.tiktok.com/@lavishhcam/video/7505069359010794774"/>
        <s v="https://www.tiktok.com/@paupibeauty/video/7507679880100810007?_r=1&amp;_t=ZN-8wbG54dkxtO"/>
        <s v="https://www.tiktok.com/@iam.sissou/video/7526589360469265686?is_from_webapp=1&amp;sender_device=pc&amp;web_id=7504317976587437590"/>
        <s v="https://www.tiktok.com/@mary.zhh/video/7462430581402520854"/>
        <s v="https://www.tiktok.com/@mary.zhh/video/7460561651675303190"/>
        <s v="https://www.tiktok.com/@paupibeauty/video/7439768252269546785?_r=1&amp;_t=8raH38QLVtG"/>
        <s v="https://www.tiktok.com/@amani_mee/video/7494728696528522518"/>
        <s v="https://vm.tiktok.com/ZNdPeJgF7/"/>
        <s v="https://www.tiktok.com/@ttemarine/video/7522142648207936790?_t=ZN-8xfVHZaTphe&amp;_r=1"/>
        <s v="https://www.tiktok.com/@iam.sissou/video/7513475563936369942"/>
        <s v="https://www.tiktok.com/@iimslma/video/7522888104374701335"/>
        <s v="https://drive.google.com/drive/folders/19ToYFCpY-wQNqLL1X6hkS610Je7ZJWpH?usp=sharing"/>
        <s v="https://drive.google.com/drive/folders/1cqb0DvHrI2AEf5Y1mODPl-Wb-x2ZpIBF?usp=sharing"/>
        <s v="https://www.tiktok.com/@shaa_dl/video/7525111945536523542?_r=1&amp;_t=ZN-8xwa2XIbgXO"/>
        <s v="https://www.instagram.com/p/DL9s1T-ucxx/?hl=fr"/>
        <s v="https://www.tiktok.com/@___oraane/video/7525503490924416279"/>
        <s v="https://www.tiktok.com/@julianebernard/video/7522838166227864854?lang=en"/>
        <s v="https://www.tiktok.com/@laudewit/video/7519192074919365920"/>
        <s v="https://www.tiktok.com/@asmaenel/video/7526542702301826326?is_from_webapp=1&amp;sender_device=pc&amp;web_id=7504317976587437590"/>
        <s v="https://www.tiktok.com/@shaa_dl/video/7525111987638979862?_r=1&amp;_t=ZN-8xwa1oeBxCQ"/>
        <s v="https://www.tiktok.com/@juliette.pn/video/7525473712418622742?is_from_webapp=1&amp;sender_device=pc&amp;web_id=7504317976587437590"/>
        <s v="https://www.tiktok.com/@laudewit/video/7525483945366998305"/>
        <s v="https://www.tiktok.com/@julianebernard/video/7526982773156924694?_r=1&amp;_t=ZN-8y1f4d2rh1K"/>
        <s v="https://www.tiktok.com/@la_gur/video/7528400374802173206"/>
        <s v="https://www.tiktok.com/@paupibeauty/video/7529220565756857622"/>
        <s v="https://vm.tiktok.com/ZNHp1gFdSuU6L-Orqzs/"/>
        <s v="https://www.tiktok.com/@melissa.pndd/video/7526574135296773398?is_from_webapp=1&amp;sender_device=pc&amp;web_id=7504317976587437590"/>
        <s v="https://www.tiktok.com/@laudewit/video/7529089646714735905"/>
        <s v="https://www.tiktok.com/@guenaire/video/7532570588146076950"/>
        <s v="https://www.tiktok.com/@laudewit/video/7525765188893674784"/>
        <s v="https://www.tiktok.com/@sarah.bdii/video/7516951979084598550"/>
        <s v="https://www.tiktok.com/@anaiswairyy/video/7466167514402229526?lang=en"/>
        <s v="https://www.tiktok.com/@melissa.pndd/video/7514352561562946838"/>
        <s v="https://vm.tiktok.com/ZNdyXTXHb/"/>
        <s v="https://www.instagram.com/reel/DLc5EB4ogna/?utm_source=ig_web_copy_link"/>
        <s v="https://www.tiktok.com/@glennwolff/video/7517353745353559318?is_from_webapp=1&amp;sender_device=pc&amp;web_id=7504317976587437590"/>
        <s v="https://www.instagram.com/reel/DLXs9HIijUX/?utm_source=ig_web_copy_link&amp;igsh=MzEyc2ZyNmFwZTMw"/>
        <s v="https://www.tiktok.com/@lolatagliaferroo/video/7520567485473492246?is_from_webapp=1&amp;sender_device=pc&amp;web_id=7504317976587437590"/>
        <s v="https://www.tiktok.com/@melissa.pndd/video/7519911199744494850?is_from_webapp=1&amp;sender_device=pc&amp;web_id=7504317976587437590"/>
        <s v="https://www.tiktok.com/@___oraane/video/7518063433611480343?_t=ZN-8xMoEPKM08s&amp;_r=1"/>
        <s v="https://www.tiktok.com/@paupibeauty/video/7521283052488641814?is_from_webapp=1&amp;sender_device=pc&amp;web_id=7504317976587437590"/>
        <s v="https://www.tiktok.com/@sarah.bdii/video/7532173540204891414"/>
        <s v="https://www.tiktok.com/@shaa_dl/video/7414067609177476384"/>
        <s v="https://www.tiktok.com/@shaa_dl/video/7430530285852167457"/>
        <s v="https://www.tiktok.com/@shaa_dl/video/7456916860278295830?_t=ZN-8sqlAIVsOJS&amp;_r=1"/>
        <s v="https://www.tiktok.com/@amandambt_/video/7483639690327788822?lang=en"/>
        <s v="La première à 1 min 17 https://vm.tiktok.com/ZNdMWypK4/ La seconde à 1 min 32 https://vm.tiktok.com/ZNdMWUM5e/"/>
        <s v="https://www.instagram.com/reel/DFqvAlCNUMN/"/>
        <s v="https://www.tiktok.com/@arwen.arwen1/video/7453509821812280598?lang=en"/>
        <s v="https://www.tiktok.com/@arwen.arwen1/video/7453509775200980246?lang=en"/>
        <s v="https://www.tiktok.com/@arwen.arwen1/video/7453530509163973910?lang=en"/>
        <s v="https://www.tiktok.com/@lavishhcam/video/7372599354646957344"/>
        <s v="https://www.tiktok.com/@lavishhcam/video/7370721490632772896?lang=en"/>
        <s v="https://www.tiktok.com/@lavishhcam/video/7374120668813659425"/>
        <s v="https://vm.tiktok.com/ZGeGrsEfX/"/>
        <s v="https://www.tiktok.com/@lavishhcam/video/7392636437163773217"/>
        <s v="https://www.tiktok.com/@lavishhcam/video/7401082023797902625?lang=en"/>
        <s v="https://www.tiktok.com/@lavishhcam/video/7401156666479119649?lang=en"/>
        <s v="https://www.tiktok.com/@lavishhcam/video/7415270528665046305?lang=en"/>
        <s v="https://www.tiktok.com/@lavishhcam/video/7414065973084359968?lang=en"/>
        <s v="https://www.tiktok.com/@lavishhcam/video/7421861704159464736?lang=en"/>
        <s v="https://www.tiktok.com/@lavishhcam/video/7421578850808646944"/>
        <s v="https://www.tiktok.com/@lavishhcam/video/7424528927714020641"/>
        <s v="https://tiktok.com/@lavishhcam/video/7428536491384638753"/>
        <s v="https://www.tiktok.com/@lavishhcam/video/7431968536773299489"/>
        <s v="https://www.tiktok.com/@lavishhcam/video/7431640311199255840"/>
        <s v="https://www.tiktok.com/@lavishhcam/video/7442372621200575776"/>
        <s v="https://www.tiktok.com/@lavishhcam/video/7451273510346820886"/>
        <s v="https://www.tiktok.com/@lavishhcam/video/7465046952749616406"/>
        <s v="https://www.tiktok.com/@lavishhcam/video/7462439461763157270"/>
        <s v="https://www.tiktok.com/@lavishhcam/video/7467602307832745238?_r=1&amp;_t=ZN-8tpZSV3gUPG"/>
        <s v="https://www.tiktok.com/@lavishhcam/video/7481621153107217686?_t=ZN-8ufuB4coZpW&amp;_r=1"/>
        <s v="https://www.tiktok.com/@lavishhcam/video/7480248461112216854?_t=ZN-8uksUX9QNRG&amp;_r=1"/>
        <s v="https://www.tiktok.com/@lavishhcam/video/7395231761887759649?lang=en"/>
        <s v="https://www.tiktok.com/@lavishhcam/video/7398186484789988641?lang=en"/>
        <s v="https://www.tiktok.com/@lavishhcam/video/7365759408892103969?lang=en"/>
        <s v="https://www.tiktok.com/@lavishhcam/video/7401530328214441248?lang=en"/>
        <s v="https://www.tiktok.com/@lavishhcam/video/7394844935842778400?lang=en"/>
        <s v="https://www.tiktok.com/@chiaraaaa.bnc/video/7391983750164319520?_r=1&amp;_t=8o3MXv1mvZJ"/>
        <s v="https://www.tiktok.com/@chiaraaaa.bnc/video/7394423173132913952"/>
        <s v="https://www.tiktok.com/@chiaraaaa.bnc/video/7405297473117310240"/>
        <s v="https://www.tiktok.com/@chiaraaaa.bnc/video/7404583889974480161"/>
        <s v="https://www.tiktok.com/@chiaraaaa.bnc/video/7416745525149584673"/>
        <s v="https://www.tiktok.com/@chiaraaaa.bnc/video/7415682356973014305?_r=1&amp;_t=8pnu1Dc4LKK"/>
        <s v="https://www.tiktok.com/@chiaraaaa.bnc/video/7426062687051713824?lang=en"/>
        <s v="https://www.tiktok.com/@chiaraaaa.bnc/video/7429003433572715809?lang=en"/>
        <s v="https://www.tiktok.com/@dounsbnl/video/7431205107913493793"/>
        <s v="https://www.tiktok.com/@dounsbnl/video/7474747644808613142"/>
        <s v="https://www.instagram.com/p/DHT2-JnIB-6/"/>
        <s v="https://www.instagram.com/reel/DJMIRWMoL9E/?igsh=MTY5bnFnZW5mZGI2dA=="/>
        <s v="https://www.tiktok.com/@eloiseaubeneauu/video/7483491441663036718?_t=ZT-8uoTJcOEruw&amp;_r=1"/>
        <s v="https://www.tiktok.com/@eloiseaubeneauu/video/7507226915682389279"/>
        <s v="https://www.instagram.com/reel/DJPcuR3Idt7/?igsh=OW9lOXZyc2hucGI="/>
        <s v="https://www.tiktok.com/@farahdisiaque/video/7483922941864955158?_t=ZN-8uqT7rbpmb8&amp;_r=1"/>
        <s v="c"/>
        <s v="https://www.tiktok.com/@bleulividee/video/7372251599776877856"/>
        <s v="https://vm.tiktok.com/ZGepDFE5y/"/>
        <s v="https://www.tiktok.com/@bleulividee/video/7391910299361709344"/>
        <s v="https://www.tiktok.com/@bleulividee/video/7392682253026970912"/>
        <s v="https://www.tiktok.com/@bleulividee/video/7410370727486049568"/>
        <s v="https://www.tiktok.com/@bleulividee/video/7375559768552770849"/>
        <s v="https://www.tiktok.com/@bleulividee/video/7393388652753194273"/>
        <s v="https://www.tiktok.com/@bleulividee/video/7397487380388744480"/>
        <s v="https://www.tiktok.com/@bleulividee/video/7365539403646651680"/>
        <s v="https://www.tiktok.com/@la_gur/photo/7457999858377428246?lang=en"/>
        <s v="https://www.tiktok.com/@la_gur/video/7485089693206433046?lang=en"/>
        <s v="https://www.tiktok.com/@la_gur/video/7495733948685815062?lang=en"/>
        <s v="https://drive.google.com/drive/folders/1bllXfbrb3bUB07wpoG2Ebl0SK0IzuWTC?usp=sharing"/>
        <s v="https://www.tiktok.com/@hidaya_bl/video/7484394919600213270"/>
        <s v="https://www.tiktok.com/@iman_cvls/video/7397858754177551649"/>
        <s v="https://www.tiktok.com/@iman_cvls/video/7404463230673849633"/>
        <s v="https://www.tiktok.com/@iman_cvls/video/7414564750392184096"/>
        <s v="https://www.tiktok.com/@iman_cvls/video/7430007298031930656?lang=en"/>
        <s v="https://www.tiktok.com/@iman_cvls/video/7442289270481636640?lang=en"/>
        <s v="https://www.tiktok.com/@iman_cvls/video/7458583066676710678?_t=ZN-8syYtKZMQGF&amp;_r=1"/>
        <s v="https://vm.tiktok.com/ZNdrMWKU9/   https://vm.tiktok.com/ZNdrMbUmK/&#10;"/>
        <s v="https://www.tiktok.com/@iman_cvls/video/7405646497515113761"/>
        <s v="https://www.tiktok.com/@jasmiinelife/video/7402157667159969057"/>
        <s v="https://www.tiktok.com/@jasmiinelife/video/7398942773430308128"/>
        <s v="https://www.tiktok.com/@jasmiinelife/video/7411133691189071137"/>
        <s v="https://www.tiktok.com/@jasmiinelife/video/7431849329335209249?_t=8qzxJsLvUuH&amp;_r=1"/>
        <s v="https://www.tiktok.com/@jasmiinelife/video/7481342810977881366?_r=1&amp;_t=ZN-8ued6vIUIJa"/>
        <s v="https://www.tiktok.com/@jasmiinelife/video/7478010649835064598?_t=ZN-8uksMc15EkI&amp;_r=1"/>
        <s v="https://vm.tiktok.com/ZNdr6BsyX/"/>
        <s v="https://www.tiktok.com/@jasmiinelife/video/7406012010816638240"/>
        <s v="https://www.instagram.com/reel/DAEGiSUicZy/"/>
        <s v="https://www.tiktok.com/@jeanne_bayart/video/7405111060274924832"/>
        <s v="https://www.tiktok.com/@jeanne_bayart/video/7401629838697565472"/>
        <s v="https://www.instagram.com/reel/DHYZokMIocA/?igsh=MXJmNGNqYzdlNjZ6eg%3D%3D"/>
        <s v="https://www.tiktok.com/@jessicadcstr/video/7374052571708771616"/>
        <s v="https://www.tiktok.com/@jessicadcstr/video/7375545597094464801"/>
        <s v="https://www.tiktok.com/@jessicadcstr/video/7388534640631450913"/>
        <s v="https://www.tiktok.com/@jessicadcstr/video/7389326468137995552"/>
        <s v="https://www.tiktok.com/@jessicadcstr/video/7402283442785766688"/>
        <s v="https://www.tiktok.com/@jessicadcstr/video/7400003750661819681"/>
        <s v="https://www.tiktok.com/@jessicadcstr/video/7401184127703108897"/>
        <s v="https://www.tiktok.com/@jessicadcstr/video/7379634512625487137"/>
        <s v="https://www.tiktok.com/@jessicadcstr/video/7370005908706921761?q=jessicadcstr%20aromazone&amp;t=1716383408647"/>
        <s v="https://www.tiktok.com/@julianebernard/video/7375950922876194080"/>
        <s v="https://www.tiktok.com/@julianebernard/video/7394526025591409952"/>
        <s v="https://www.tiktok.com/@julianebernard/video/7415662953526988065"/>
        <s v="https://www.tiktok.com/@julianebernard/video/7422201837324979489"/>
        <s v="https://www.tiktok.com/@julianebernard/video/7423819976387218720?lang=en"/>
        <s v="https://www.tiktok.com/@julianebernard/video/7428654055754353952?lang=en"/>
        <s v="https://www.tiktok.com/@julianebernard/video/7431227139405466912?lang=en"/>
        <s v="https://www.tiktok.com/@julianebernard/video/7470566844924005654?lang=en"/>
        <s v="https://www.tiktok.com/@julianebernard/video/7480957956545203478?_t=ZN-8uflzHw9hd0&amp;_r=1"/>
        <s v="https://www.tiktok.com/@julianebernard/video/7483144981474053398?_r=1&amp;_t=ZN-8umtSsTCOtq"/>
        <s v="https://www.tiktok.com/@julianebernard/video/7505188044769611030?_r=1&amp;_t=ZN-8wUPhwBCpra"/>
        <s v="https://www.tiktok.com/@julianebernard/video/7387355316817612064"/>
        <s v="https://www.tiktok.com/@laurieespamm/video/7373977897394048289"/>
        <s v="https://www.tiktok.com/@laurieespamm/video/7372894690884029729"/>
        <s v="https://www.tiktok.com/@laurieespamm/video/7385220213458980129"/>
        <s v="https://www.tiktok.com/@laurieespamm/video/7403685503830084896?_r=1&amp;_t=8ouxXOOFEH3"/>
        <s v="https://www.tiktok.com/@laurieespamm/video/7385584137039596833"/>
        <s v="https://www.tiktok.com/@lilyy.nl/video/7372250529398836512"/>
        <s v="https://www.tiktok.com/@lilyy.nl/video/7374127349601701153"/>
        <s v="https://www.tiktok.com/@lilyy.nl/video/7377465554560453921"/>
        <s v="https://www.tiktok.com/@lilyy.nl/video/7382595650866662688"/>
        <s v="https://www.tiktok.com/@lilyy.nl/video/7387413713944333601"/>
        <s v="https://www.tiktok.com/@lilyy.nl/video/7398197901182111008"/>
        <s v="https://www.tiktok.com/@lilyy.nl/video/7400071344089533728"/>
        <s v="https://www.tiktok.com/@lilyy.nl/video/7401181475330198816"/>
        <s v="https://www.tiktok.com/@lilyy.nl/video/7416387740951956768"/>
        <s v="https://www.tiktok.com/@lilyy.nl/video/7414163405205982497"/>
        <s v="https://www.tiktok.com/@lilyy.nl/video/7424229467951729953"/>
        <s v="https://www.tiktok.com/@lilyy.nl/video/7421229015719103776"/>
        <s v="https://www.tiktok.com/@lilyy.nl/video/7432644019890539808"/>
        <s v="https://www.tiktok.com/@lilyy.nl/video/7467121622500003094"/>
        <s v="https://www.tiktok.com/@lilyy.nl/video/7465615921470557462"/>
        <s v="https://www.tiktok.com/@lilyy.nl/video/7473378357531397398?_t=ZN-8uecd1X7Rby&amp;_r=1"/>
        <s v="https://www.tiktok.com/@lilyy.nl/video/7381865050685934881"/>
        <s v="https://www.tiktok.com/@lilyy.nl/video/7397468947290918176"/>
        <s v="https://www.tiktok.com/@lilyy.nl/video/7355571660520426784?q=lilyy.nl%20aromazone&amp;t=1716382679417"/>
        <s v="https://www.tiktok.com/@lilyy.nl/video/7407474534565154081"/>
        <s v="www.tiktok.com/@lilyy.nl/video/7402233435932216608?cid=NzQwMjIzNDY4NzAzMDE5OTA3Mg"/>
        <s v="https://www.tiktok.com/@lina.mkrn2/video/7384054300869217569?browserMode=1"/>
        <s v="https://www.tiktok.com/@liserdg/video/7399262478896614689"/>
        <s v="https://www.tiktok.com/@liserdg/video/7399698677285014817"/>
        <s v="https://www.tiktok.com/@liserdg/video/7404521868960501024"/>
        <s v="https://www.tiktok.com/@liserdg/video/7407523195101728033"/>
        <s v="https://www.tiktok.com/@liserdg/video/7418260695130623264"/>
        <s v="https://www.tiktok.com/@liserdg/video/7420486871957998880"/>
        <s v="https://www.tiktok.com/@liserdg/video/7431256738801667360?lang=en"/>
        <s v="https://www.tiktok.com/@liserdg/video/7441653570472135969?_t=8riqrKU7tr6&amp;_r=1"/>
        <s v="https://www.tiktok.com/@liserdg/video/7408641991967378720"/>
        <s v="https://www.tiktok.com/@liserdg/video/7381070326211317025"/>
        <s v="https://tiktok.com/@liserdg/video/7422323883673423136"/>
        <s v="https://www.tiktok.com/@lolatagliaferroo/video/7388560111800749345"/>
        <s v="https://www.tiktok.com/@lolatagliaferroo/video/7417167690537717024"/>
        <s v="https://www.tiktok.com/@lolatagliaferroo/video/7417539584071830816"/>
        <s v="https://www.tiktok.com/@lolatagliaferroo/video/7428671047366348065?lang=en"/>
        <s v="https://www.tiktok.com/@lolatagliaferroo/video/7445278458680266006?lang=en"/>
        <s v="https://www.tiktok.com/@melf.fnt/video/7372218331379666209"/>
        <s v="https://www.tiktok.com/@melf.fnt/video/7370750286744292641"/>
        <s v="https://www.tiktok.com/@melf.fnt/video/7383665768757579041"/>
        <s v="https://www.tiktok.com/@melf.fnt/video/7384078329554423073"/>
        <s v="https://www.tiktok.com/@melf.fnt/video/7388460088819797280"/>
        <s v="https://www.tiktok.com/@melf.fnt/video/7391885588057656609"/>
        <s v="https://www.tiktok.com/@melf.fnt/video/7399939773575613728"/>
        <s v="https://www.tiktok.com/@melf.fnt/video/7416390437692280096"/>
        <s v="https://www.tiktok.com/@melf.fnt/video/7415636160636013856"/>
        <s v="https://www.tiktok.com/@melf.fnt/video/7417407814903057697"/>
        <s v="https://www.tiktok.com/@melf.fnt/video/7422664116545801504"/>
        <s v="https://www.tiktok.com/@melf.fnt/video/7431619697042296096"/>
        <s v="https://www.tiktok.com/@melf.fnt/video/7428571977918500128"/>
        <s v="https://www.tiktok.com/@melf.fnt/video/7375924184494476577"/>
        <s v="https://www.tiktok.com/@melf.fnt/video/7395873680867233057"/>
        <s v="https://www.tiktok.com/@melf.fnt/video/7364824274315529505"/>
        <s v="https://www.tiktok.com/@melf.fnt/video/7400756804549971232"/>
        <s v="https://www.tiktok.com/@morgane.mrckk/video/7384031967643307296"/>
        <s v="https://www.tiktok.com/@morgane.mrckk/video/7402654625314196769"/>
        <s v="https://www.tiktok.com/@morgane.mrckk/video/7414534348910775584"/>
        <s v="https://www.tiktok.com/@morgane.mrckk/video/7413431476252970272"/>
        <s v="https://www.tiktok.com/@morgane.mrckk/video/7412302749104114977"/>
        <s v="https://www.tiktok.com/@morgane.mrckk/video/7423352236501241121"/>
        <s v="https://www.tiktok.com/@morgane.mrckk/video/7424156968429833504?lang=en"/>
        <s v="https://www.tiktok.com/@morgane.mrckk/video/7436771318671953185?lang=en"/>
        <s v="https://www.tiktok.com/@morgane.mrckk/video/7385545243870973216"/>
        <s v="https://www.tiktok.com/@morgane.mrckk/video/7397382935453764896"/>
        <s v="https://www.tiktok.com/@morgane.mrckk/video/7381070101392477472"/>
        <s v="https://www.tiktok.com/@morgane.mrckk/video/7416632134347033889"/>
        <s v="https://www.instagram.com/p/DF3IS0nN9_G/?img_index=1"/>
        <s v="https://www.instagram.com/p/DHTVmb9tQrc/"/>
        <s v="https://www.instagram.com/p/DJtb4I3NWCt/?img_index=1&amp;igsh=cHBsdGw3bjhsaTd2"/>
        <s v="https://www.tiktok.com/@___oraane/video/7370306532183002401"/>
        <s v="https://www.tiktok.com/@___oraane/video/7385808181940784417"/>
        <s v="https://www.tiktok.com/@___oraane/video/7396281714101734689"/>
        <s v="https://www.tiktok.com/@___oraane/video/7398824092297612576"/>
        <s v="https://www.tiktok.com/@___oraane/video/7408970007402663200"/>
        <s v="https://www.tiktok.com/@___oraane/video/7422246939724385569?lang=en"/>
        <s v="https://www.tiktok.com/@___oraane/video/7427080640987712800?lang=en"/>
        <s v="https://www.tiktok.com/@___oraane/video/7476554634371337495?_t=ZN-8uksMQy8spa&amp;_r=1"/>
        <s v="https://www.tiktok.com/@___oraane/video/7497260335687142678?_r=1&amp;_t=ZN-8wK7rhJ1GDe"/>
        <s v="https://www.tiktok.com/@___oraane/video/7375468422068571424?_r=1&amp;_t=8krP3tfqVUH"/>
        <s v="https://www.tiktok.com/@___oraane/video/7410372109068766496"/>
        <s v="https://www.tiktok.com/@paupibeauty/video/7376008068775120160"/>
        <s v="https://vm.tiktok.com/ZGeb3qMjG/"/>
        <s v="https://www.tiktok.com/@paupibeauty/video/7388913023471176993"/>
        <s v="https://www.tiktok.com/@paupibeauty/video/7391913188587048224"/>
        <s v="https://www.tiktok.com/@paupibeauty/video/7391464252877442336"/>
        <s v="https://www.tiktok.com/@paupibeauty/video/7399701843338612001?_r=1&amp;_t=8ocjkRHNArg"/>
        <s v="https://www.tiktok.com/@paupibeauty/video/7397104051248188704"/>
        <s v="https://www.tiktok.com/@paupibeauty/video/7409632617487699233?_r=1&amp;_t=8pifPT1JA5h"/>
        <s v="https://www.tiktok.com/@paupibeauty/video/7422233100345806113?_r=1&amp;_t=8qHw0Tc0W3d"/>
        <s v="https://www.tiktok.com/@paupibeauty/video/7433470283073244449"/>
        <s v="https://vm.tiktok.com/ZGdLKEWpH/"/>
        <s v="https://www.tiktok.com/@paupibeauty/video/7469447565080005910"/>
        <s v="https://www.tiktok.com/@paupibeauty/video/7483230429919677718?_r=1&amp;u_code=db2iba9fkd722g&amp;preview_pb=0&amp;sharer_language=fr&amp;_d=e50dm7j0f1glif&amp;share_item_id=7483230429919677718&amp;source=h5_m&amp;timestamp=1742383722&amp;utm_source=copy&amp;tt_from=copy&amp;enable_checksum=1&amp;ut"/>
        <s v="https://vm.tiktok.com/ZNdr6B5df/  https://vm.tiktok.com/ZNdr62oeS/"/>
        <s v="https://www.tiktok.com/@paupibeauty/video/7390429662033251617"/>
        <s v="https://www.tiktok.com/@paupibeauty/video/7364899892755565857"/>
        <s v="https://www.tiktok.com/@paupibeauty/video/7400829639158992161"/>
        <s v="https://www.tiktok.com/@paupibeauty/video/7403338641294101793?_r=1&amp;_t=8otMyM33Aq9"/>
        <s v="https://www.tiktok.com/@paupibeauty/video/7419986303070129441"/>
        <s v="https://www.tiktok.com/@perrine.trp/video/7388970033046736161"/>
        <s v="https://www.tiktok.com/@perrine.trp/video/7391934268479425825"/>
        <s v="https://www.tiktok.com/@perrine.trp/video/7388938973533490465"/>
        <s v="https://www.tiktok.com/@perrine.trp/video/7404526978864270625"/>
        <s v="https://www.tiktok.com/@perrine.trp/video/7416397579652549920"/>
        <s v="https://www.tiktok.com/@perrine.trp/video/7420481706290990368"/>
        <s v="https://www.tiktok.com/@perrine.trp/video/7432357615906082081?lang=en"/>
        <s v="https://www.tiktok.com/@perrine.trp/video/7470594564579921174?_t=ZN-8trcT1kEJTq&amp;_r=1"/>
        <s v="https://www.tiktok.com/@romlabordelaise/photo/7374826918236949793?_d=secCgYIASAHKAESPgo8q9siUnZtyE0109XMp5dx3cMmVFVIaMGy%2BlAK8UtWtglSCdVgBy%2FzSdjJmzYWsISFC9%2B%2FlyF04TxmdiBEGgA%3D&amp;_r=1&amp;checksum=76ea1d67e0b71fc0c1e121f4b86c89eead08caa18274e51cbd7e8fffc4"/>
        <s v="https://www.tiktok.com/@romlabordelaise/video/7367768975154990369"/>
        <s v="https://www.tiktok.com/@iimslma/video/7437910864826486048?_r=1&amp;_t=8rRi7SCy1Ka"/>
        <s v="https://www.tiktok.com/@iimslma/video/7396769960623738145"/>
        <s v="https://www.tiktok.com/@iimslma/video/7403774825702886688"/>
        <s v="https://www.tiktok.com/@iimslma/video/7399725613407309089"/>
        <s v="https://www.tiktok.com/@iimslma/video/7400436730320456993"/>
        <s v="https://www.tiktok.com/@iimslma/video/7407485284817882401"/>
        <s v="https://www.tiktok.com/@iimslma/video/7412021525198425376"/>
        <s v="https://www.tiktok.com/@iimslma/video/7408622473912061216"/>
        <s v="https://www.tiktok.com/@iimslma/video/7413780170781347105"/>
        <s v="https://www.tiktok.com/@iimslma/video/7431628369067838753?lang=en"/>
        <s v="https://www.tiktok.com/@iimslma/video/7435745133313805601?_r=1&amp;_t=8rleTqgb0vG"/>
        <s v="https://www.tiktok.com/@iimslma/video/7468747433061944599?lang=en"/>
        <s v="https://www.tiktok.com/@iimslma/video/7468781724462337302?lang=en"/>
        <s v="https://www.tiktok.com/@iimslma/video/7472835179187424534?lang=en"/>
        <s v="https://www.tiktok.com/@iimslma/video/7481752779980147990?_t=ZN-8ugXSybaIEw&amp;_r=1"/>
        <s v="https://www.tiktok.com/@iimslma/video/7483594182083218710?_r=1&amp;_t=ZN-8uox8rOjAzm"/>
        <s v="https://vm.tiktok.com/ZNdrrBuVK/"/>
      </sharedItems>
    </cacheField>
    <cacheField name="X">
      <sharedItems containsBlank="1" containsMixedTypes="1" containsNumber="1" containsInteger="1">
        <m/>
        <n v="350.0"/>
        <n v="420.0"/>
        <n v="320.0"/>
        <s v="https://www.instagram.com/reel/DEKlEAhCcsg/"/>
        <s v="ANAIS-10 Il offre -10% de réduction sur une commande sans minimum d’achat, hors frais de port, valable jusqu’au 30/04/2025"/>
        <s v="envoyer facture en anglais"/>
        <s v="deja facture"/>
        <s v="500 médiat"/>
        <s v="dont 150 de médiat"/>
        <s v="envoyer facture en €"/>
        <s v="médiat à confirmer 202,50€"/>
        <s v="ajouter code promo"/>
        <s v="lien en bio"/>
        <s v="rembourser Produits"/>
        <s v="facture déjà envoyée"/>
        <s v="enlever 75 media à facturer plus tard"/>
      </sharedItems>
    </cacheField>
    <cacheField name="Grapper" numFmtId="0">
      <sharedItems containsBlank="1">
        <s v="Oui"/>
        <s v="Non"/>
        <m/>
        <s v="Non "/>
      </sharedItems>
    </cacheField>
    <cacheField name="Date vente" numFmtId="164">
      <sharedItems containsNonDate="0" containsDate="1" containsString="0" containsBlank="1" minDate="2024-01-14T00:00:00Z" maxDate="2025-07-29T00:00:00Z">
        <d v="2024-03-01T00:00:00Z"/>
        <d v="2024-03-15T00:00:00Z"/>
        <m/>
        <d v="2024-03-30T00:00:00Z"/>
        <d v="2024-03-25T00:00:00Z"/>
        <d v="2024-04-08T00:00:00Z"/>
        <d v="2024-04-11T00:00:00Z"/>
        <d v="2024-03-21T00:00:00Z"/>
        <d v="2024-04-25T00:00:00Z"/>
        <d v="2024-04-19T00:00:00Z"/>
        <d v="2024-05-07T00:00:00Z"/>
        <d v="2024-05-06T00:00:00Z"/>
        <d v="2024-05-02T00:00:00Z"/>
        <d v="2024-05-13T00:00:00Z"/>
        <d v="2024-05-14T00:00:00Z"/>
        <d v="2024-03-20T00:00:00Z"/>
        <d v="2024-04-10T00:00:00Z"/>
        <d v="2024-05-30T00:00:00Z"/>
        <d v="2024-05-11T00:00:00Z"/>
        <d v="2024-04-30T00:00:00Z"/>
        <d v="2024-05-23T00:00:00Z"/>
        <d v="2024-05-16T00:00:00Z"/>
        <d v="2024-06-08T00:00:00Z"/>
        <d v="2024-06-20T00:00:00Z"/>
        <d v="2024-06-18T00:00:00Z"/>
        <d v="2024-06-12T00:00:00Z"/>
        <d v="2024-06-24T00:00:00Z"/>
        <d v="2024-06-11T00:00:00Z"/>
        <d v="2024-07-16T00:00:00Z"/>
        <d v="2024-07-25T00:00:00Z"/>
        <d v="2024-07-03T00:00:00Z"/>
        <d v="2024-06-17T00:00:00Z"/>
        <d v="2024-06-27T00:00:00Z"/>
        <d v="2024-07-06T00:00:00Z"/>
        <d v="2024-06-14T00:00:00Z"/>
        <d v="2024-07-24T00:00:00Z"/>
        <d v="2024-07-10T00:00:00Z"/>
        <d v="2024-08-01T00:00:00Z"/>
        <d v="2024-07-04T00:00:00Z"/>
        <d v="2024-07-23T00:00:00Z"/>
        <d v="2024-07-21T00:00:00Z"/>
        <d v="2024-08-06T00:00:00Z"/>
        <d v="2024-07-29T00:00:00Z"/>
        <d v="2024-07-30T00:00:00Z"/>
        <d v="2024-07-17T00:00:00Z"/>
        <d v="2024-08-02T00:00:00Z"/>
        <d v="2024-07-31T00:00:00Z"/>
        <d v="2024-08-21T00:00:00Z"/>
        <d v="2024-08-19T00:00:00Z"/>
        <d v="2024-08-13T00:00:00Z"/>
        <d v="2024-09-11T00:00:00Z"/>
        <d v="2024-08-16T00:00:00Z"/>
        <d v="2024-09-12T00:00:00Z"/>
        <d v="2024-08-23T00:00:00Z"/>
        <d v="2024-09-04T00:00:00Z"/>
        <d v="2025-05-20T00:00:00Z"/>
        <d v="2024-09-09T00:00:00Z"/>
        <d v="2024-08-28T00:00:00Z"/>
        <d v="2024-09-14T00:00:00Z"/>
        <d v="2024-09-13T00:00:00Z"/>
        <d v="2024-08-20T00:00:00Z"/>
        <d v="2024-09-26T00:00:00Z"/>
        <d v="2024-08-29T00:00:00Z"/>
        <d v="2025-05-13T00:00:00Z"/>
        <d v="2024-09-03T00:00:00Z"/>
        <d v="2024-09-27T00:00:00Z"/>
        <d v="2024-10-01T00:00:00Z"/>
        <d v="2025-05-07T00:00:00Z"/>
        <d v="2024-10-28T00:00:00Z"/>
        <d v="2024-09-10T00:00:00Z"/>
        <d v="2024-10-15T00:00:00Z"/>
        <d v="2024-10-29T00:00:00Z"/>
        <d v="2024-10-24T00:00:00Z"/>
        <d v="2024-10-02T00:00:00Z"/>
        <d v="2024-10-30T00:00:00Z"/>
        <d v="2024-10-14T00:00:00Z"/>
        <d v="2024-10-25T00:00:00Z"/>
        <d v="2024-11-05T00:00:00Z"/>
        <d v="2024-11-08T00:00:00Z"/>
        <d v="2024-11-04T00:00:00Z"/>
        <d v="2024-10-23T00:00:00Z"/>
        <d v="2024-11-29T00:00:00Z"/>
        <d v="2024-11-19T00:00:00Z"/>
        <d v="2024-12-09T00:00:00Z"/>
        <d v="2024-11-26T00:00:00Z"/>
        <d v="2024-11-25T00:00:00Z"/>
        <d v="2024-12-05T00:00:00Z"/>
        <d v="2024-12-16T00:00:00Z"/>
        <d v="2024-11-11T00:00:00Z"/>
        <d v="2024-12-03T00:00:00Z"/>
        <d v="2024-12-24T00:00:00Z"/>
        <d v="2025-02-20T00:00:00Z"/>
        <d v="2024-12-23T00:00:00Z"/>
        <d v="2025-01-07T00:00:00Z"/>
        <d v="2024-12-12T00:00:00Z"/>
        <d v="2025-01-21T00:00:00Z"/>
        <d v="2025-01-24T00:00:00Z"/>
        <d v="2025-01-17T00:00:00Z"/>
        <d v="2025-01-09T00:00:00Z"/>
        <d v="2025-01-27T00:00:00Z"/>
        <d v="2025-01-23T00:00:00Z"/>
        <d v="2024-10-22T00:00:00Z"/>
        <d v="2024-10-21T00:00:00Z"/>
        <d v="2025-01-22T00:00:00Z"/>
        <d v="2025-01-16T00:00:00Z"/>
        <d v="2025-02-12T00:00:00Z"/>
        <d v="2025-02-18T00:00:00Z"/>
        <d v="2025-01-29T00:00:00Z"/>
        <d v="2025-02-14T00:00:00Z"/>
        <d v="2025-02-15T00:00:00Z"/>
        <d v="2025-02-06T00:00:00Z"/>
        <d v="2025-02-21T00:00:00Z"/>
        <d v="2025-03-31T00:00:00Z"/>
        <d v="2025-02-26T00:00:00Z"/>
        <d v="2025-02-28T00:00:00Z"/>
        <d v="2025-02-25T00:00:00Z"/>
        <d v="2025-02-19T00:00:00Z"/>
        <d v="2025-03-11T00:00:00Z"/>
        <d v="2025-03-21T00:00:00Z"/>
        <d v="2025-03-12T00:00:00Z"/>
        <d v="2025-03-17T00:00:00Z"/>
        <d v="2025-03-24T00:00:00Z"/>
        <d v="2025-03-10T00:00:00Z"/>
        <d v="2025-03-14T00:00:00Z"/>
        <d v="2025-04-17T00:00:00Z"/>
        <d v="2025-03-16T00:00:00Z"/>
        <d v="2025-04-04T00:00:00Z"/>
        <d v="2025-04-07T00:00:00Z"/>
        <d v="2025-04-15T00:00:00Z"/>
        <d v="2025-04-25T00:00:00Z"/>
        <d v="2025-05-16T00:00:00Z"/>
        <d v="2025-04-14T00:00:00Z"/>
        <d v="2025-03-28T00:00:00Z"/>
        <d v="2025-03-06T00:00:00Z"/>
        <d v="2025-03-20T00:00:00Z"/>
        <d v="2025-04-09T00:00:00Z"/>
        <d v="2025-04-11T00:00:00Z"/>
        <d v="2025-03-13T00:00:00Z"/>
        <d v="2025-04-08T00:00:00Z"/>
        <d v="2025-04-30T00:00:00Z"/>
        <d v="2025-04-21T00:00:00Z"/>
        <d v="2025-06-02T00:00:00Z"/>
        <d v="2025-06-10T00:00:00Z"/>
        <d v="2025-03-30T00:00:00Z"/>
        <d v="2025-03-26T00:00:00Z"/>
        <d v="2025-06-20T00:00:00Z"/>
        <d v="2025-02-10T00:00:00Z"/>
        <d v="2025-05-19T00:00:00Z"/>
        <d v="2025-04-24T00:00:00Z"/>
        <d v="2025-06-26T00:00:00Z"/>
        <d v="2025-05-23T00:00:00Z"/>
        <d v="2025-05-06T00:00:00Z"/>
        <d v="2025-05-24T00:00:00Z"/>
        <d v="2025-06-05T00:00:00Z"/>
        <d v="2025-05-27T00:00:00Z"/>
        <d v="2025-06-12T00:00:00Z"/>
        <d v="2025-05-28T00:00:00Z"/>
        <d v="2025-06-16T00:00:00Z"/>
        <d v="2025-06-18T00:00:00Z"/>
        <d v="2025-06-11T00:00:00Z"/>
        <d v="2025-06-23T00:00:00Z"/>
        <d v="2025-02-03T00:00:00Z"/>
        <d v="2025-06-04T00:00:00Z"/>
        <d v="2025-05-22T00:00:00Z"/>
        <d v="2025-06-22T00:00:00Z"/>
        <d v="2025-07-16T00:00:00Z"/>
        <d v="2025-06-19T00:00:00Z"/>
        <d v="2025-07-01T00:00:00Z"/>
        <d v="2025-06-17T00:00:00Z"/>
        <d v="2025-06-13T00:00:00Z"/>
        <d v="2025-07-03T00:00:00Z"/>
        <d v="2024-10-18T00:00:00Z"/>
        <d v="2025-05-29T00:00:00Z"/>
        <d v="2025-06-30T00:00:00Z"/>
        <d v="2025-03-07T00:00:00Z"/>
        <d v="2024-09-08T00:00:00Z"/>
        <d v="2024-10-08T00:00:00Z"/>
        <d v="2024-11-13T00:00:00Z"/>
        <d v="2024-12-10T00:00:00Z"/>
        <d v="2024-12-04T00:00:00Z"/>
        <d v="2024-06-07T00:00:00Z"/>
        <d v="2024-05-31T00:00:00Z"/>
        <d v="2025-02-23T00:00:00Z"/>
        <d v="2024-11-07T00:00:00Z"/>
        <d v="2024-11-28T00:00:00Z"/>
        <d v="2024-12-18T00:00:00Z"/>
        <d v="2025-02-11T00:00:00Z"/>
        <d v="2025-02-07T00:00:00Z"/>
        <d v="2024-09-05T00:00:00Z"/>
        <d v="2024-12-13T00:00:00Z"/>
        <d v="2024-03-08T00:00:00Z"/>
        <d v="2024-04-22T00:00:00Z"/>
        <d v="2024-05-17T00:00:00Z"/>
        <d v="2024-04-24T00:00:00Z"/>
        <d v="2024-05-24T00:00:00Z"/>
        <d v="2024-07-19T00:00:00Z"/>
        <d v="2024-08-09T00:00:00Z"/>
        <d v="2024-07-01T00:00:00Z"/>
        <d v="2024-08-26T00:00:00Z"/>
        <d v="2024-09-17T00:00:00Z"/>
        <d v="2024-09-25T00:00:00Z"/>
        <d v="2024-09-30T00:00:00Z"/>
        <d v="2024-10-10T00:00:00Z"/>
        <d v="2024-12-02T00:00:00Z"/>
        <d v="2025-01-06T00:00:00Z"/>
        <d v="2025-01-13T00:00:00Z"/>
        <d v="2024-06-26T00:00:00Z"/>
        <d v="2024-08-07T00:00:00Z"/>
        <d v="2024-07-11T00:00:00Z"/>
        <d v="2024-09-16T00:00:00Z"/>
        <d v="2024-11-14T00:00:00Z"/>
        <d v="2024-03-22T00:00:00Z"/>
        <d v="2024-04-06T00:00:00Z"/>
        <d v="2024-04-07T00:00:00Z"/>
        <d v="2024-06-04T00:00:00Z"/>
        <d v="2024-10-11T00:00:00Z"/>
        <d v="2024-03-23T00:00:00Z"/>
        <d v="2024-04-04T00:00:00Z"/>
        <d v="2024-04-09T00:00:00Z"/>
        <d v="2024-05-21T00:00:00Z"/>
        <d v="2024-05-27T00:00:00Z"/>
        <d v="2024-08-27T00:00:00Z"/>
        <d v="2025-04-12T00:00:00Z"/>
        <d v="2024-02-28T00:00:00Z"/>
        <d v="2024-05-28T00:00:00Z"/>
        <d v="2024-09-23T00:00:00Z"/>
        <d v="2024-06-30T00:00:00Z"/>
        <d v="2024-09-20T00:00:00Z"/>
        <d v="2024-10-07T00:00:00Z"/>
        <d v="2024-03-27T00:00:00Z"/>
        <d v="2024-04-13T00:00:00Z"/>
        <d v="2024-04-27T00:00:00Z"/>
        <d v="2024-01-15T00:00:00Z"/>
        <d v="2024-01-14T00:00:00Z"/>
        <d v="2025-03-18T00:00:00Z"/>
        <d v="2024-05-18T00:00:00Z"/>
        <d v="2024-06-19T00:00:00Z"/>
        <d v="2024-10-09T00:00:00Z"/>
        <d v="2024-11-12T00:00:00Z"/>
        <d v="2024-12-19T00:00:00Z"/>
        <d v="2025-02-22T00:00:00Z"/>
        <d v="2024-03-26T00:00:00Z"/>
        <d v="2024-05-20T00:00:00Z"/>
        <d v="2024-07-08T00:00:00Z"/>
        <d v="2024-11-22T00:00:00Z"/>
        <d v="2024-10-31T00:00:00Z"/>
        <d v="2024-07-15T00:00:00Z"/>
        <d v="2024-09-24T00:00:00Z"/>
        <d v="2024-02-15T00:00:00Z"/>
        <d v="2024-04-26T00:00:00Z"/>
        <d v="2024-06-03T00:00:00Z"/>
        <d v="2024-04-12T00:00:00Z"/>
        <d v="2024-07-09T00:00:00Z"/>
        <d v="2024-09-29T00:00:00Z"/>
        <d v="2024-10-06T00:00:00Z"/>
        <d v="2024-10-16T00:00:00Z"/>
        <d v="2024-09-19T00:00:00Z"/>
        <d v="2024-03-28T00:00:00Z"/>
        <d v="2024-10-17T00:00:00Z"/>
        <d v="2025-04-29T00:00:00Z"/>
        <d v="2024-03-18T00:00:00Z"/>
        <d v="2024-08-14T00:00:00Z"/>
        <d v="2024-09-01T00:00:00Z"/>
        <d v="2024-11-15T00:00:00Z"/>
        <d v="2025-01-03T00:00:00Z"/>
        <d v="2024-07-18T00:00:00Z"/>
        <d v="2025-07-11T00:00:00Z"/>
        <d v="2025-07-18T00:00:00Z"/>
        <d v="2025-07-21T00:00:00Z"/>
        <d v="2025-07-22T00:00:00Z"/>
        <d v="2025-07-24T00:00:00Z"/>
        <d v="2025-07-25T00:00:00Z"/>
        <d v="2025-07-28T00:00:00Z"/>
        <d v="2025-06-24T00:00:00Z"/>
      </sharedItems>
      <fieldGroup base="16">
        <rangePr autoStart="0" autoEnd="0" groupBy="months" startDate="2024-01-14T00:00:00Z" endDate="2025-07-29T00:00:00Z"/>
        <groupItems>
          <s v="&lt;01/14/24"/>
          <s v="Jan"/>
          <s v="Feb"/>
          <s v="Mar"/>
          <s v="Apr"/>
          <s v="May"/>
          <s v="Jun"/>
          <s v="Jul"/>
          <s v="Aug"/>
          <s v="Sep"/>
          <s v="Oct"/>
          <s v="Nov"/>
          <s v="Dec"/>
          <s v="&gt;07/29/25"/>
        </groupItems>
      </fieldGroup>
    </cacheField>
    <cacheField name="Commission" numFmtId="166">
      <sharedItems containsString="0" containsBlank="1" containsNumber="1">
        <n v="14.0"/>
        <m/>
        <n v="40.0"/>
        <n v="125.0"/>
        <n v="20.0"/>
        <n v="130.0"/>
        <n v="112.5"/>
        <n v="157.48"/>
        <n v="50.0"/>
        <n v="450.0"/>
        <n v="43.75"/>
        <n v="62.5"/>
        <n v="200.0"/>
        <n v="45.0"/>
        <n v="46.0"/>
        <n v="75.0"/>
        <n v="90.0"/>
        <n v="16.0"/>
        <n v="37.5"/>
        <n v="150.0"/>
        <n v="87.5"/>
        <n v="159.29999999999998"/>
        <n v="100.0"/>
        <n v="135.0"/>
        <n v="60.32"/>
        <n v="250.0"/>
        <n v="30.0"/>
        <n v="22.5"/>
        <n v="82.5"/>
        <n v="41.25"/>
        <n v="70.0"/>
        <n v="120.0"/>
        <n v="60.0"/>
        <n v="180.0"/>
        <n v="80.0"/>
        <n v="105.0"/>
        <n v="157.944"/>
        <n v="312.5"/>
        <n v="209.76000000000002"/>
        <n v="71.587"/>
        <n v="34.6"/>
        <n v="360.0"/>
        <n v="187.5"/>
        <n v="210.0"/>
        <n v="117.99"/>
        <n v="540.0"/>
        <n v="114.75"/>
        <n v="97.5"/>
        <n v="0.0"/>
        <n v="195.0"/>
        <n v="34.0"/>
        <n v="240.0"/>
        <n v="225.0"/>
        <n v="300.0"/>
        <n v="58.5"/>
        <n v="285.0"/>
        <n v="253.125"/>
        <n v="15.0"/>
        <n v="600.0"/>
        <n v="99.99999999999999"/>
        <n v="270.0"/>
        <n v="174.6"/>
        <n v="58.2"/>
        <n v="291.0"/>
        <n v="175.0"/>
        <n v="555.0"/>
        <n v="375.0"/>
        <n v="282.0"/>
        <n v="750.0"/>
        <n v="255.0"/>
        <n v="330.0"/>
        <n v="202.5"/>
        <n v="165.6"/>
        <n v="165.039"/>
        <n v="420.0"/>
        <n v="281.25"/>
        <n v="118.52699999999999"/>
        <n v="123.21600000000001"/>
        <n v="165.0"/>
        <n v="152.49"/>
        <n v="111.0"/>
        <n v="390.0"/>
        <n v="147.861"/>
        <n v="33.333333333333336"/>
        <n v="989.4"/>
        <n v="199.99999999999997"/>
        <n v="186.0"/>
        <n v="33.75"/>
        <n v="65.22"/>
        <n v="500.0"/>
        <n v="937.5"/>
        <n v="93.0"/>
        <n v="264.0"/>
        <n v="387.0"/>
        <n v="252.0"/>
        <n v="180.6"/>
        <n v="57.0"/>
        <n v="1733.0"/>
        <n v="140.0"/>
        <n v="25.0"/>
        <n v="56.25"/>
        <n v="235.0"/>
        <n v="26.0"/>
        <n v="28.8"/>
        <n v="280.0"/>
        <n v="900.0"/>
        <n v="1350.0"/>
        <n v="176.4"/>
      </sharedItems>
    </cacheField>
  </cacheFields>
</pivotCacheDefinition>
</file>

<file path=xl/pivotCache/pivotCacheDefinition4.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R862" sheet="Global1"/>
  </cacheSource>
  <cacheFields>
    <cacheField name="Talent" numFmtId="0">
      <sharedItems>
        <s v="Pauline"/>
        <s v="Chiara"/>
        <s v="Melissa"/>
        <s v="Camille"/>
        <s v="Lily Noël"/>
        <s v="Lina"/>
        <s v="Flavie"/>
        <s v="Jessica"/>
        <s v="Orane"/>
        <s v="Lola"/>
        <s v="Juliane"/>
        <s v="Alice"/>
        <s v="Laurie"/>
        <s v="Perrine"/>
        <s v="Morgane"/>
        <s v="Lise"/>
        <s v="Jeanne"/>
        <s v="Mary"/>
        <s v="Melissa P"/>
        <s v="Anaïs"/>
        <s v="Salma"/>
        <s v="Aïcha"/>
        <s v="Jasmine"/>
        <s v="Asmae"/>
        <s v="Rachel"/>
        <s v="Arwen"/>
        <s v="Iman"/>
        <s v="Moped"/>
        <s v="Dounia"/>
        <s v="Gurbet"/>
        <s v="Amani"/>
        <s v="Hidaya"/>
        <s v="Sirine"/>
        <s v="Eloise"/>
        <s v="Imane"/>
        <s v="Marine"/>
        <s v="Sofia"/>
        <s v="Sarah"/>
        <s v="Eiliassa"/>
        <s v="Farah"/>
        <s v="Estelle"/>
        <s v="Juliette"/>
        <s v="Nidal"/>
        <s v="Lola H."/>
        <s v="Morgane C"/>
        <s v="Chloe"/>
        <s v="Laura"/>
        <s v="Lilou"/>
        <s v="Lily"/>
        <s v="Amanda"/>
        <s v="Glenn"/>
        <s v="--"/>
        <s v="Amelle"/>
        <s v="Angie"/>
        <s v="Fanny"/>
      </sharedItems>
    </cacheField>
    <cacheField name="Date Création" numFmtId="164">
      <sharedItems containsDate="1" containsString="0" containsBlank="1">
        <d v="2024-03-01T00:00:00Z"/>
        <d v="2024-03-15T00:00:00Z"/>
        <m/>
        <d v="2024-03-30T00:00:00Z"/>
        <d v="2024-03-25T00:00:00Z"/>
        <d v="2024-04-08T00:00:00Z"/>
        <d v="2024-04-11T00:00:00Z"/>
        <d v="2024-03-21T00:00:00Z"/>
        <d v="2024-04-25T00:00:00Z"/>
        <d v="2024-04-19T00:00:00Z"/>
        <d v="2024-05-07T00:00:00Z"/>
        <d v="2024-05-06T00:00:00Z"/>
        <d v="2024-05-02T00:00:00Z"/>
        <d v="2024-05-13T00:00:00Z"/>
        <d v="2024-05-14T00:00:00Z"/>
        <d v="2024-03-20T00:00:00Z"/>
        <d v="2024-04-10T00:00:00Z"/>
        <d v="2024-05-30T00:00:00Z"/>
        <d v="2024-05-11T00:00:00Z"/>
        <d v="2024-04-30T00:00:00Z"/>
        <d v="2024-05-23T00:00:00Z"/>
        <d v="2024-05-16T00:00:00Z"/>
        <d v="2024-06-08T00:00:00Z"/>
        <d v="2024-06-20T00:00:00Z"/>
        <d v="2024-06-18T00:00:00Z"/>
        <d v="2024-06-12T00:00:00Z"/>
        <d v="2024-06-24T00:00:00Z"/>
        <d v="2024-06-11T00:00:00Z"/>
        <d v="2024-07-16T00:00:00Z"/>
        <d v="2024-07-25T00:00:00Z"/>
        <d v="2024-07-03T00:00:00Z"/>
        <d v="2024-06-17T00:00:00Z"/>
        <d v="2024-06-27T00:00:00Z"/>
        <d v="2024-07-06T00:00:00Z"/>
        <d v="2024-06-14T00:00:00Z"/>
        <d v="2024-07-24T00:00:00Z"/>
        <d v="2024-07-10T00:00:00Z"/>
        <d v="2024-08-01T00:00:00Z"/>
        <d v="2024-07-04T00:00:00Z"/>
        <d v="2024-07-23T00:00:00Z"/>
        <d v="2024-07-21T00:00:00Z"/>
        <d v="2024-08-06T00:00:00Z"/>
        <d v="2024-07-29T00:00:00Z"/>
        <d v="2024-07-30T00:00:00Z"/>
        <d v="2024-07-17T00:00:00Z"/>
        <d v="2024-08-02T00:00:00Z"/>
        <d v="2024-07-31T00:00:00Z"/>
        <d v="2024-08-21T00:00:00Z"/>
        <d v="2024-08-19T00:00:00Z"/>
        <d v="2024-08-13T00:00:00Z"/>
        <d v="2024-09-11T00:00:00Z"/>
        <d v="2024-08-16T00:00:00Z"/>
        <d v="2024-09-12T00:00:00Z"/>
        <d v="2024-08-23T00:00:00Z"/>
        <d v="2024-09-04T00:00:00Z"/>
        <d v="2025-05-20T00:00:00Z"/>
        <d v="2024-09-09T00:00:00Z"/>
        <d v="2024-08-28T00:00:00Z"/>
        <d v="2024-09-14T00:00:00Z"/>
        <d v="2024-09-13T00:00:00Z"/>
        <d v="2024-08-20T00:00:00Z"/>
        <d v="2024-09-26T00:00:00Z"/>
        <d v="2024-08-29T00:00:00Z"/>
        <d v="2025-05-13T00:00:00Z"/>
        <d v="2024-09-03T00:00:00Z"/>
        <d v="2024-09-27T00:00:00Z"/>
        <d v="2024-10-01T00:00:00Z"/>
        <d v="2025-05-07T00:00:00Z"/>
        <d v="2024-10-28T00:00:00Z"/>
        <d v="2024-09-10T00:00:00Z"/>
        <d v="2024-10-15T00:00:00Z"/>
        <d v="2024-10-29T00:00:00Z"/>
        <d v="2024-10-24T00:00:00Z"/>
        <d v="2024-10-02T00:00:00Z"/>
        <d v="2024-10-30T00:00:00Z"/>
        <d v="2024-10-14T00:00:00Z"/>
        <d v="2024-10-25T00:00:00Z"/>
        <d v="2024-11-05T00:00:00Z"/>
        <d v="2024-11-08T00:00:00Z"/>
        <d v="2024-11-04T00:00:00Z"/>
        <d v="2024-10-23T00:00:00Z"/>
        <d v="2024-11-29T00:00:00Z"/>
        <d v="2024-11-19T00:00:00Z"/>
        <d v="2024-12-09T00:00:00Z"/>
        <d v="2024-11-26T00:00:00Z"/>
        <d v="2024-11-25T00:00:00Z"/>
        <d v="2024-12-05T00:00:00Z"/>
        <d v="2024-12-16T00:00:00Z"/>
        <d v="2024-11-11T00:00:00Z"/>
        <d v="2024-12-03T00:00:00Z"/>
        <d v="2024-12-24T00:00:00Z"/>
        <d v="2025-02-20T00:00:00Z"/>
        <d v="2024-12-23T00:00:00Z"/>
        <d v="2025-01-07T00:00:00Z"/>
        <d v="2024-12-12T00:00:00Z"/>
        <d v="2025-01-21T00:00:00Z"/>
        <d v="2025-01-24T00:00:00Z"/>
        <d v="2025-01-17T00:00:00Z"/>
        <d v="2025-01-09T00:00:00Z"/>
        <d v="2025-01-27T00:00:00Z"/>
        <d v="2025-01-23T00:00:00Z"/>
        <d v="2024-10-22T00:00:00Z"/>
        <d v="2024-10-21T00:00:00Z"/>
        <d v="2025-01-22T00:00:00Z"/>
        <d v="2025-01-16T00:00:00Z"/>
        <d v="2025-02-12T00:00:00Z"/>
        <d v="2025-02-18T00:00:00Z"/>
        <d v="2025-01-29T00:00:00Z"/>
        <d v="2025-02-14T00:00:00Z"/>
        <d v="2025-02-15T00:00:00Z"/>
        <d v="2025-02-06T00:00:00Z"/>
        <d v="2025-02-21T00:00:00Z"/>
        <d v="2025-03-31T00:00:00Z"/>
        <d v="2025-02-26T00:00:00Z"/>
        <d v="2025-02-28T00:00:00Z"/>
        <d v="2025-02-25T00:00:00Z"/>
        <d v="2025-02-19T00:00:00Z"/>
        <d v="2025-03-11T00:00:00Z"/>
        <d v="2025-03-21T00:00:00Z"/>
        <d v="2025-03-12T00:00:00Z"/>
        <d v="2025-03-17T00:00:00Z"/>
        <d v="2025-03-24T00:00:00Z"/>
        <d v="2025-03-10T00:00:00Z"/>
        <d v="2025-03-14T00:00:00Z"/>
        <d v="2025-04-17T00:00:00Z"/>
        <d v="2025-03-16T00:00:00Z"/>
        <d v="2025-04-04T00:00:00Z"/>
        <d v="2025-04-07T00:00:00Z"/>
        <d v="2025-04-15T00:00:00Z"/>
        <d v="2025-04-25T00:00:00Z"/>
        <d v="2025-05-16T00:00:00Z"/>
        <d v="2025-04-14T00:00:00Z"/>
        <d v="2025-03-28T00:00:00Z"/>
        <d v="2025-03-06T00:00:00Z"/>
        <d v="2025-03-20T00:00:00Z"/>
        <d v="2025-04-09T00:00:00Z"/>
        <d v="2025-04-11T00:00:00Z"/>
        <d v="2025-03-13T00:00:00Z"/>
        <d v="2025-04-08T00:00:00Z"/>
        <d v="2025-04-30T00:00:00Z"/>
        <d v="2025-04-21T00:00:00Z"/>
        <d v="2025-06-02T00:00:00Z"/>
        <d v="2025-06-10T00:00:00Z"/>
        <d v="2025-03-30T00:00:00Z"/>
        <d v="2025-03-26T00:00:00Z"/>
        <d v="2025-06-20T00:00:00Z"/>
        <d v="2025-02-10T00:00:00Z"/>
        <d v="2025-05-19T00:00:00Z"/>
        <d v="2025-04-24T00:00:00Z"/>
        <d v="2025-06-26T00:00:00Z"/>
        <d v="2025-05-23T00:00:00Z"/>
        <d v="2025-05-06T00:00:00Z"/>
        <d v="2025-05-24T00:00:00Z"/>
        <d v="2025-06-05T00:00:00Z"/>
        <d v="2025-05-27T00:00:00Z"/>
        <d v="2025-06-12T00:00:00Z"/>
        <d v="2025-05-28T00:00:00Z"/>
        <d v="2025-06-16T00:00:00Z"/>
        <d v="2025-06-18T00:00:00Z"/>
        <d v="2025-06-11T00:00:00Z"/>
        <d v="2025-06-23T00:00:00Z"/>
        <d v="2025-02-03T00:00:00Z"/>
        <d v="2025-06-04T00:00:00Z"/>
        <d v="2025-05-22T00:00:00Z"/>
        <d v="2025-06-22T00:00:00Z"/>
        <d v="2025-07-16T00:00:00Z"/>
        <d v="2025-06-19T00:00:00Z"/>
        <d v="2025-07-01T00:00:00Z"/>
        <d v="2025-06-17T00:00:00Z"/>
        <d v="2025-06-13T00:00:00Z"/>
        <d v="2025-07-03T00:00:00Z"/>
        <d v="2024-10-18T00:00:00Z"/>
        <d v="2025-05-29T00:00:00Z"/>
        <d v="2025-06-30T00:00:00Z"/>
        <d v="2025-03-07T00:00:00Z"/>
        <d v="2024-09-08T00:00:00Z"/>
        <d v="2024-10-08T00:00:00Z"/>
        <d v="2024-11-13T00:00:00Z"/>
        <d v="2024-12-10T00:00:00Z"/>
        <d v="2024-12-04T00:00:00Z"/>
        <d v="2024-06-07T00:00:00Z"/>
        <d v="2024-05-31T00:00:00Z"/>
        <d v="2025-02-23T00:00:00Z"/>
        <d v="2024-11-07T00:00:00Z"/>
        <d v="2024-11-28T00:00:00Z"/>
        <d v="2024-12-18T00:00:00Z"/>
        <d v="2025-02-11T00:00:00Z"/>
        <d v="2025-02-07T00:00:00Z"/>
        <d v="2024-09-05T00:00:00Z"/>
        <d v="2024-12-13T00:00:00Z"/>
        <d v="2024-03-08T00:00:00Z"/>
        <d v="2024-04-22T00:00:00Z"/>
        <d v="2024-05-17T00:00:00Z"/>
        <d v="2024-04-24T00:00:00Z"/>
        <d v="2024-05-24T00:00:00Z"/>
        <d v="2024-07-19T00:00:00Z"/>
        <d v="2024-08-09T00:00:00Z"/>
        <d v="2024-07-01T00:00:00Z"/>
        <d v="2024-08-26T00:00:00Z"/>
        <d v="2024-09-17T00:00:00Z"/>
        <d v="2024-09-25T00:00:00Z"/>
        <d v="2024-09-30T00:00:00Z"/>
        <d v="2024-10-10T00:00:00Z"/>
        <d v="2024-12-02T00:00:00Z"/>
        <d v="2025-01-06T00:00:00Z"/>
        <d v="2025-01-13T00:00:00Z"/>
        <d v="2024-06-26T00:00:00Z"/>
        <d v="2024-08-07T00:00:00Z"/>
        <d v="2024-07-11T00:00:00Z"/>
        <d v="2024-09-16T00:00:00Z"/>
        <d v="2024-11-14T00:00:00Z"/>
        <d v="2024-03-22T00:00:00Z"/>
        <d v="2024-04-06T00:00:00Z"/>
        <d v="2024-04-07T00:00:00Z"/>
        <d v="2024-06-04T00:00:00Z"/>
        <d v="2024-10-11T00:00:00Z"/>
        <d v="2024-03-23T00:00:00Z"/>
        <d v="2024-04-04T00:00:00Z"/>
        <d v="2024-04-09T00:00:00Z"/>
        <d v="2024-05-21T00:00:00Z"/>
        <d v="2024-05-27T00:00:00Z"/>
        <d v="2024-08-27T00:00:00Z"/>
        <d v="2025-04-12T00:00:00Z"/>
        <d v="2024-02-28T00:00:00Z"/>
        <d v="2024-05-28T00:00:00Z"/>
        <d v="2024-09-23T00:00:00Z"/>
        <d v="2024-06-30T00:00:00Z"/>
        <d v="2024-09-20T00:00:00Z"/>
        <d v="2024-10-07T00:00:00Z"/>
        <d v="2024-03-27T00:00:00Z"/>
        <d v="2024-04-13T00:00:00Z"/>
        <d v="2024-04-27T00:00:00Z"/>
        <d v="2024-01-15T00:00:00Z"/>
        <d v="2024-01-14T00:00:00Z"/>
        <d v="2025-03-18T00:00:00Z"/>
        <d v="2024-05-18T00:00:00Z"/>
      </sharedItems>
    </cacheField>
    <cacheField name="Marque" numFmtId="3">
      <sharedItems>
        <s v="BYS Maquillage"/>
        <s v="Yepoda"/>
        <s v="Rimmel London"/>
        <s v="SHEIN"/>
        <s v="Yves Rocher"/>
        <s v="Temu"/>
        <s v="Anua"/>
        <s v="SOS Beauty"/>
        <s v="Haru Haru Wonder"/>
        <s v="Maybelline"/>
        <s v="Koru"/>
        <s v="PINKO PAZZESCO"/>
        <s v="GHD"/>
        <s v="SKIN1004"/>
        <s v="Les Pistolets en Plastique"/>
        <s v="Rose Skin Co."/>
        <s v="Skin &amp; Out"/>
        <s v="Dyson"/>
        <s v="Satinée"/>
        <s v="BodyCross"/>
        <s v="Garnier"/>
        <s v="Eau Thermale Jonzac"/>
        <s v="So Bio Etic"/>
        <s v="Terre de Mars"/>
        <s v="Commonlabs"/>
        <s v="BENEFIT"/>
        <s v="Anastasia Beverly Hills"/>
        <s v="Grande Cosmetics"/>
        <s v="Mixa"/>
        <s v="My House of Jewels"/>
        <s v="Uriage"/>
        <s v="Erborian"/>
        <s v="Lancôme "/>
        <s v="Nocibé"/>
        <s v="Crocs"/>
        <s v="JOLT"/>
        <s v="Ducray"/>
        <s v="Bioré"/>
        <s v="La Roche Posay"/>
        <s v="Yesstyle"/>
        <s v="Sheglam"/>
        <s v="Abib"/>
        <s v="Bershka"/>
        <s v="Dr.Althea"/>
        <s v="Stylevana"/>
        <s v="Dreame"/>
        <s v="Lancôme"/>
        <s v="Wandernana"/>
        <s v="Essence"/>
        <s v="Monopoly Go"/>
        <s v="Frank Provost"/>
        <s v="Myriam K Paris"/>
        <s v="Sol De Janeiro"/>
        <s v="Mixsoon"/>
        <s v="Current Body"/>
        <s v="Aïa Curl"/>
        <s v="Aromazone"/>
        <s v="iHerb"/>
        <s v="Mova"/>
        <s v="L'Oréal"/>
        <s v="Hacoo"/>
        <s v="Biocyte"/>
        <s v="Musc Intime"/>
        <s v="NYX"/>
        <s v="L'Oreal"/>
        <s v="Remington"/>
        <s v="Dynveo"/>
        <s v="Vitavea"/>
        <s v="Uberliss"/>
        <s v="Luxéol"/>
        <s v="Darry Ring"/>
        <s v="Capcut"/>
        <s v="Redken"/>
        <s v="Naali"/>
        <s v="Cerave"/>
        <s v="Paalm Cosmetics"/>
        <s v="Shavest"/>
        <s v="Inava"/>
        <s v="Cellublue"/>
        <s v="Caudalie"/>
        <s v="Voghion"/>
        <s v="BeReal"/>
        <s v="Current Body "/>
        <s v="Ali Express"/>
        <s v="Keracare"/>
        <s v="ZIIP"/>
        <s v="Feel My Skin"/>
        <s v="BYD"/>
        <s v="ISIS Pharma"/>
        <s v="Sanytol"/>
        <s v="Mavatys"/>
        <s v="Sanex"/>
        <s v="My Little Box "/>
        <s v="Lazartigue"/>
        <s v="Solinotes"/>
        <s v="It Fruit"/>
        <s v="TORRAS"/>
        <s v="Medicube"/>
        <s v="H&amp;S"/>
        <s v="Perroy Parfum"/>
        <s v="Nike"/>
        <s v="Bella Barrnett"/>
        <s v="Passion Marine"/>
        <s v="Avene"/>
        <s v="Beauty Of Joseon"/>
        <s v="Etiaxil"/>
        <s v="Just Spin"/>
        <s v="PlanJoy"/>
        <s v="YTTP"/>
        <s v="Sanytol "/>
        <s v="Dior"/>
        <s v="Pretty Little Things"/>
        <s v="L'Univers de Baya"/>
        <s v="Bob Oré"/>
        <s v="YSL"/>
        <s v="Ouvéa"/>
        <s v="Cider"/>
        <s v="Milk Make Up"/>
        <s v="SPA &amp; BIEN ÊTRE - GRAVITI"/>
        <s v="Ole Henriksen"/>
        <s v="Rare Beauty"/>
        <s v="Lancôme #MWL"/>
        <s v="Clarine"/>
        <s v="SHU UEMURA"/>
        <s v="Aveda"/>
        <s v="Clinique"/>
        <s v="KIEHLS"/>
        <s v="Embryolisse"/>
        <s v="Focus Skincare"/>
        <s v="MILK"/>
        <s v="Superdry"/>
        <s v="Prada"/>
        <s v="YSL Stylo Touche Éclat"/>
        <s v="R.E.M Beauty"/>
        <s v="IT Cosmetics"/>
        <s v="Lancôme - HYPNOSE DRAMA 🖤"/>
        <s v="Charlotte Tilburry (Nice Work)"/>
        <s v="YSL Beauty Summer Box"/>
        <s v="Fenty"/>
        <s v="Dr. Dennis Gross (Nice Work)"/>
        <s v="YSL Blushs "/>
        <s v="Valentino"/>
        <s v="Huda Beauty"/>
        <s v="Sephora"/>
        <s v="Charlotte Tilburry"/>
        <s v="The Inkey List"/>
        <s v="Cecotec"/>
        <s v="Vichy"/>
        <s v="Flower Knows"/>
        <s v="Rituals"/>
        <s v="Respire"/>
        <s v="LANEIGE"/>
        <s v="Glow Recipe"/>
        <s v="Franck Provost"/>
        <s v="MAC Cosmetics"/>
        <s v="Milk Makeup (Nice Work)"/>
        <s v="Typology"/>
        <s v="Kiehl's"/>
        <s v="JW PEI"/>
        <s v="Bloom"/>
        <s v="Nars"/>
        <s v="The Commense"/>
        <s v="Bijoux Divins"/>
        <s v="Biotherm"/>
        <s v="Courrèges (Nice Work)"/>
        <s v="Pulpe de Vie"/>
        <s v="Dieti Natura"/>
        <s v="Make Up For Ever"/>
        <s v="Jimmy Fairly"/>
        <s v="Lili Sidonio"/>
        <s v="Dr Jart +"/>
        <s v="Gallinée"/>
        <s v="Evoluderm"/>
        <s v="Drunk Elephant"/>
        <s v="Shokz"/>
        <s v="Fresh"/>
        <s v="Bourjois"/>
        <s v="Too Faced"/>
        <s v="L'Oréal Professionnel"/>
        <s v="NARS (Nice Work)"/>
        <s v="Fenty (Nice Work)"/>
        <s v="Black &amp; White Burger"/>
        <s v="Daylo"/>
        <s v="Maria Nila"/>
        <s v="The Inkey List (Nice Work)"/>
        <s v="Wonderskin"/>
        <s v="Olaplex (Nice Work)"/>
        <s v="Kurku-ma"/>
        <s v="Origins"/>
        <s v="Kielh's"/>
        <s v="SAYANA"/>
        <s v="Havaianas"/>
        <s v="Réelle"/>
        <s v="Rare Beauty (Nice Work)"/>
      </sharedItems>
    </cacheField>
    <cacheField name="Complément">
      <sharedItems containsBlank="1" containsMixedTypes="1" containsNumber="1" containsInteger="1">
        <m/>
        <s v="CA"/>
        <s v="BOURS"/>
        <s v="Lancôme #MWL"/>
        <n v="2.0"/>
        <s v="GRWM for bed"/>
        <s v="Whats in my bag"/>
        <n v="1.0"/>
        <s v="Woo Juicy Tubes"/>
        <s v="Army"/>
        <s v="Shein deals "/>
        <s v="nov"/>
        <s v="janv"/>
        <s v="AMZ"/>
        <s v="Juicy"/>
        <s v="Sun Serum"/>
        <s v="Poremizing"/>
        <s v="PM Clay Stick"/>
        <s v="Relief"/>
        <s v="2-Double Cleansing"/>
        <s v="3-Sun Serum Hyalu"/>
        <s v="4-Tone Brightening"/>
        <s v="Tiktok"/>
        <s v="Mega Haul + Full Face Campaign"/>
        <s v="5- Glow Project"/>
        <s v="Black Friday et du Cyber Monday de SHEIN"/>
        <s v=" 💎SHEGLAM Partnership: SHEGLAM Liquid Fam Festival Glow Set"/>
        <s v="déc"/>
        <s v="👐️ SHEGLAM: Partnership Opportunity"/>
        <s v="1-PM Clay Stick"/>
        <s v="TT"/>
        <s v="Revitalift"/>
        <s v="poremizing quick clay stick mask "/>
        <s v="Poremizing Clay Stick Mask "/>
        <s v="hello kitty"/>
        <s v="février"/>
        <s v="Bold Booster Lip Combo Campaign"/>
        <s v="Big Cil mars"/>
        <s v="Blowdry"/>
        <s v="mars"/>
        <s v="THE Adventure Time X SHEGLAM COLLECTION"/>
        <s v="avril"/>
        <s v="Full SkinCare Routine in 1 Box"/>
        <s v="Double Cleansing"/>
        <s v="Big Cil avril"/>
        <s v="Lissage avril "/>
        <s v="Compléments alimentaire mai"/>
        <s v="Big Cil juin"/>
        <s v="Big Cil mai"/>
        <s v="Hyalu-Cica Sunserum "/>
        <s v="mai"/>
        <s v="Glow project "/>
        <s v="#1Bean Essence + Bean Cream + Centella Sun Cream routine "/>
        <s v="Tone-Brightening Ampoule"/>
        <s v="Glow Project"/>
        <s v="PM Stick "/>
        <s v="Lissage juin"/>
        <s v="skin care routine for beginners "/>
        <s v="Stick Mask"/>
        <s v="Beginner Routine"/>
        <s v="SKIN MASK CLAY"/>
        <s v="Tone Brightening"/>
        <s v="ad"/>
        <s v="UGC Trousse"/>
        <s v="Essentials home"/>
        <s v="UGC"/>
        <s v="Beach day "/>
        <s v="Festival outfitxtravel"/>
        <s v="Essentials home "/>
        <s v="#2 Bean Essence"/>
        <s v="Beach day"/>
        <s v="Bean Essence + Bean Cream + Centella Sun Cream routine"/>
        <s v="Bean Collagen Hydrogel Mask Pack"/>
        <s v="#3 Bean Collagen Hydrogel Mask Pack"/>
        <s v="Festival outfit "/>
        <s v="Collagen Cleansing Balm"/>
        <s v="Centella Sun Cream"/>
        <s v="Bean Cleansing Oil + Centella Cleansing Foam routine"/>
        <s v="Sunscreen Comparison"/>
        <s v="Soondy Centella Asiatica Essnece, Glacier Waster Hyaluronic Acid Serum, Bean Essence Layering"/>
        <s v="#4 Centella Sun Cream"/>
        <s v="Temps forts "/>
        <s v="skin care for beginners "/>
        <s v="sun serum real"/>
        <s v="lash idole"/>
        <s v="Masque"/>
        <s v="Tone brightening "/>
        <s v="PAS REÇU"/>
        <s v="Bean Essence"/>
        <s v=" Precision Sculpt"/>
        <s v="GLOW Project (Hyalu-Cica sun Serum + Probio-cica ampoule)"/>
        <s v="Halloween"/>
        <n v="3.0"/>
        <s v="SPF"/>
        <s v="LIP IDÔLE 💄"/>
        <s v="Juicy Tubes"/>
        <s v="Apres Collection Calendrier"/>
        <s v="Candy Glow"/>
        <s v="LASH IDÔLE"/>
        <s v="Saint Valentin"/>
        <s v="Produits Cultes"/>
        <s v="Best sellers"/>
        <s v="Loveshin &amp; Candy Glaze "/>
        <s v="2024 Black Friday Product Review"/>
        <s v="fev"/>
        <s v="creme solaire"/>
        <s v="Nice Work"/>
        <s v="Calendrier"/>
        <s v="Mascara Flutter Extension"/>
        <s v="Loveshine Plumping Lip Gloss"/>
      </sharedItems>
    </cacheField>
    <cacheField name=" Brouillon draft">
      <sharedItems containsDate="1" containsBlank="1" containsMixedTypes="1">
        <d v="2024-02-29T00:00:00Z"/>
        <d v="2024-03-14T00:00:00Z"/>
        <d v="2024-04-03T00:00:00Z"/>
        <d v="2024-04-05T00:00:00Z"/>
        <d v="2024-04-15T00:00:00Z"/>
        <d v="2024-04-19T00:00:00Z"/>
        <d v="2024-04-22T00:00:00Z"/>
        <d v="2024-04-26T00:00:00Z"/>
        <d v="2024-04-27T00:00:00Z"/>
        <d v="2024-04-28T00:00:00Z"/>
        <d v="2024-04-29T00:00:00Z"/>
        <d v="2024-05-06T00:00:00Z"/>
        <d v="2024-05-07T00:00:00Z"/>
        <d v="2024-05-08T00:00:00Z"/>
        <d v="2024-05-09T00:00:00Z"/>
        <d v="2024-05-12T00:00:00Z"/>
        <d v="2024-05-13T00:00:00Z"/>
        <d v="2024-05-15T00:00:00Z"/>
        <d v="2024-05-19T00:00:00Z"/>
        <d v="2024-05-24T00:00:00Z"/>
        <d v="2024-05-25T00:00:00Z"/>
        <d v="2024-05-26T00:00:00Z"/>
        <d v="2024-05-30T00:00:00Z"/>
        <d v="2024-06-12T00:00:00Z"/>
        <d v="2024-06-13T00:00:00Z"/>
        <d v="2024-06-14T00:00:00Z"/>
        <d v="2024-06-15T00:00:00Z"/>
        <d v="2024-06-18T00:00:00Z"/>
        <d v="2024-06-16T00:00:00Z"/>
        <d v="2024-06-17T00:00:00Z"/>
        <d v="2024-06-19T00:00:00Z"/>
        <d v="2024-06-20T00:00:00Z"/>
        <d v="2024-06-22T00:00:00Z"/>
        <d v="2024-06-23T00:00:00Z"/>
        <d v="2024-06-24T00:00:00Z"/>
        <d v="2024-06-25T00:00:00Z"/>
        <d v="2024-06-29T00:00:00Z"/>
        <d v="2024-07-02T00:00:00Z"/>
        <d v="2024-07-06T00:00:00Z"/>
        <d v="2024-07-07T00:00:00Z"/>
        <d v="2024-07-08T00:00:00Z"/>
        <d v="2024-07-10T00:00:00Z"/>
        <d v="2024-07-13T00:00:00Z"/>
        <d v="2024-07-17T00:00:00Z"/>
        <d v="2024-07-18T00:00:00Z"/>
        <d v="2024-07-19T00:00:00Z"/>
        <d v="2024-07-21T00:00:00Z"/>
        <d v="2024-07-22T00:00:00Z"/>
        <d v="2024-07-27T00:00:00Z"/>
        <d v="2024-07-29T00:00:00Z"/>
        <d v="2024-07-28T00:00:00Z"/>
        <d v="2024-07-30T00:00:00Z"/>
        <m/>
        <d v="2024-08-02T00:00:00Z"/>
        <d v="2024-08-07T00:00:00Z"/>
        <d v="2024-08-08T00:00:00Z"/>
        <d v="2024-08-11T00:00:00Z"/>
        <d v="2024-08-13T00:00:00Z"/>
        <d v="2024-08-14T00:00:00Z"/>
        <d v="2024-08-16T00:00:00Z"/>
        <d v="2024-08-18T00:00:00Z"/>
        <d v="2024-08-19T00:00:00Z"/>
        <d v="2024-08-20T00:00:00Z"/>
        <d v="2024-08-21T00:00:00Z"/>
        <d v="2024-08-22T00:00:00Z"/>
        <d v="2024-08-25T00:00:00Z"/>
        <d v="2024-08-28T00:00:00Z"/>
        <d v="2024-08-29T00:00:00Z"/>
        <d v="2024-08-30T00:00:00Z"/>
        <d v="2024-09-01T00:00:00Z"/>
        <d v="2024-09-02T00:00:00Z"/>
        <d v="2024-09-04T00:00:00Z"/>
        <d v="2024-09-08T00:00:00Z"/>
        <d v="2024-09-10T00:00:00Z"/>
        <d v="2024-09-12T00:00:00Z"/>
        <d v="2024-08-23T00:00:00Z"/>
        <d v="2024-09-13T00:00:00Z"/>
        <d v="2024-09-14T00:00:00Z"/>
        <d v="2024-09-16T00:00:00Z"/>
        <d v="2024-09-19T00:00:00Z"/>
        <d v="2024-09-22T00:00:00Z"/>
        <d v="2025-06-10T00:00:00Z"/>
        <d v="2024-09-23T00:00:00Z"/>
        <d v="2024-09-24T00:00:00Z"/>
        <d v="2024-09-28T00:00:00Z"/>
        <d v="2024-09-29T00:00:00Z"/>
        <d v="2024-10-06T00:00:00Z"/>
        <d v="2024-10-09T00:00:00Z"/>
        <d v="2024-10-07T00:00:00Z"/>
        <d v="2024-10-11T00:00:00Z"/>
        <d v="2024-10-16T00:00:00Z"/>
        <d v="2024-10-15T00:00:00Z"/>
        <d v="2024-09-21T00:00:00Z"/>
        <d v="2024-10-17T00:00:00Z"/>
        <d v="2024-10-18T00:00:00Z"/>
        <d v="2024-10-23T00:00:00Z"/>
        <d v="2025-06-11T00:00:00Z"/>
        <d v="2024-10-25T00:00:00Z"/>
        <d v="2024-10-27T00:00:00Z"/>
        <d v="2024-11-02T00:00:00Z"/>
        <d v="2024-11-03T00:00:00Z"/>
        <d v="2024-10-28T00:00:00Z"/>
        <d v="2024-10-30T00:00:00Z"/>
        <d v="2024-11-04T00:00:00Z"/>
        <d v="2024-11-05T00:00:00Z"/>
        <d v="2025-06-15T00:00:00Z"/>
        <d v="2024-10-24T00:00:00Z"/>
        <d v="2024-11-07T00:00:00Z"/>
        <d v="2024-11-10T00:00:00Z"/>
        <d v="2024-11-12T00:00:00Z"/>
        <d v="2024-11-06T00:00:00Z"/>
        <d v="2024-11-17T00:00:00Z"/>
        <d v="2024-11-11T00:00:00Z"/>
        <d v="2024-11-18T00:00:00Z"/>
        <d v="2024-11-14T00:00:00Z"/>
        <d v="2024-11-15T00:00:00Z"/>
        <d v="2024-11-19T00:00:00Z"/>
        <d v="2024-11-22T00:00:00Z"/>
        <d v="2024-11-20T00:00:00Z"/>
        <d v="2024-11-21T00:00:00Z"/>
        <d v="2024-11-24T00:00:00Z"/>
        <d v="2024-11-25T00:00:00Z"/>
        <d v="2024-11-28T00:00:00Z"/>
        <d v="2024-11-26T00:00:00Z"/>
        <d v="2024-11-27T00:00:00Z"/>
        <d v="2024-12-11T00:00:00Z"/>
        <s v="ANNULÉ NE PAS SUPP"/>
        <d v="2024-12-14T00:00:00Z"/>
        <d v="2024-12-15T00:00:00Z"/>
        <d v="2024-11-29T00:00:00Z"/>
        <d v="2024-12-03T00:00:00Z"/>
        <d v="2024-12-16T00:00:00Z"/>
        <d v="2025-02-11T00:00:00Z"/>
        <d v="2024-12-19T00:00:00Z"/>
        <d v="2024-12-20T00:00:00Z"/>
        <d v="2024-12-22T00:00:00Z"/>
        <d v="2025-01-03T00:00:00Z"/>
        <d v="2024-12-25T00:00:00Z"/>
        <d v="2024-12-27T00:00:00Z"/>
        <d v="2025-01-20T00:00:00Z"/>
        <d v="2024-12-12T00:00:00Z"/>
        <d v="2025-01-02T00:00:00Z"/>
        <d v="2025-01-10T00:00:00Z"/>
        <d v="2025-03-07T00:00:00Z"/>
        <d v="2025-01-21T00:00:00Z"/>
        <d v="2025-01-24T00:00:00Z"/>
        <d v="2025-01-26T00:00:00Z"/>
        <d v="2025-01-28T00:00:00Z"/>
        <d v="2025-01-30T00:00:00Z"/>
        <d v="2025-01-29T00:00:00Z"/>
        <d v="2025-02-05T00:00:00Z"/>
        <d v="2025-01-31T00:00:00Z"/>
        <d v="2025-02-03T00:00:00Z"/>
        <d v="2025-02-06T00:00:00Z"/>
        <d v="2025-02-13T00:00:00Z"/>
        <d v="2025-02-12T00:00:00Z"/>
        <d v="2025-02-14T00:00:00Z"/>
        <d v="2025-02-15T00:00:00Z"/>
        <d v="2025-02-16T00:00:00Z"/>
        <d v="2025-02-20T00:00:00Z"/>
        <d v="2025-02-19T00:00:00Z"/>
        <d v="2025-02-21T00:00:00Z"/>
        <d v="2025-02-23T00:00:00Z"/>
        <d v="2025-02-27T00:00:00Z"/>
        <d v="2025-02-24T00:00:00Z"/>
        <d v="2025-03-01T00:00:00Z"/>
        <d v="2025-02-25T00:00:00Z"/>
        <d v="2025-03-12T00:00:00Z"/>
        <d v="2025-03-02T00:00:00Z"/>
        <d v="2025-02-28T00:00:00Z"/>
        <d v="2025-03-05T00:00:00Z"/>
        <d v="2025-03-08T00:00:00Z"/>
        <d v="2025-04-16T00:00:00Z"/>
        <d v="2025-03-09T00:00:00Z"/>
        <d v="2025-03-10T00:00:00Z"/>
        <d v="2025-03-11T00:00:00Z"/>
        <d v="2025-03-14T00:00:00Z"/>
        <d v="2025-04-22T00:00:00Z"/>
        <d v="2025-03-16T00:00:00Z"/>
        <d v="2025-03-17T00:00:00Z"/>
        <d v="2025-03-13T00:00:00Z"/>
        <d v="2025-03-18T00:00:00Z"/>
        <d v="2025-03-23T00:00:00Z"/>
        <d v="2025-03-24T00:00:00Z"/>
        <d v="2025-04-20T00:00:00Z"/>
        <d v="2025-03-26T00:00:00Z"/>
        <d v="2025-03-19T00:00:00Z"/>
        <d v="2025-03-20T00:00:00Z"/>
        <d v="2025-04-01T00:00:00Z"/>
        <d v="2025-03-27T00:00:00Z"/>
        <d v="2025-03-30T00:00:00Z"/>
        <d v="2025-04-02T00:00:00Z"/>
        <d v="2025-04-04T00:00:00Z"/>
        <d v="2025-04-03T00:00:00Z"/>
        <d v="2025-04-10T00:00:00Z"/>
        <d v="2025-04-11T00:00:00Z"/>
        <d v="2025-04-14T00:00:00Z"/>
        <d v="2025-05-08T00:00:00Z"/>
        <d v="2025-04-13T00:00:00Z"/>
        <d v="2025-04-15T00:00:00Z"/>
        <d v="2025-04-17T00:00:00Z"/>
        <d v="2025-04-18T00:00:00Z"/>
        <d v="2025-04-19T00:00:00Z"/>
        <d v="2025-05-26T00:00:00Z"/>
        <d v="2025-04-23T00:00:00Z"/>
        <d v="2025-04-24T00:00:00Z"/>
        <d v="2025-04-26T00:00:00Z"/>
        <d v="2025-04-27T00:00:00Z"/>
        <d v="2025-04-28T00:00:00Z"/>
        <d v="2025-04-29T00:00:00Z"/>
        <d v="2025-05-04T00:00:00Z"/>
        <d v="2025-04-30T00:00:00Z"/>
        <d v="2025-05-01T00:00:00Z"/>
        <d v="2025-05-06T00:00:00Z"/>
        <d v="2025-05-07T00:00:00Z"/>
        <d v="2025-05-03T00:00:00Z"/>
        <d v="2025-05-05T00:00:00Z"/>
        <d v="2025-06-29T00:00:00Z"/>
        <d v="2025-06-30T00:00:00Z"/>
        <d v="2025-05-14T00:00:00Z"/>
        <d v="2025-05-09T00:00:00Z"/>
        <d v="2025-05-13T00:00:00Z"/>
        <d v="2025-07-03T00:00:00Z"/>
        <d v="2025-05-17T00:00:00Z"/>
        <d v="2025-05-15T00:00:00Z"/>
        <d v="2025-05-16T00:00:00Z"/>
        <d v="2025-05-21T00:00:00Z"/>
        <d v="2025-05-22T00:00:00Z"/>
        <d v="2025-05-24T00:00:00Z"/>
        <d v="2025-07-07T00:00:00Z"/>
        <d v="2025-07-15T00:00:00Z"/>
        <d v="2025-06-01T00:00:00Z"/>
        <d v="2025-06-02T00:00:00Z"/>
        <d v="2025-05-28T00:00:00Z"/>
        <d v="2025-05-30T00:00:00Z"/>
        <d v="2025-06-05T00:00:00Z"/>
        <d v="2025-06-08T00:00:00Z"/>
        <d v="2025-06-12T00:00:00Z"/>
        <d v="2024-12-04T00:00:00Z"/>
        <d v="2025-06-13T00:00:00Z"/>
        <d v="2025-06-24T00:00:00Z"/>
        <d v="2025-06-17T00:00:00Z"/>
        <d v="2025-06-19T00:00:00Z"/>
        <d v="2025-06-20T00:00:00Z"/>
        <d v="2025-06-22T00:00:00Z"/>
        <d v="2025-06-25T00:00:00Z"/>
        <d v="2025-05-27T00:00:00Z"/>
        <d v="2025-06-07T00:00:00Z"/>
        <d v="2025-06-27T00:00:00Z"/>
        <d v="2025-07-02T00:00:00Z"/>
        <d v="2025-07-01T00:00:00Z"/>
        <d v="2025-07-24T00:00:00Z"/>
        <d v="2025-02-26T00:00:00Z"/>
        <d v="2025-01-11T00:00:00Z"/>
        <d v="2025-06-21T00:00:00Z"/>
        <d v="2025-07-19T00:00:00Z"/>
        <d v="2025-06-04T00:00:00Z"/>
        <d v="2025-07-08T00:00:00Z"/>
        <d v="2025-07-05T00:00:00Z"/>
        <d v="2025-07-06T00:00:00Z"/>
        <d v="2025-07-10T00:00:00Z"/>
        <d v="2025-07-04T00:00:00Z"/>
        <d v="2025-07-09T00:00:00Z"/>
        <d v="2025-07-14T00:00:00Z"/>
        <d v="2025-07-11T00:00:00Z"/>
        <d v="2025-07-13T00:00:00Z"/>
        <d v="2025-07-17T00:00:00Z"/>
        <d v="2025-07-23T00:00:00Z"/>
        <d v="2025-07-18T00:00:00Z"/>
        <d v="2025-07-20T00:00:00Z"/>
        <d v="2025-07-22T00:00:00Z"/>
        <d v="2025-07-25T00:00:00Z"/>
        <d v="2025-08-03T00:00:00Z"/>
        <s v=" "/>
        <d v="2025-07-26T00:00:00Z"/>
        <d v="2025-07-27T00:00:00Z"/>
        <d v="2025-07-28T00:00:00Z"/>
        <d v="2025-07-29T00:00:00Z"/>
        <d v="2025-06-26T00:00:00Z"/>
      </sharedItems>
    </cacheField>
    <cacheField name="Date Début">
      <sharedItems containsDate="1" containsBlank="1" containsMixedTypes="1">
        <m/>
        <d v="2024-03-19T00:00:00Z"/>
        <d v="2024-05-14T00:00:00Z"/>
        <d v="2024-05-25T00:00:00Z"/>
        <d v="2024-05-27T00:00:00Z"/>
        <d v="2024-06-10T00:00:00Z"/>
        <d v="2024-06-18T00:00:00Z"/>
        <d v="2024-06-19T00:00:00Z"/>
        <d v="2024-06-16T00:00:00Z"/>
        <d v="2024-06-24T00:00:00Z"/>
        <d v="2024-07-06T00:00:00Z"/>
        <d v="2024-06-17T00:00:00Z"/>
        <d v="2024-07-01T00:00:00Z"/>
        <d v="2024-07-10T00:00:00Z"/>
        <d v="2024-06-25T00:00:00Z"/>
        <d v="2024-07-19T00:00:00Z"/>
        <d v="2024-08-18T00:00:00Z"/>
        <d v="2024-09-02T00:00:00Z"/>
        <d v="2024-09-16T00:00:00Z"/>
        <d v="2024-10-20T00:00:00Z"/>
        <d v="2025-05-01T00:00:00Z"/>
        <d v="2024-11-01T00:00:00Z"/>
        <d v="2024-11-13T00:00:00Z"/>
        <d v="2024-11-10T00:00:00Z"/>
        <d v="2024-12-10T00:00:00Z"/>
        <d v="2025-01-31T00:00:00Z"/>
        <d v="2025-02-03T00:00:00Z"/>
        <d v="2025-02-13T00:00:00Z"/>
        <d v="2025-01-23T00:00:00Z"/>
        <d v="2025-03-01T00:00:00Z"/>
        <d v="2025-02-28T00:00:00Z"/>
        <d v="2025-02-15T00:00:00Z"/>
        <d v="2025-05-21T00:00:00Z"/>
        <d v="2025-06-05T00:00:00Z"/>
        <d v="2025-07-16T00:00:00Z"/>
        <d v="2025-06-22T00:00:00Z"/>
        <d v="2025-07-01T00:00:00Z"/>
        <s v=" "/>
        <d v="2025-01-09T00:00:00Z"/>
        <d v="2024-09-13T00:00:00Z"/>
        <d v="2024-10-16T00:00:00Z"/>
        <d v="2024-11-18T00:00:00Z"/>
        <d v="2024-01-11T00:00:00Z"/>
        <d v="2024-12-06T00:00:00Z"/>
        <d v="2025-02-27T00:00:00Z"/>
        <d v="2025-04-08T00:00:00Z"/>
        <d v="2025-01-27T00:00:00Z"/>
        <d v="2024-11-11T00:00:00Z"/>
        <d v="2024-11-28T00:00:00Z"/>
        <d v="2024-12-21T00:00:00Z"/>
        <d v="2025-01-13T00:00:00Z"/>
        <d v="2025-02-11T00:00:00Z"/>
        <d v="2025-03-06T00:00:00Z"/>
        <d v="2024-04-01T00:00:00Z"/>
        <d v="2024-04-08T00:00:00Z"/>
        <d v="2024-02-29T00:00:00Z"/>
        <d v="2024-04-18T00:00:00Z"/>
        <d v="2024-06-07T00:00:00Z"/>
        <d v="2024-03-21T00:00:00Z"/>
        <d v="2024-06-20T00:00:00Z"/>
        <d v="2024-07-08T00:00:00Z"/>
        <d v="2024-07-29T00:00:00Z"/>
        <d v="2024-09-01T00:00:00Z"/>
        <d v="2024-09-12T00:00:00Z"/>
        <d v="2024-09-23T00:00:00Z"/>
        <d v="2024-09-28T00:00:00Z"/>
        <d v="2024-09-30T00:00:00Z"/>
        <d v="2024-10-01T00:00:00Z"/>
        <d v="2024-10-12T00:00:00Z"/>
        <d v="2024-11-06T00:00:00Z"/>
        <d v="2024-12-04T00:00:00Z"/>
        <d v="2025-01-16T00:00:00Z"/>
        <d v="2025-01-20T00:00:00Z"/>
        <d v="2024-04-15T00:00:00Z"/>
        <d v="2024-03-26T00:00:00Z"/>
        <d v="2024-04-20T00:00:00Z"/>
        <d v="2024-08-26T00:00:00Z"/>
        <d v="2024-02-28T00:00:00Z"/>
        <d v="2024-04-05T00:00:00Z"/>
        <d v="2024-09-26T00:00:00Z"/>
        <d v="2024-03-01T00:00:00Z"/>
        <d v="2024-10-24T00:00:00Z"/>
        <d v="2024-08-29T00:00:00Z"/>
        <d v="2024-11-15T00:00:00Z"/>
        <d v="2025-02-25T00:00:00Z"/>
        <d v="2024-09-25T00:00:00Z"/>
        <d v="2024-08-06T00:00:00Z"/>
        <d v="2024-08-09T00:00:00Z"/>
        <d v="2024-12-12T00:00:00Z"/>
        <d v="2025-03-25T00:00:00Z"/>
        <d v="2024-07-27T00:00:00Z"/>
      </sharedItems>
    </cacheField>
    <cacheField name="Date Fin">
      <sharedItems containsDate="1" containsBlank="1" containsMixedTypes="1">
        <d v="2024-03-08T00:00:00Z"/>
        <d v="2024-03-19T00:00:00Z"/>
        <m/>
        <d v="2024-04-06T00:00:00Z"/>
        <d v="2024-04-09T00:00:00Z"/>
        <d v="2024-04-19T00:00:00Z"/>
        <d v="2024-04-22T00:00:00Z"/>
        <d v="2024-04-18T00:00:00Z"/>
        <d v="2024-04-26T00:00:00Z"/>
        <d v="2024-05-02T00:00:00Z"/>
        <d v="2024-05-01T00:00:00Z"/>
        <d v="2024-05-04T00:00:00Z"/>
        <d v="2024-05-08T00:00:00Z"/>
        <d v="2024-05-07T00:00:00Z"/>
        <d v="2024-05-10T00:00:00Z"/>
        <d v="2024-05-13T00:00:00Z"/>
        <d v="2024-05-18T00:00:00Z"/>
        <d v="2024-05-14T00:00:00Z"/>
        <d v="2024-05-17T00:00:00Z"/>
        <d v="2024-05-23T00:00:00Z"/>
        <d v="2024-05-27T00:00:00Z"/>
        <d v="2024-05-29T00:00:00Z"/>
        <d v="2024-05-30T00:00:00Z"/>
        <d v="2024-05-31T00:00:00Z"/>
        <d v="2024-06-16T00:00:00Z"/>
        <d v="2024-06-17T00:00:00Z"/>
        <d v="2024-06-20T00:00:00Z"/>
        <d v="2024-06-22T00:00:00Z"/>
        <d v="2024-06-19T00:00:00Z"/>
        <d v="2024-06-23T00:00:00Z"/>
        <d v="2024-06-25T00:00:00Z"/>
        <d v="2024-06-24T00:00:00Z"/>
        <d v="2024-06-29T00:00:00Z"/>
        <d v="2024-07-06T00:00:00Z"/>
        <d v="2024-06-28T00:00:00Z"/>
        <d v="2024-07-01T00:00:00Z"/>
        <d v="2024-06-26T00:00:00Z"/>
        <d v="2024-06-30T00:00:00Z"/>
        <d v="2024-07-10T00:00:00Z"/>
        <d v="2024-07-07T00:00:00Z"/>
        <d v="2024-07-14T00:00:00Z"/>
        <d v="2024-07-12T00:00:00Z"/>
        <d v="2024-07-23T00:00:00Z"/>
        <d v="2024-07-24T00:00:00Z"/>
        <d v="2024-07-22T00:00:00Z"/>
        <d v="2024-07-21T00:00:00Z"/>
        <d v="2024-07-25T00:00:00Z"/>
        <d v="2024-09-06T00:00:00Z"/>
        <d v="2024-07-26T00:00:00Z"/>
        <d v="2024-08-01T00:00:00Z"/>
        <d v="2024-09-08T00:00:00Z"/>
        <d v="2024-08-06T00:00:00Z"/>
        <d v="2024-08-03T00:00:00Z"/>
        <d v="2024-08-02T00:00:00Z"/>
        <d v="2024-07-20T00:00:00Z"/>
        <d v="2024-07-30T00:00:00Z"/>
        <d v="2024-08-09T00:00:00Z"/>
        <d v="2024-08-16T00:00:00Z"/>
        <d v="2024-08-08T00:00:00Z"/>
        <d v="2024-08-15T00:00:00Z"/>
        <d v="2024-09-07T00:00:00Z"/>
        <d v="2024-08-22T00:00:00Z"/>
        <d v="2024-08-25T00:00:00Z"/>
        <d v="2024-08-18T00:00:00Z"/>
        <d v="2024-08-21T00:00:00Z"/>
        <d v="2024-08-20T00:00:00Z"/>
        <d v="2024-08-23T00:00:00Z"/>
        <d v="2024-09-02T00:00:00Z"/>
        <d v="2024-08-28T00:00:00Z"/>
        <d v="2024-08-24T00:00:00Z"/>
        <d v="2024-08-30T00:00:00Z"/>
        <d v="2024-09-13T00:00:00Z"/>
        <d v="2024-09-18T00:00:00Z"/>
        <d v="2024-09-19T00:00:00Z"/>
        <d v="2024-09-09T00:00:00Z"/>
        <d v="2024-10-02T00:00:00Z"/>
        <d v="2024-10-11T00:00:00Z"/>
        <d v="2024-09-23T00:00:00Z"/>
        <d v="2024-09-21T00:00:00Z"/>
        <d v="2024-10-06T00:00:00Z"/>
        <d v="2024-09-20T00:00:00Z"/>
        <d v="2024-08-10T00:00:00Z"/>
        <d v="2024-09-25T00:00:00Z"/>
        <d v="2025-06-15T00:00:00Z"/>
        <d v="2024-09-30T00:00:00Z"/>
        <d v="2024-09-26T00:00:00Z"/>
        <d v="2024-10-03T00:00:00Z"/>
        <d v="2024-11-02T00:00:00Z"/>
        <d v="2024-11-15T00:00:00Z"/>
        <d v="2024-11-01T00:00:00Z"/>
        <d v="2024-11-08T00:00:00Z"/>
        <d v="2024-10-27T00:00:00Z"/>
        <d v="2024-10-26T00:00:00Z"/>
        <d v="2024-10-28T00:00:00Z"/>
        <d v="2025-06-14T00:00:00Z"/>
        <d v="2024-11-05T00:00:00Z"/>
        <d v="2024-11-16T00:00:00Z"/>
        <d v="2024-11-10T00:00:00Z"/>
        <d v="2024-11-12T00:00:00Z"/>
        <d v="2024-11-11T00:00:00Z"/>
        <d v="2025-06-17T00:00:00Z"/>
        <d v="2024-10-22T00:00:00Z"/>
        <d v="2024-11-07T00:00:00Z"/>
        <d v="2025-02-10T00:00:00Z"/>
        <d v="2024-11-09T00:00:00Z"/>
        <d v="2024-11-29T00:00:00Z"/>
        <d v="2024-12-03T00:00:00Z"/>
        <d v="2024-11-19T00:00:00Z"/>
        <d v="2024-11-30T00:00:00Z"/>
        <d v="2024-11-20T00:00:00Z"/>
        <d v="2024-11-27T00:00:00Z"/>
        <d v="2024-11-22T00:00:00Z"/>
        <d v="2024-11-26T00:00:00Z"/>
        <d v="2024-12-02T00:00:00Z"/>
        <d v="2024-12-09T00:00:00Z"/>
        <d v="2024-11-28T00:00:00Z"/>
        <d v="2024-12-15T00:00:00Z"/>
        <d v="2024-12-17T00:00:00Z"/>
        <d v="2024-12-01T00:00:00Z"/>
        <d v="2024-12-10T00:00:00Z"/>
        <d v="2025-03-05T00:00:00Z"/>
        <d v="2024-12-25T00:00:00Z"/>
        <d v="2024-12-19T00:00:00Z"/>
        <d v="2024-12-29T00:00:00Z"/>
        <d v="2025-01-03T00:00:00Z"/>
        <d v="2025-01-09T00:00:00Z"/>
        <d v="2025-01-10T00:00:00Z"/>
        <d v="2025-01-23T00:00:00Z"/>
        <d v="2025-01-24T00:00:00Z"/>
        <d v="2025-01-25T00:00:00Z"/>
        <d v="2025-01-05T00:00:00Z"/>
        <d v="2025-01-20T00:00:00Z"/>
        <d v="2025-01-13T00:00:00Z"/>
        <d v="2025-03-10T00:00:00Z"/>
        <d v="2025-01-29T00:00:00Z"/>
        <d v="2025-01-15T00:00:00Z"/>
        <d v="2025-01-30T00:00:00Z"/>
        <d v="2025-01-22T00:00:00Z"/>
        <d v="2025-02-07T00:00:00Z"/>
        <d v="2025-02-19T00:00:00Z"/>
        <d v="2025-01-31T00:00:00Z"/>
        <d v="2025-02-04T00:00:00Z"/>
        <d v="2025-02-05T00:00:00Z"/>
        <d v="2025-02-14T00:00:00Z"/>
        <d v="2025-02-08T00:00:00Z"/>
        <d v="2025-02-16T00:00:00Z"/>
        <d v="2025-02-20T00:00:00Z"/>
        <d v="2025-02-21T00:00:00Z"/>
        <d v="2025-02-26T00:00:00Z"/>
        <d v="2025-02-27T00:00:00Z"/>
        <d v="2025-02-22T00:00:00Z"/>
        <d v="2025-02-25T00:00:00Z"/>
        <d v="2025-02-13T00:00:00Z"/>
        <d v="2025-03-31T00:00:00Z"/>
        <d v="2025-03-04T00:00:00Z"/>
        <d v="2025-03-15T00:00:00Z"/>
        <d v="2025-03-12T00:00:00Z"/>
        <d v="2025-04-21T00:00:00Z"/>
        <d v="2025-03-13T00:00:00Z"/>
        <d v="2025-03-16T00:00:00Z"/>
        <d v="2025-03-18T00:00:00Z"/>
        <d v="2025-03-22T00:00:00Z"/>
        <d v="2025-04-23T00:00:00Z"/>
        <d v="2025-03-29T00:00:00Z"/>
        <d v="2025-03-24T00:00:00Z"/>
        <d v="2025-03-14T00:00:00Z"/>
        <d v="2025-03-19T00:00:00Z"/>
        <d v="2025-03-30T00:00:00Z"/>
        <d v="2025-04-26T00:00:00Z"/>
        <d v="2025-03-21T00:00:00Z"/>
        <d v="2025-05-24T00:00:00Z"/>
        <d v="2025-04-01T00:00:00Z"/>
        <d v="2025-04-04T00:00:00Z"/>
        <d v="2025-03-28T00:00:00Z"/>
        <d v="2025-04-06T00:00:00Z"/>
        <d v="2025-04-07T00:00:00Z"/>
        <d v="2025-02-28T00:00:00Z"/>
        <d v="2025-01-14T00:00:00Z"/>
        <d v="2025-04-10T00:00:00Z"/>
        <d v="2025-03-26T00:00:00Z"/>
        <d v="2025-04-09T00:00:00Z"/>
        <d v="2025-04-12T00:00:00Z"/>
        <d v="2025-04-16T00:00:00Z"/>
        <d v="2025-04-19T00:00:00Z"/>
        <d v="2025-05-09T00:00:00Z"/>
        <d v="2025-04-18T00:00:00Z"/>
        <d v="2025-04-25T00:00:00Z"/>
        <d v="2025-04-24T00:00:00Z"/>
        <d v="2025-04-27T00:00:00Z"/>
        <d v="2025-05-19T00:00:00Z"/>
        <d v="2025-05-30T00:00:00Z"/>
        <d v="2025-04-29T00:00:00Z"/>
        <d v="2025-05-01T00:00:00Z"/>
        <d v="2025-04-30T00:00:00Z"/>
        <d v="2025-05-31T00:00:00Z"/>
        <s v="31/04/2025"/>
        <d v="2025-03-06T00:00:00Z"/>
        <d v="2025-05-04T00:00:00Z"/>
        <d v="2025-05-05T00:00:00Z"/>
        <d v="2025-05-02T00:00:00Z"/>
        <d v="2025-05-14T00:00:00Z"/>
        <d v="2025-05-23T00:00:00Z"/>
        <d v="2025-05-08T00:00:00Z"/>
        <d v="2025-05-21T00:00:00Z"/>
        <d v="2025-05-10T00:00:00Z"/>
        <d v="2025-05-16T00:00:00Z"/>
        <d v="2025-05-25T00:00:00Z"/>
        <d v="2025-06-22T00:00:00Z"/>
        <d v="2025-06-30T00:00:00Z"/>
        <d v="2025-05-20T00:00:00Z"/>
        <d v="2025-05-15T00:00:00Z"/>
        <d v="2025-05-17T00:00:00Z"/>
        <d v="2025-07-08T00:00:00Z"/>
        <d v="2025-05-29T00:00:00Z"/>
        <d v="2025-05-22T00:00:00Z"/>
        <d v="2025-07-13T00:00:00Z"/>
        <d v="2025-07-16T00:00:00Z"/>
        <d v="2025-01-17T00:00:00Z"/>
        <d v="2025-06-10T00:00:00Z"/>
        <d v="2025-06-04T00:00:00Z"/>
        <d v="2025-06-05T00:00:00Z"/>
        <d v="2025-02-11T00:00:00Z"/>
        <d v="2025-06-11T00:00:00Z"/>
        <d v="2025-06-13T00:00:00Z"/>
        <d v="2025-04-22T00:00:00Z"/>
        <d v="2025-06-25T00:00:00Z"/>
        <d v="2025-06-18T00:00:00Z"/>
        <d v="2025-06-26T00:00:00Z"/>
        <d v="2025-06-24T00:00:00Z"/>
        <d v="2025-06-29T00:00:00Z"/>
        <d v="2025-07-03T00:00:00Z"/>
        <d v="2025-06-20T00:00:00Z"/>
        <d v="2025-06-28T00:00:00Z"/>
        <d v="2025-07-26T00:00:00Z"/>
        <s v="31/06/2025"/>
        <d v="2025-07-07T00:00:00Z"/>
        <d v="2025-07-18T00:00:00Z"/>
        <d v="2025-06-27T00:00:00Z"/>
        <d v="2025-07-11T00:00:00Z"/>
        <d v="2025-07-04T00:00:00Z"/>
        <d v="2025-07-17T00:00:00Z"/>
        <d v="2025-07-05T00:00:00Z"/>
        <d v="2024-07-13T00:00:00Z"/>
        <d v="2025-07-10T00:00:00Z"/>
        <d v="2025-07-14T00:00:00Z"/>
        <d v="2025-07-19T00:00:00Z"/>
        <d v="2025-07-20T00:00:00Z"/>
        <d v="2025-07-22T00:00:00Z"/>
        <d v="2025-07-27T00:00:00Z"/>
        <d v="2025-07-23T00:00:00Z"/>
        <d v="2025-07-25T00:00:00Z"/>
        <d v="2025-08-15T00:00:00Z"/>
        <d v="2025-07-31T00:00:00Z"/>
        <d v="2025-07-28T00:00:00Z"/>
        <d v="2025-07-29T00:00:00Z"/>
        <d v="2025-08-10T00:00:00Z"/>
        <d v="2025-06-21T00:00:00Z"/>
        <d v="2025-01-28T00:00:00Z"/>
        <d v="2025-06-19T00:00:00Z"/>
        <d v="2024-10-04T00:00:00Z"/>
        <d v="2024-11-25T00:00:00Z"/>
        <d v="2025-08-07T00:00:00Z"/>
        <d v="2025-06-09T00:00:00Z"/>
        <d v="2024-10-10T00:00:00Z"/>
        <d v="2024-10-25T00:00:00Z"/>
        <d v="2024-10-30T00:00:00Z"/>
        <d v="2024-12-24T00:00:00Z"/>
        <d v="2024-07-08T00:00:00Z"/>
        <d v="2025-03-20T00:00:00Z"/>
        <d v="2025-04-28T00:00:00Z"/>
        <d v="2024-09-22T00:00:00Z"/>
        <d v="2024-12-22T00:00:00Z"/>
        <d v="2025-01-11T00:00:00Z"/>
        <d v="2025-03-17T00:00:00Z"/>
        <d v="2024-05-09T00:00:00Z"/>
        <d v="2024-12-28T00:00:00Z"/>
        <d v="2025-01-04T00:00:00Z"/>
        <d v="2024-04-14T00:00:00Z"/>
        <d v="2024-04-29T00:00:00Z"/>
        <d v="2024-05-11T00:00:00Z"/>
        <d v="2024-05-28T00:00:00Z"/>
        <d v="2024-06-02T00:00:00Z"/>
        <d v="2024-06-05T00:00:00Z"/>
        <d v="2024-06-07T00:00:00Z"/>
        <d v="2024-06-21T00:00:00Z"/>
        <d v="2024-07-03T00:00:00Z"/>
        <d v="2024-07-15T00:00:00Z"/>
        <d v="2024-07-28T00:00:00Z"/>
        <d v="2024-09-16T00:00:00Z"/>
        <d v="2024-09-27T00:00:00Z"/>
        <d v="2024-10-07T00:00:00Z"/>
        <d v="2024-10-20T00:00:00Z"/>
        <d v="2024-10-21T00:00:00Z"/>
        <d v="2025-02-06T00:00:00Z"/>
        <d v="2025-02-17T00:00:00Z"/>
        <d v="2025-02-23T00:00:00Z"/>
        <d v="2024-03-01T00:00:00Z"/>
        <d v="2024-12-12T00:00:00Z"/>
        <d v="2024-04-07T00:00:00Z"/>
        <d v="2024-04-11T00:00:00Z"/>
        <d v="2024-04-21T00:00:00Z"/>
        <d v="2024-05-19T00:00:00Z"/>
        <d v="2024-05-20T00:00:00Z"/>
        <d v="2024-08-11T00:00:00Z"/>
        <d v="2024-10-15T00:00:00Z"/>
        <d v="2025-02-15T00:00:00Z"/>
        <d v="2025-03-08T00:00:00Z"/>
        <d v="2024-07-16T00:00:00Z"/>
        <d v="2024-09-15T00:00:00Z"/>
        <d v="2024-10-17T00:00:00Z"/>
        <d v="2024-12-16T00:00:00Z"/>
        <d v="2024-11-14T00:00:00Z"/>
        <d v="2024-10-05T00:00:00Z"/>
        <d v="2025-03-11T00:00:00Z"/>
        <d v="2024-08-07T00:00:00Z"/>
        <d v="2024-08-26T00:00:00Z"/>
        <d v="2024-04-28T00:00:00Z"/>
        <d v="2024-05-03T00:00:00Z"/>
        <d v="2024-05-25T00:00:00Z"/>
        <d v="2025-01-02T00:00:00Z"/>
        <d v="2024-08-12T00:00:00Z"/>
      </sharedItems>
    </cacheField>
    <cacheField name="Status" numFmtId="0">
      <sharedItems containsBlank="1">
        <s v="Fait"/>
        <s v="Facture à envoyer"/>
        <s v="Script Revision Marque"/>
        <s v="Video Validée Marque"/>
        <s v="Video Revision Marque"/>
        <m/>
      </sharedItems>
    </cacheField>
    <cacheField name="Commentaire" numFmtId="0">
      <sharedItems containsBlank="1">
        <m/>
        <s v="ne pas mentionner d'autres marques 7 jours avant et après @ "/>
        <s v="resultat concours"/>
        <s v="en attente validation marque"/>
        <s v="VALIDÉ"/>
        <s v="Preview Validée"/>
        <s v="⚠️⚠️ demander à Inès code promo vs lien (car code différent)"/>
        <s v="à envoyer à la marque"/>
        <s v="en attente validation"/>
        <s v="envoyer facture"/>
        <s v="en attente info facturation"/>
        <s v="Ne pas envoyer facture au client mais faire une factureEn $$ une fois reception et convertion"/>
        <s v="brief partagé"/>
        <s v="ne pas poster 24h après ⚠️ verifier date (colis reçu le 23/05 = 3S)"/>
        <s v="en attente affiliate code"/>
        <s v="video"/>
        <s v="pas d'autres collabs 3 jours avant et après"/>
        <s v="commande passée"/>
        <s v="⚠️"/>
        <s v="date post à confirmer"/>
        <s v="DESCRIPTION (changement à faire) =&gt; Nouveautés @Anastasia Beverly Hills : Beauty balm &amp; Blurring serum blush ✨ Available from xxxx at Sephora all shades online and limited assortment in store #AD #ABHBLUSH #BLUSHHACK #LIQUIDBLUSH #ABHBeautyBalm #Anastasia"/>
        <s v="DESCRIPTION (changement à faire) =&gt;Makeup After Beachhh with Beauty Balm and Blurring Serum Blush @ANASTASIABEVERLYHILLS available from xxxx at Sephora all shades online and limited assortment in store. (il faudra remplacer les xx par la date de sortie, j"/>
        <s v="brouillon"/>
        <s v="DESCRIPTION (changement à faire) =&gt;⚠️ Date sortie SEPHORA"/>
        <s v="envoyer video à jour que Lily a partagé le 13/08"/>
        <s v="SUN SERUM"/>
        <s v="Partager ad code // DESCRIPTION (changement à faire) =&gt; The perfect complexion for this summer is: Beauty Balm and Blurring Serum Blush by @ANASTASIABEVERLYHILLS vavailable from xxxx (à remplacer par la date quand nous l'aurons) at Sephora all shades onli"/>
        <s v="une fois le paiement paypal faire facture pour € exact"/>
        <s v="DESCRIPTION (changement à faire) =&gt;"/>
        <s v="ajouter avant après"/>
        <s v="attendre retour autres factures"/>
        <s v="pas poster +3/-3   // partager ad code"/>
        <s v="envoyer facture 09/09 avec médiatisation + contenu"/>
        <s v="pas possible de poster le 23"/>
        <s v="⚠️ Dates Mixa -3+3 pas de collabs // date à confirmer"/>
        <s v="à poster"/>
        <s v="médiatisation à confirmer +100€"/>
        <s v="recuperer lien tacké pour IGs"/>
        <s v="IG"/>
        <s v="à refaire (réhaussement de cils)"/>
        <s v="24h no post any // 3 weeks of use"/>
        <s v="faire valider le contenu"/>
        <s v="+code boost"/>
        <s v="pas de média"/>
        <s v="date à définir"/>
        <s v="PERSONALISATION"/>
        <s v="draft: 3 jours apres reception // 26/09/2024 au plus tard // pas de post 12h apres poster"/>
        <s v="modif sur caption"/>
        <s v="Woo Juicy Tubes"/>
        <s v="facture à envoyer mais attendre ad code JEANNE"/>
        <s v="attendre Code boost"/>
        <s v="Facture à faire"/>
        <s v="Tracking Link 72h BIO https://testsgz.app.link/4hqEOX8xbNb"/>
        <s v="modifier caption  / pas de post 24h"/>
        <s v="en attente colis"/>
        <s v="18h"/>
        <s v="(+ usage rights + TikTok spark ads + IG ad codes"/>
        <s v="Reception Colis"/>
        <s v="video+ description"/>
        <s v="activer la fonctionnalité &quot;collaboration commercial&quot;"/>
        <s v="j'ai envoyé une facture en € mais c'est en dollar"/>
        <s v="125 de media à confimer "/>
        <s v="date à confirmer (7jours apres réception colis"/>
        <s v="commande"/>
        <s v="30j Myriam K entre chaque mois"/>
        <s v="cross post IG TT"/>
        <s v="mediat"/>
        <s v="ajouter lien en bio"/>
        <s v="Cross post IG + story swipe"/>
        <s v="rajouter code + 23% par contre impossible de refaire video modifs"/>
        <s v="mais ajouter ingrédient"/>
        <s v="facture faite"/>
        <s v="boost"/>
        <s v="preview"/>
        <s v="attente reception colis"/>
        <s v="facture au 3/03 à faire et envoyer"/>
        <s v="voir pour ajouter Ad"/>
        <s v=" "/>
        <s v="TT + Médiat"/>
        <s v="script idée creat TT médiat : du 1er au 27 avril !"/>
        <s v="médiat de 100€ en plus validée?"/>
        <s v="IGS à partager      IGs+ TIKTOK"/>
        <s v="1 TT"/>
        <s v="Pendant le repas"/>
        <s v="IG Reel médiat 01/03 au 27/03"/>
        <s v="02/03=&gt; idée creative ///// 10/03/2025 brouillon"/>
        <s v="1 IG reel + 1 IGs (3sets) AD CODE⚠️"/>
        <s v="dont 250€ de mediat"/>
        <s v="contrat à faire"/>
        <s v="en attente retour de la marque pour feu vert post"/>
        <s v="poster et partager ad code avant 12h"/>
        <s v="TT"/>
        <s v="x3 videos "/>
        <s v="pas besoin de valider preview 2 stories (10/04 et 11/04)"/>
        <s v="link in bio"/>
        <s v="avec ad code"/>
        <s v="⚠️changement facture - se referer au mail"/>
        <s v="médiatisation"/>
        <s v="dont 250€ mediat"/>
        <s v="integration produit"/>
        <s v="IG reel"/>
        <s v="350€ au lieu de 195 pour la derniere"/>
        <s v="IGS  "/>
        <s v="23/04/2025 preview et 16/04 idée creative"/>
        <s v="script  et preview le 01/05/2025"/>
        <s v="script"/>
        <s v="TT IGreel SNAP"/>
        <s v="poster sur TT"/>
        <s v="81€ en option?"/>
        <s v=": https://amzn.to/3Eubtp1"/>
        <s v="Comme beaucoup de followers lui demandent comment faire partir les taches d’acné, elle pourrait créer une vidéo sous l’un de ces formats : « J’ai trouvé un appareil magique pour éliminer les taches d’acné ! » Je présente le produit en détail.Je montre com"/>
        <s v="avec 100e d'ad code inclu"/>
        <s v="vidéo ok descritpion a modifier"/>
        <s v="TT add code a recup"/>
        <s v="GR check dates"/>
        <s v="pas besoin de revision"/>
        <s v="verifier si Lily a posté et partager lien video"/>
        <s v="Video tournée avant Script // envoyer video quand meme"/>
        <s v="partager les captions modifier repost ig"/>
        <s v="Contenu attendu par la marque"/>
        <s v="IGs ANAIS20 20% valable sur ensemble produit du site"/>
        <s v="médiat"/>
        <s v="TT ANAIS20 20% valable sur ensemble produit du site"/>
        <s v="Script 18/06 TT"/>
        <s v="One INS reel + 30 days ad &amp; organic usage rights+ link in bio"/>
        <s v="idée creative"/>
        <s v="manque HD + Sous Titres"/>
        <s v="idée creative à partager"/>
        <s v="TT + Tiktok Shop (reassort le 12/06"/>
        <s v="Script 18/06 IG + Cross Post Reel + IGs"/>
        <s v="UGC"/>
        <s v="Beach Babe Hair Waver Campaign"/>
        <s v="partager les stats dès le 18 juillet ?"/>
        <s v="Tiktok/ pas chez elle avant le 1 er juillet "/>
        <s v="Tiktok"/>
        <s v="partager dès le 24/07 les screens des statistiques de son contenu UGC aussi cession de droit partager la video en HD"/>
        <s v="4EX"/>
        <s v="TT + IGr"/>
        <s v="on a pas le brief"/>
        <s v="n'a pas le produit"/>
        <s v="avec mediat"/>
        <s v="IG + TT cross post + ad code +UGC"/>
        <s v="3 videos"/>
        <s v="Code promo perso à partager"/>
        <s v="mettre explications en anglais"/>
        <s v="⚠️ Gifting voir avec Gauthier "/>
        <s v="POUR CONTENU UGC AVANT AGENCE"/>
        <s v="TT + Tiktok Shop"/>
        <s v="partager stats"/>
        <s v="pas fait "/>
        <s v="16h30"/>
        <s v="partager à Jolt les détails pour la campagne (date, orna...)"/>
        <s v=": #Kiehlsfrance (TikTok) et @kiehlsfrance (Instagram) et le hashtag : #HYDRATATION"/>
        <s v="Fonctionnement Nice Work"/>
        <s v="3 contenus // pas d'exclu"/>
        <s v="https://docs.google.com/presentation/d/1q4NE7BfV_3-rP4IUQJmAq-Et7OVpK16CYhR5OVpmQYo/edit?usp=sharing"/>
        <s v="Fonctionnement Nice Work - Envoyer lien marque"/>
        <s v="Affiliation 10% // 2 post/mois"/>
        <s v="https://www.tiktok.com/@lavishhcam/video/7384102579849956641?lang=en"/>
        <s v="Reçu"/>
        <s v="Médiatisation "/>
        <s v="envoyer facture MÉDIA EN OPTION 250€ 4semaines 7-18 Octobre"/>
        <s v="Google Ads"/>
        <s v="La semaine du 1er avril"/>
        <s v="7 jours après reception sac"/>
        <s v="ATTENTION NOUVEAU BRIEF?"/>
        <s v="La semaine du 15 avril"/>
        <s v="VOIR MAIL POUR BRIEF"/>
        <s v="⚠️chiara_12  + Lien dans bio"/>
        <s v="Libre"/>
        <s v="Tester les produits et leur faire un retour. Si tu aimes pourquoi pas poster sur Tiktok"/>
        <s v="Photo avant/après"/>
        <s v="pas reçu"/>
        <s v="⚠️bleulividee_12 + Lien dans Bio"/>
        <s v="story juste"/>
        <s v="X2 video"/>
        <s v="en attente Micro Entreprise Jeanne"/>
        <s v="Brief dans mail Sparkle"/>
        <s v="colis pas encore reçu (30/11)"/>
      </sharedItems>
    </cacheField>
    <cacheField name="Description rapide de la demande" numFmtId="0">
      <sharedItems containsBlank="1">
        <s v="vidéo dédiée maquillage avec la marque Bell."/>
        <s v="post obligatoire avec brief"/>
        <s v="post obligatoire  "/>
        <s v="Brief à respecter"/>
        <s v="Thème du book"/>
        <m/>
        <s v="Post Obligatoire "/>
        <s v="Brief dans mail"/>
        <s v="Ne pas poster / Suivre brief"/>
        <s v="Post avec brief"/>
        <s v="Libre"/>
        <s v="Seeding"/>
        <s v="NiceWork"/>
        <s v="Nice Work"/>
        <s v="Post Obligatoire"/>
        <s v="Fonctionnement Nice Work"/>
        <s v="Pas de brief"/>
        <s v="Consignes Nice Work"/>
        <s v="Post obligatoire sans brief"/>
        <s v="1 Tiktok + 1 Reel"/>
        <s v="1 Tiktok + 1 IG story"/>
        <s v="Post non obligatoire"/>
        <s v="Libre - colis presse"/>
        <s v="Evenement"/>
        <s v="Sans obligation de post"/>
      </sharedItems>
    </cacheField>
    <cacheField name="Format (influence vs UGC)" numFmtId="166">
      <sharedItems containsBlank="1">
        <s v="Influence"/>
        <m/>
        <s v="UGC "/>
        <s v="UGC"/>
        <s v="Evenement"/>
      </sharedItems>
    </cacheField>
    <cacheField name="Rémunération totale">
      <sharedItems containsBlank="1" containsMixedTypes="1" containsNumber="1">
        <n v="70.0"/>
        <n v="130.0"/>
        <n v="200.0"/>
        <s v="Gifting + Médiatisation"/>
        <s v="20€/semaine de médiatisation"/>
        <n v="350.0"/>
        <s v="Comptabilisé"/>
        <n v="500.0"/>
        <n v="150.0"/>
        <s v="Gifting"/>
        <n v="100.0"/>
        <m/>
        <n v="650.0"/>
        <n v="450.0"/>
        <n v="629.92"/>
        <n v="1800.0"/>
        <n v="175.0"/>
        <n v="250.0"/>
        <n v="1000.0"/>
        <n v="230.0"/>
        <n v="300.0"/>
        <n v="80.0"/>
        <n v="531.0"/>
        <n v="400.0"/>
        <n v="241.28"/>
        <n v="75.0"/>
        <n v="275.0"/>
        <n v="137.5"/>
        <n v="600.0"/>
        <n v="526.48"/>
        <n v="625.0"/>
        <n v="1250.0"/>
        <n v="800.0"/>
        <n v="699.2"/>
        <n v="225.0"/>
        <n v="1500.0"/>
        <n v="357.935"/>
        <n v="173.0"/>
        <n v="1200.0"/>
        <n v="233.33333333333334"/>
        <n v="750.0"/>
        <n v="700.0"/>
        <n v="393.3"/>
        <n v="125.0"/>
        <n v="382.5"/>
        <n v="325.0"/>
        <n v="0.0"/>
        <n v="170.0"/>
        <n v="900.0"/>
        <n v="375.0"/>
        <n v="195.0"/>
        <n v="950.0"/>
        <n v="1012.5"/>
        <n v="2000.0"/>
        <n v="333.3333333333333"/>
        <n v="582.0"/>
        <n v="291.0"/>
        <n v="970.0"/>
        <n v="1850.0"/>
        <n v="940.0"/>
        <n v="2500.0"/>
        <n v="850.0"/>
        <n v="1100.0"/>
        <n v="810.0"/>
        <n v="552.0"/>
        <n v="550.13"/>
        <n v="1400.0"/>
        <n v="1125.0"/>
        <n v="395.09"/>
        <n v="410.72"/>
        <n v="550.0"/>
        <n v="508.3"/>
        <n v="370.0"/>
        <n v="1300.0"/>
        <n v="492.87"/>
        <n v="166.66666666666666"/>
        <n v="3298.0"/>
        <n v="666.6666666666666"/>
        <n v="620.0"/>
        <n v="112.5"/>
        <n v="217.4"/>
        <n v="3125.0"/>
        <n v="266.6666666666667"/>
        <n v="310.0"/>
        <n v="880.0"/>
        <n v="1290.0"/>
        <n v="840.0"/>
        <n v="602.0"/>
        <n v="190.0"/>
        <s v="Affiliation"/>
        <s v="10% Commission"/>
        <s v="Showroom"/>
        <s v="Evenement"/>
      </sharedItems>
    </cacheField>
    <cacheField name="Date Stats">
      <sharedItems containsDate="1" containsString="0" containsBlank="1" containsMixedTypes="1">
        <m/>
        <d v="2024-04-16T00:00:00Z"/>
        <d v="2024-04-29T00:00:00Z"/>
        <d v="2024-04-25T00:00:00Z"/>
        <d v="2024-05-08T00:00:00Z"/>
        <d v="2024-05-11T00:00:00Z"/>
        <d v="2024-05-31T00:00:00Z"/>
        <n v="105.0"/>
        <n v="96.25"/>
        <n v="280.0"/>
        <n v="140.0"/>
        <n v="350.0"/>
        <n v="420.0"/>
      </sharedItems>
    </cacheField>
    <cacheField name="Lien video" numFmtId="0">
      <sharedItems containsBlank="1">
        <m/>
        <s v="https://www.tiktok.com/@melf.fnt/video/7382192283279494432"/>
        <s v="https://www.tiktok.com/@lilyy.nl/video/7383728309110050080"/>
        <s v="https://www.tiktok.com/@lolatagliaferroo/video/7383998473613479201"/>
        <s v="https://www.tiktok.com/@lavishhcam/video/7390792553022442784?lang=en"/>
        <s v="https://www.tiktok.com/@chiaraaaa.bnc/video/7391058568260111649"/>
        <s v="https://www.tiktok.com/@lina.mkrn2/video/7390790437969104161"/>
        <s v="https://www.tiktok.com/@perrine.trp/video/7391590382611516705"/>
        <s v="https://www.tiktok.com/@morgane.mrckk/video/7390710366738681121"/>
        <s v="https://www.tiktok.com/@perrine.trp/video/7394891259883654433"/>
        <s v="https://www.tiktok.com/@___oraane/video/7392965105924738336"/>
        <s v="https://www.tiktok.com/@paupibeauty/video/7395224727377251617"/>
        <s v="https://www.tiktok.com/@lolatagliaferroo/video/7395519666556259616"/>
        <s v="https://www.tiktok.com/@melf.fnt/video/7393286593676660000"/>
        <s v="https://www.tiktok.com/@perrine.trp/video/7393392477878701345"/>
        <s v="https://www.tiktok.com/@morgane.mrckk/video/7394042444519591201"/>
        <s v="https://www.tiktok.com/@paupibeauty/video/7394501330364075296"/>
        <s v="https://www.tiktok.com/@paupibeauty/video/7397449808555937056?_r=1&amp;_t=8oSOvlgWeMi"/>
        <s v="https://www.tiktok.com/@lolatagliaferroo/video/7398086597721263393"/>
        <s v="https://www.tiktok.com/@___oraane/video/7398548157925248288"/>
        <s v="https://vm.tiktok.com/ZGenfd12c/"/>
        <s v="https://www.tiktok.com/@liserdg/video/7397464254451911969"/>
        <s v="https://www.tiktok.com/@liserdg/video/7401195152984870176"/>
        <s v="https://www.tiktok.com/@lilyy.nl/video/7403767696283766048"/>
        <s v="https://www.tiktok.com/@morgane.mrckk/video/7411931626252422433"/>
        <s v="https://www.tiktok.com/@___oraane/video/7403673068578688289"/>
        <s v="https://www.tiktok.com/@lavishhcam/video/7406036857340824865?lang=en"/>
        <s v="https://www.tiktok.com/@lilyy.nl/video/7407093682731502880"/>
        <s v="https://www.tiktok.com/@paupibeauty/video/7403439757415533856?_r=1&amp;_t=8otpeszl9rE"/>
        <s v="https://www.tiktok.com/@perrine.trp/video/7411953653143129376"/>
        <s v="https://www.tiktok.com/@lavishhcam/video/7407487090046389537?lang=en"/>
        <s v="https://www.tiktok.com/@melf.fnt/video/7408135764502007073"/>
        <s v="https://www.tiktok.com/@lavishhcam/video/7406708879695875360?lang=en"/>
        <s v="https://www.tiktok.com/@lavishhcam/video/7411562966337834272?lang=en"/>
        <s v="https://www.tiktok.com/@morgane.mrckk/video/7406767459749055777"/>
        <s v="https://www.tiktok.com/@lilyy.nl/video/7411947131440827681"/>
        <s v="https://www.tiktok.com/@julianebernard/video/7415999447202663713"/>
        <s v="https://www.tiktok.com/@lilyy.nl/video/7412698376162135328"/>
        <s v="https://www.tiktok.com/@melf.fnt/video/7421252203458874656"/>
        <s v="https://www.tiktok.com/@melf.fnt/video/7417119746270776609"/>
        <s v="https://www.tiktok.com/@melf.fnt/video/7422703664969616673"/>
        <s v="https://www.tiktok.com/@paupibeauty/video/7416729046316338465?_r=1&amp;_t=8psjQcSNmPA"/>
        <s v="https://www.tiktok.com/@jessicadcstr/video/7401576606319398177"/>
        <s v="https://tiktok.com/@mary.zhh/video/7416774634885926176?lang=en"/>
        <s v="https://www.tiktok.com/@chiaraaaa.bnc/video/7417486710386232609"/>
        <s v="https://www.tiktok.com/@perrine.trp/video/7420530124208016672"/>
        <s v="https://www.tiktok.com/@paupibeauty/video/7418269204975078689"/>
        <s v="https://www.tiktok.com/@jeanne_bayart/video/7425572834992344353?_r=1&amp;_t=8qXCYC0RFJY"/>
        <s v="https://www.tiktok.com/@jeanne_bayart/video/7437562970659491105?lang=en"/>
        <s v="https://www.tiktok.com/@___oraane/video/7434852783339195681?lang=en"/>
        <s v="https://www.tiktok.com/@melf.fnt/video/7430522334919822624"/>
        <s v="https://www.tiktok.com/@liserdg/video/7430136572063796513?lang=en"/>
        <s v="https://www.tiktok.com/@liserdg/video/7432768931619802401?lang=en"/>
        <s v="https://www.tiktok.com/@morgane.mrckk/video/7430757799249988896?lang=en"/>
        <s v="https://www.tiktok.com/@shaa_dl/video/7515842386795187478"/>
        <s v="https://www.tiktok.com/@___oraane/video/7419283054981664033"/>
        <s v="https://www.tiktok.com/@anaiswairyy/video/7433837110584479008?lang=en"/>
        <s v="https://www.tiktok.com/@chiaraaaa.bnc/video/7438003860733578528?lang=en"/>
        <s v="https://www.tiktok.com/@morgane.mrckk/video/7437476392905805089?lang=en"/>
        <s v="https://www.tiktok.com/@iimslma/video/7436438336383880480?lang=en"/>
        <s v="https://www.tiktok.com/@melf.fnt/video/7436438601740668192?_r=1&amp;_t=8rKy09eXARN"/>
        <s v="https://www.tiktok.com/@lavishhcam/video/7437477138430741792"/>
        <s v="https://www.tiktok.com/@julianebernard/video/7437454498747927841?lang=en"/>
        <s v="https://www.tiktok.com/@melf.fnt/video/7437532619706731809"/>
        <s v="https://www.tiktok.com/@anaiswairyy/video/7455393883908771094?lang=en"/>
        <s v="https://www.tiktok.com/@anaiswairyy/video/7469871245606030614?lang=en"/>
        <s v="https://www.tiktok.com/@___oraane/video/7450792735776296214?lang=en"/>
        <s v="https://www.tiktok.com/@___oraane/video/7449648582451350806?lang=en"/>
        <s v="https://www.tiktok.com/@melf.fnt/video/7441913953858489633"/>
        <s v="https://www.tiktok.com/@paupibeauty/video/7442018892454694176?_r=1&amp;_t=8rkWjFn0wJa"/>
        <s v="https://www.tiktok.com/@anaiswairyy?lang=en"/>
        <s v="https://www.tiktok.com/@lilyy.nl/video/7443863318730689814"/>
        <s v="https://www.tiktok.com/@jeanne_bayart/video/7442798993492479265?lang=en"/>
        <s v="https://www.tiktok.com/@iman_cvls/video/7451924438834089238?_r=1&amp;_t=8sTta62xc1u"/>
        <s v="https://www.tiktok.com/@iman_cvls/video/7452023214944947478?_r=1&amp;_t=8sWEGQqinJO"/>
        <s v="https://www.tiktok.com/@iman_cvls/video/7452403635708775702"/>
        <s v="https://www.tiktok.com/@jasmiinelife/video/7453739165205777686?lang=en"/>
        <s v="https://www.tiktok.com/@lavishhcam/video/7463441462252932374"/>
        <s v="https://www.tiktok.com/@iimslma/video/7465383468805999894?_r=1&amp;_t=ZN-8tTXg6qHkUY"/>
        <s v="https://www.tiktok.com/@iman_cvls/video/7465390038260485398?_t=ZN-8tTZG4XbMr0&amp;_r=1"/>
        <s v="https://www.tiktok.com/@liserdg/video/7465785595495763222?lang=en"/>
        <s v="https://www.tiktok.com/@la_gur/video/7467998009230363926?lang=en"/>
        <s v="75 de media"/>
        <s v="https://www.tiktok.com/@dounsbnl/video/7471295610063310102"/>
        <s v="https://www.tiktok.com/@lolatagliaferroo?lang=en"/>
        <s v="https://www.tiktok.com/@___oraane/video/7471294678306934038?lang=en"/>
        <s v="https://www.tiktok.com/@shaa_dl/video/7471336075559046422"/>
        <s v="https://www.tiktok.com/@dounsbnl/video/7451645404535442710"/>
        <s v="https://www.tiktok.com/@anaiswairyy/video/7471353868702502166?lang=en"/>
        <s v="https://www.tiktok.com/@dounsbnl/video/7473150812873788674?_t=ZN-8u36zKwjrx0&amp;_r=1"/>
        <s v="https://www.tiktok.com/@lolatagliaferroo/video/7473819808870534422?lang=en"/>
        <s v="https://www.tiktok.com/@paupibeauty/video/7473538347969875222?_r=1&amp;_t=ZN-8u4tYDuW4wQ"/>
        <s v="https://www.tiktok.com/@perrine.trp/video/7476172058406194454?lang=en"/>
        <s v="https://www.tiktok.com/@eloiseaubeneauu/video/7482020827924401451"/>
        <s v="https://www.tiktok.com/@julianebernard/video/7496568197135486230?_r=1&amp;_t=ZN-8vmOTilRwgg"/>
        <s v="https://www.tiktok.com/@iimslma/video/7485792482345618710?_r=1&amp;_t=ZN-8uz1T2hjhy6"/>
        <s v="https://www.tiktok.com/@dounsbnl/video/7476794031935147286"/>
        <s v="https://www.tiktok.com/@eloiseaubeneauu/video/7495738839487581470?_t=ZP-8viaG7wegWt&amp;_r=1"/>
        <s v="https://www.tiktok.com/@lilyy.nl/video/7493984160173034774"/>
        <s v="https://www.tiktok.com/@ttemarine/video/7495056234014379266"/>
        <s v="https://www.tiktok.com/@ttemarine/video/7494670749865757974"/>
        <s v="https://www.tiktok.com/@julianebernard/video/7493986086654315798?lang=en"/>
        <s v="https://www.tiktok.com/@paupibeauty/video/7493948630144011542"/>
        <s v="https://www.tiktok.com/@lavishhcam/video/7495428391882198295"/>
        <s v="https://www.tiktok.com/@la_gur/video/7499405044245204246?lang=en"/>
        <s v="https://www.tiktok.com/@sarah.bdii/video/7499149208293788950"/>
        <s v="https://www.tiktok.com/@jasmiinelife/video/7499164614366645526?lang=en"/>
        <s v="https://www.tiktok.com/@ttemarine/video/7499519504368569622"/>
        <s v="https://www.tiktok.com/@lovelymorgane/video/7499894490853821718?_r=1&amp;_t=8kth38xkh3x"/>
        <s v="https://www.tiktok.com/@arwen.arwen1/video/7506934371669101846?lang=en"/>
        <s v="https://www.tiktok.com/@farahdisiaque/video/7505057972834372886"/>
        <s v="https://www.tiktok.com/@paupibeauty/video/7506557930817277206?_t=ZN-8wW7MsM3mNy&amp;_r=1"/>
        <s v="https://www.tiktok.com/@lavishhcam/video/7505069359010794774"/>
        <s v="https://www.tiktok.com/@paupibeauty/video/7507679880100810007?_r=1&amp;_t=ZN-8wbG54dkxtO"/>
        <s v="https://www.tiktok.com/@iam.sissou/video/7526589360469265686?is_from_webapp=1&amp;sender_device=pc&amp;web_id=7504317976587437590"/>
        <s v="https://www.tiktok.com/@mary.zhh/video/7462430581402520854"/>
        <s v="https://www.tiktok.com/@mary.zhh/video/7460561651675303190"/>
        <s v="https://www.tiktok.com/@paupibeauty/video/7439768252269546785?_r=1&amp;_t=8raH38QLVtG"/>
        <s v="https://www.tiktok.com/@amani_mee/video/7494728696528522518"/>
        <s v="https://vm.tiktok.com/ZNdPeJgF7/"/>
        <s v="https://www.tiktok.com/@ttemarine/video/7522142648207936790?_t=ZN-8xfVHZaTphe&amp;_r=1"/>
        <s v="https://www.tiktok.com/@iam.sissou/video/7513475563936369942"/>
        <s v="https://www.tiktok.com/@iimslma/video/7522888104374701335"/>
        <s v="https://drive.google.com/drive/folders/19ToYFCpY-wQNqLL1X6hkS610Je7ZJWpH?usp=sharing"/>
        <s v="https://drive.google.com/drive/folders/1cqb0DvHrI2AEf5Y1mODPl-Wb-x2ZpIBF?usp=sharing"/>
        <s v="https://www.tiktok.com/@shaa_dl/video/7525111945536523542?_r=1&amp;_t=ZN-8xwa2XIbgXO"/>
        <s v="https://www.instagram.com/p/DL9s1T-ucxx/?hl=fr"/>
        <s v="https://www.tiktok.com/@___oraane/video/7525503490924416279"/>
        <s v="https://www.tiktok.com/@julianebernard/video/7522838166227864854?lang=en"/>
        <s v="https://www.tiktok.com/@laudewit/video/7519192074919365920"/>
        <s v="https://www.tiktok.com/@asmaenel/video/7526542702301826326?is_from_webapp=1&amp;sender_device=pc&amp;web_id=7504317976587437590"/>
        <s v="https://www.tiktok.com/@shaa_dl/video/7525111987638979862?_r=1&amp;_t=ZN-8xwa1oeBxCQ"/>
        <s v="https://www.tiktok.com/@juliette.pn/video/7525473712418622742?is_from_webapp=1&amp;sender_device=pc&amp;web_id=7504317976587437590"/>
        <s v="https://www.tiktok.com/@laudewit/video/7525483945366998305"/>
        <s v="https://www.tiktok.com/@julianebernard/video/7526982773156924694?_r=1&amp;_t=ZN-8y1f4d2rh1K"/>
        <s v="https://www.tiktok.com/@la_gur/video/7528400374802173206"/>
        <s v="https://www.tiktok.com/@paupibeauty/video/7529220565756857622"/>
        <s v="https://vm.tiktok.com/ZNHp1gFdSuU6L-Orqzs/"/>
        <s v="https://www.tiktok.com/@melissa.pndd/video/7526574135296773398?is_from_webapp=1&amp;sender_device=pc&amp;web_id=7504317976587437590"/>
        <s v="https://www.tiktok.com/@laudewit/video/7529089646714735905"/>
        <s v="https://www.tiktok.com/@guenaire/video/7532570588146076950"/>
        <s v="https://www.tiktok.com/@laudewit/video/7525765188893674784"/>
        <s v="https://www.tiktok.com/@sarah.bdii/video/7516951979084598550"/>
        <s v="https://www.tiktok.com/@anaiswairyy/video/7466167514402229526?lang=en"/>
        <s v="https://www.tiktok.com/@melissa.pndd/video/7514352561562946838"/>
        <s v="https://vm.tiktok.com/ZNdyXTXHb/"/>
        <s v="https://www.instagram.com/reel/DLc5EB4ogna/?utm_source=ig_web_copy_link"/>
        <s v="https://www.tiktok.com/@glennwolff/video/7517353745353559318?is_from_webapp=1&amp;sender_device=pc&amp;web_id=7504317976587437590"/>
        <s v="https://www.instagram.com/reel/DLXs9HIijUX/?utm_source=ig_web_copy_link&amp;igsh=MzEyc2ZyNmFwZTMw"/>
        <s v="https://www.tiktok.com/@lolatagliaferroo/video/7520567485473492246?is_from_webapp=1&amp;sender_device=pc&amp;web_id=7504317976587437590"/>
        <s v="https://www.tiktok.com/@melissa.pndd/video/7519911199744494850?is_from_webapp=1&amp;sender_device=pc&amp;web_id=7504317976587437590"/>
        <s v="https://www.tiktok.com/@___oraane/video/7518063433611480343?_t=ZN-8xMoEPKM08s&amp;_r=1"/>
        <s v="https://www.tiktok.com/@paupibeauty/video/7521283052488641814?is_from_webapp=1&amp;sender_device=pc&amp;web_id=7504317976587437590"/>
        <s v="https://www.tiktok.com/@sarah.bdii/video/7532173540204891414"/>
        <s v="https://www.tiktok.com/@shaa_dl/video/7414067609177476384"/>
        <s v="https://www.tiktok.com/@shaa_dl/video/7430530285852167457"/>
        <s v="https://www.tiktok.com/@shaa_dl/video/7456916860278295830?_t=ZN-8sqlAIVsOJS&amp;_r=1"/>
        <s v="https://www.tiktok.com/@amandambt_/video/7483639690327788822?lang=en"/>
        <s v="La première à 1 min 17 https://vm.tiktok.com/ZNdMWypK4/ La seconde à 1 min 32 https://vm.tiktok.com/ZNdMWUM5e/"/>
        <s v="https://www.instagram.com/reel/DFqvAlCNUMN/"/>
        <s v="https://www.tiktok.com/@arwen.arwen1/video/7453509821812280598?lang=en"/>
        <s v="https://www.tiktok.com/@arwen.arwen1/video/7453509775200980246?lang=en"/>
        <s v="https://www.tiktok.com/@arwen.arwen1/video/7453530509163973910?lang=en"/>
        <s v="https://www.tiktok.com/@lavishhcam/video/7372599354646957344"/>
        <s v="https://www.tiktok.com/@lavishhcam/video/7370721490632772896?lang=en"/>
        <s v="https://www.tiktok.com/@lavishhcam/video/7374120668813659425"/>
        <s v="https://vm.tiktok.com/ZGeGrsEfX/"/>
        <s v="https://www.tiktok.com/@lavishhcam/video/7392636437163773217"/>
        <s v="https://www.tiktok.com/@lavishhcam/video/7401082023797902625?lang=en"/>
        <s v="https://www.tiktok.com/@lavishhcam/video/7401156666479119649?lang=en"/>
        <s v="https://www.tiktok.com/@lavishhcam/video/7415270528665046305?lang=en"/>
        <s v="https://www.tiktok.com/@lavishhcam/video/7414065973084359968?lang=en"/>
        <s v="https://www.tiktok.com/@lavishhcam/video/7421861704159464736?lang=en"/>
        <s v="https://www.tiktok.com/@lavishhcam/video/7421578850808646944"/>
        <s v="https://www.tiktok.com/@lavishhcam/video/7424528927714020641"/>
        <s v="https://tiktok.com/@lavishhcam/video/7428536491384638753"/>
        <s v="https://www.tiktok.com/@lavishhcam/video/7431968536773299489"/>
        <s v="https://www.tiktok.com/@lavishhcam/video/7431640311199255840"/>
        <s v="https://www.tiktok.com/@lavishhcam/video/7442372621200575776"/>
        <s v="https://www.tiktok.com/@lavishhcam/video/7451273510346820886"/>
        <s v="https://www.tiktok.com/@lavishhcam/video/7465046952749616406"/>
        <s v="https://www.tiktok.com/@lavishhcam/video/7462439461763157270"/>
        <s v="https://www.tiktok.com/@lavishhcam/video/7467602307832745238?_r=1&amp;_t=ZN-8tpZSV3gUPG"/>
        <s v="https://www.tiktok.com/@lavishhcam/video/7481621153107217686?_t=ZN-8ufuB4coZpW&amp;_r=1"/>
        <s v="https://www.tiktok.com/@lavishhcam/video/7480248461112216854?_t=ZN-8uksUX9QNRG&amp;_r=1"/>
        <s v="https://www.tiktok.com/@lavishhcam/video/7395231761887759649?lang=en"/>
        <s v="https://www.tiktok.com/@lavishhcam/video/7398186484789988641?lang=en"/>
        <s v="https://www.tiktok.com/@lavishhcam/video/7365759408892103969?lang=en"/>
        <s v="https://www.tiktok.com/@lavishhcam/video/7401530328214441248?lang=en"/>
        <s v="https://www.tiktok.com/@lavishhcam/video/7394844935842778400?lang=en"/>
        <s v="https://www.tiktok.com/@chiaraaaa.bnc/video/7391983750164319520?_r=1&amp;_t=8o3MXv1mvZJ"/>
        <s v="https://www.tiktok.com/@chiaraaaa.bnc/video/7394423173132913952"/>
        <s v="https://www.tiktok.com/@chiaraaaa.bnc/video/7405297473117310240"/>
        <s v="https://www.tiktok.com/@chiaraaaa.bnc/video/7404583889974480161"/>
        <s v="https://www.tiktok.com/@chiaraaaa.bnc/video/7416745525149584673"/>
        <s v="https://www.tiktok.com/@chiaraaaa.bnc/video/7415682356973014305?_r=1&amp;_t=8pnu1Dc4LKK"/>
        <s v="https://www.tiktok.com/@chiaraaaa.bnc/video/7426062687051713824?lang=en"/>
        <s v="https://www.tiktok.com/@chiaraaaa.bnc/video/7429003433572715809?lang=en"/>
        <s v="https://www.tiktok.com/@dounsbnl/video/7431205107913493793"/>
        <s v="https://www.tiktok.com/@dounsbnl/video/7474747644808613142"/>
        <s v="https://www.instagram.com/p/DHT2-JnIB-6/"/>
        <s v="https://www.instagram.com/reel/DJMIRWMoL9E/?igsh=MTY5bnFnZW5mZGI2dA=="/>
        <s v="https://www.tiktok.com/@eloiseaubeneauu/video/7483491441663036718?_t=ZT-8uoTJcOEruw&amp;_r=1"/>
        <s v="https://www.tiktok.com/@eloiseaubeneauu/video/7507226915682389279"/>
        <s v="https://www.instagram.com/reel/DJPcuR3Idt7/?igsh=OW9lOXZyc2hucGI="/>
        <s v="https://www.tiktok.com/@farahdisiaque/video/7483922941864955158?_t=ZN-8uqT7rbpmb8&amp;_r=1"/>
        <s v="c"/>
        <s v="https://www.tiktok.com/@bleulividee/video/7372251599776877856"/>
        <s v="https://vm.tiktok.com/ZGepDFE5y/"/>
        <s v="https://www.tiktok.com/@bleulividee/video/7391910299361709344"/>
        <s v="https://www.tiktok.com/@bleulividee/video/7392682253026970912"/>
        <s v="https://www.tiktok.com/@bleulividee/video/7410370727486049568"/>
        <s v="https://www.tiktok.com/@bleulividee/video/7375559768552770849"/>
        <s v="https://www.tiktok.com/@bleulividee/video/7393388652753194273"/>
        <s v="https://www.tiktok.com/@bleulividee/video/7397487380388744480"/>
        <s v="https://www.tiktok.com/@bleulividee/video/7365539403646651680"/>
        <s v="https://www.tiktok.com/@la_gur/photo/7457999858377428246?lang=en"/>
        <s v="https://www.tiktok.com/@la_gur/video/7485089693206433046?lang=en"/>
        <s v="https://www.tiktok.com/@la_gur/video/7495733948685815062?lang=en"/>
        <s v="https://drive.google.com/drive/folders/1bllXfbrb3bUB07wpoG2Ebl0SK0IzuWTC?usp=sharing"/>
        <s v="https://www.tiktok.com/@hidaya_bl/video/7484394919600213270"/>
        <s v="https://www.tiktok.com/@iman_cvls/video/7397858754177551649"/>
        <s v="https://www.tiktok.com/@iman_cvls/video/7404463230673849633"/>
        <s v="https://www.tiktok.com/@iman_cvls/video/7414564750392184096"/>
        <s v="https://www.tiktok.com/@iman_cvls/video/7430007298031930656?lang=en"/>
        <s v="https://www.tiktok.com/@iman_cvls/video/7442289270481636640?lang=en"/>
        <s v="https://www.tiktok.com/@iman_cvls/video/7458583066676710678?_t=ZN-8syYtKZMQGF&amp;_r=1"/>
        <s v="https://vm.tiktok.com/ZNdrMWKU9/   https://vm.tiktok.com/ZNdrMbUmK/&#10;"/>
        <s v="https://www.tiktok.com/@iman_cvls/video/7405646497515113761"/>
        <s v="https://www.tiktok.com/@jasmiinelife/video/7402157667159969057"/>
        <s v="https://www.tiktok.com/@jasmiinelife/video/7398942773430308128"/>
        <s v="https://www.tiktok.com/@jasmiinelife/video/7411133691189071137"/>
        <s v="https://www.tiktok.com/@jasmiinelife/video/7431849329335209249?_t=8qzxJsLvUuH&amp;_r=1"/>
        <s v="https://www.tiktok.com/@jasmiinelife/video/7481342810977881366?_r=1&amp;_t=ZN-8ued6vIUIJa"/>
        <s v="https://www.tiktok.com/@jasmiinelife/video/7478010649835064598?_t=ZN-8uksMc15EkI&amp;_r=1"/>
        <s v="https://vm.tiktok.com/ZNdr6BsyX/"/>
        <s v="https://www.tiktok.com/@jasmiinelife/video/7406012010816638240"/>
        <s v="https://www.instagram.com/reel/DAEGiSUicZy/"/>
        <s v="https://www.tiktok.com/@jeanne_bayart/video/7405111060274924832"/>
        <s v="https://www.tiktok.com/@jeanne_bayart/video/7401629838697565472"/>
        <s v="https://www.instagram.com/reel/DHYZokMIocA/?igsh=MXJmNGNqYzdlNjZ6eg%3D%3D"/>
        <s v="https://www.tiktok.com/@jessicadcstr/video/7374052571708771616"/>
        <s v="https://www.tiktok.com/@jessicadcstr/video/7375545597094464801"/>
        <s v="https://www.tiktok.com/@jessicadcstr/video/7388534640631450913"/>
        <s v="https://www.tiktok.com/@jessicadcstr/video/7389326468137995552"/>
        <s v="https://www.tiktok.com/@jessicadcstr/video/7402283442785766688"/>
        <s v="https://www.tiktok.com/@jessicadcstr/video/7400003750661819681"/>
        <s v="https://www.tiktok.com/@jessicadcstr/video/7401184127703108897"/>
        <s v="https://www.tiktok.com/@jessicadcstr/video/7379634512625487137"/>
        <s v="https://www.tiktok.com/@jessicadcstr/video/7370005908706921761?q=jessicadcstr%20aromazone&amp;t=1716383408647"/>
        <s v="https://www.tiktok.com/@julianebernard/video/7375950922876194080"/>
        <s v="https://www.tiktok.com/@julianebernard/video/7394526025591409952"/>
        <s v="https://www.tiktok.com/@julianebernard/video/7415662953526988065"/>
        <s v="https://www.tiktok.com/@julianebernard/video/7422201837324979489"/>
        <s v="https://www.tiktok.com/@julianebernard/video/7423819976387218720?lang=en"/>
        <s v="https://www.tiktok.com/@julianebernard/video/7428654055754353952?lang=en"/>
        <s v="https://www.tiktok.com/@julianebernard/video/7431227139405466912?lang=en"/>
        <s v="https://www.tiktok.com/@julianebernard/video/7470566844924005654?lang=en"/>
        <s v="https://www.tiktok.com/@julianebernard/video/7480957956545203478?_t=ZN-8uflzHw9hd0&amp;_r=1"/>
        <s v="https://www.tiktok.com/@julianebernard/video/7483144981474053398?_r=1&amp;_t=ZN-8umtSsTCOtq"/>
        <s v="https://www.tiktok.com/@julianebernard/video/7505188044769611030?_r=1&amp;_t=ZN-8wUPhwBCpra"/>
        <s v="https://www.tiktok.com/@julianebernard/video/7387355316817612064"/>
        <s v="https://www.tiktok.com/@laurieespamm/video/7373977897394048289"/>
        <s v="https://www.tiktok.com/@laurieespamm/video/7372894690884029729"/>
        <s v="https://www.tiktok.com/@laurieespamm/video/7385220213458980129"/>
        <s v="https://www.tiktok.com/@laurieespamm/video/7403685503830084896?_r=1&amp;_t=8ouxXOOFEH3"/>
        <s v="https://www.tiktok.com/@laurieespamm/video/7385584137039596833"/>
      </sharedItems>
    </cacheField>
    <cacheField name="X">
      <sharedItems containsBlank="1" containsMixedTypes="1" containsNumber="1" containsInteger="1">
        <m/>
        <n v="350.0"/>
        <n v="420.0"/>
        <n v="320.0"/>
        <s v="https://www.instagram.com/reel/DEKlEAhCcsg/"/>
        <s v="ANAIS-10 Il offre -10% de réduction sur une commande sans minimum d’achat, hors frais de port, valable jusqu’au 30/04/2025"/>
        <s v="envoyer facture en anglais"/>
        <s v="deja facture"/>
        <s v="500 médiat"/>
        <s v="dont 150 de médiat"/>
        <s v="envoyer facture en €"/>
        <s v="médiat à confirmer 202,50€"/>
        <s v="ajouter code promo"/>
        <s v="lien en bio"/>
        <s v="rembourser Produits"/>
        <s v="facture déjà envoyée"/>
      </sharedItems>
    </cacheField>
    <cacheField name="Grapper" numFmtId="0">
      <sharedItems containsBlank="1">
        <s v="Oui"/>
        <s v="Non"/>
        <m/>
        <s v="Non "/>
      </sharedItems>
    </cacheField>
    <cacheField name="Date vente" numFmtId="164">
      <sharedItems containsNonDate="0" containsDate="1" containsString="0" containsBlank="1" minDate="2024-01-14T00:00:00Z" maxDate="2025-07-17T00:00:00Z">
        <d v="2024-03-01T00:00:00Z"/>
        <d v="2024-03-15T00:00:00Z"/>
        <m/>
        <d v="2024-03-30T00:00:00Z"/>
        <d v="2024-03-25T00:00:00Z"/>
        <d v="2024-04-08T00:00:00Z"/>
        <d v="2024-04-11T00:00:00Z"/>
        <d v="2024-03-21T00:00:00Z"/>
        <d v="2024-04-25T00:00:00Z"/>
        <d v="2024-04-19T00:00:00Z"/>
        <d v="2024-05-07T00:00:00Z"/>
        <d v="2024-05-06T00:00:00Z"/>
        <d v="2024-05-02T00:00:00Z"/>
        <d v="2024-05-13T00:00:00Z"/>
        <d v="2024-05-14T00:00:00Z"/>
        <d v="2024-03-20T00:00:00Z"/>
        <d v="2024-04-10T00:00:00Z"/>
        <d v="2024-05-30T00:00:00Z"/>
        <d v="2024-05-11T00:00:00Z"/>
        <d v="2024-04-30T00:00:00Z"/>
        <d v="2024-05-23T00:00:00Z"/>
        <d v="2024-05-16T00:00:00Z"/>
        <d v="2024-06-08T00:00:00Z"/>
        <d v="2024-06-20T00:00:00Z"/>
        <d v="2024-06-18T00:00:00Z"/>
        <d v="2024-06-12T00:00:00Z"/>
        <d v="2024-06-24T00:00:00Z"/>
        <d v="2024-06-11T00:00:00Z"/>
        <d v="2024-07-16T00:00:00Z"/>
        <d v="2024-07-25T00:00:00Z"/>
        <d v="2024-07-03T00:00:00Z"/>
        <d v="2024-06-17T00:00:00Z"/>
        <d v="2024-06-27T00:00:00Z"/>
        <d v="2024-07-06T00:00:00Z"/>
        <d v="2024-06-14T00:00:00Z"/>
        <d v="2024-07-24T00:00:00Z"/>
        <d v="2024-07-10T00:00:00Z"/>
        <d v="2024-08-01T00:00:00Z"/>
        <d v="2024-07-04T00:00:00Z"/>
        <d v="2024-07-23T00:00:00Z"/>
        <d v="2024-07-21T00:00:00Z"/>
        <d v="2024-08-06T00:00:00Z"/>
        <d v="2024-07-29T00:00:00Z"/>
        <d v="2024-07-30T00:00:00Z"/>
        <d v="2024-07-17T00:00:00Z"/>
        <d v="2024-08-02T00:00:00Z"/>
        <d v="2024-07-31T00:00:00Z"/>
        <d v="2024-08-21T00:00:00Z"/>
        <d v="2024-08-19T00:00:00Z"/>
        <d v="2024-08-13T00:00:00Z"/>
        <d v="2024-09-11T00:00:00Z"/>
        <d v="2024-08-16T00:00:00Z"/>
        <d v="2024-09-12T00:00:00Z"/>
        <d v="2024-08-23T00:00:00Z"/>
        <d v="2024-09-04T00:00:00Z"/>
        <d v="2025-05-20T00:00:00Z"/>
        <d v="2024-09-09T00:00:00Z"/>
        <d v="2024-08-28T00:00:00Z"/>
        <d v="2024-09-14T00:00:00Z"/>
        <d v="2024-09-13T00:00:00Z"/>
        <d v="2024-08-20T00:00:00Z"/>
        <d v="2024-09-26T00:00:00Z"/>
        <d v="2024-08-29T00:00:00Z"/>
        <d v="2025-05-13T00:00:00Z"/>
        <d v="2024-09-03T00:00:00Z"/>
        <d v="2024-09-27T00:00:00Z"/>
        <d v="2024-10-01T00:00:00Z"/>
        <d v="2025-05-07T00:00:00Z"/>
        <d v="2024-10-28T00:00:00Z"/>
        <d v="2024-09-10T00:00:00Z"/>
        <d v="2024-10-15T00:00:00Z"/>
        <d v="2024-10-29T00:00:00Z"/>
        <d v="2024-10-24T00:00:00Z"/>
        <d v="2024-10-02T00:00:00Z"/>
        <d v="2024-10-30T00:00:00Z"/>
        <d v="2024-10-14T00:00:00Z"/>
        <d v="2024-10-25T00:00:00Z"/>
        <d v="2024-11-05T00:00:00Z"/>
        <d v="2024-11-08T00:00:00Z"/>
        <d v="2024-11-04T00:00:00Z"/>
        <d v="2024-10-23T00:00:00Z"/>
        <d v="2024-11-29T00:00:00Z"/>
        <d v="2024-11-19T00:00:00Z"/>
        <d v="2024-12-09T00:00:00Z"/>
        <d v="2024-11-26T00:00:00Z"/>
        <d v="2024-11-25T00:00:00Z"/>
        <d v="2024-12-05T00:00:00Z"/>
        <d v="2024-12-16T00:00:00Z"/>
        <d v="2024-11-11T00:00:00Z"/>
        <d v="2024-12-03T00:00:00Z"/>
        <d v="2024-12-24T00:00:00Z"/>
        <d v="2025-02-20T00:00:00Z"/>
        <d v="2024-12-23T00:00:00Z"/>
        <d v="2025-01-07T00:00:00Z"/>
        <d v="2024-12-12T00:00:00Z"/>
        <d v="2025-01-21T00:00:00Z"/>
        <d v="2025-01-24T00:00:00Z"/>
        <d v="2025-01-17T00:00:00Z"/>
        <d v="2025-01-09T00:00:00Z"/>
        <d v="2025-01-27T00:00:00Z"/>
        <d v="2025-01-23T00:00:00Z"/>
        <d v="2024-10-22T00:00:00Z"/>
        <d v="2024-10-21T00:00:00Z"/>
        <d v="2025-01-22T00:00:00Z"/>
        <d v="2025-01-16T00:00:00Z"/>
        <d v="2025-02-12T00:00:00Z"/>
        <d v="2025-02-18T00:00:00Z"/>
        <d v="2025-01-29T00:00:00Z"/>
        <d v="2025-02-14T00:00:00Z"/>
        <d v="2025-02-15T00:00:00Z"/>
        <d v="2025-02-06T00:00:00Z"/>
        <d v="2025-02-21T00:00:00Z"/>
        <d v="2025-03-31T00:00:00Z"/>
        <d v="2025-02-26T00:00:00Z"/>
        <d v="2025-02-28T00:00:00Z"/>
        <d v="2025-02-25T00:00:00Z"/>
        <d v="2025-02-19T00:00:00Z"/>
        <d v="2025-03-11T00:00:00Z"/>
        <d v="2025-03-21T00:00:00Z"/>
        <d v="2025-03-12T00:00:00Z"/>
        <d v="2025-03-17T00:00:00Z"/>
        <d v="2025-03-24T00:00:00Z"/>
        <d v="2025-03-10T00:00:00Z"/>
        <d v="2025-03-14T00:00:00Z"/>
        <d v="2025-04-17T00:00:00Z"/>
        <d v="2025-03-16T00:00:00Z"/>
        <d v="2025-04-04T00:00:00Z"/>
        <d v="2025-04-07T00:00:00Z"/>
        <d v="2025-04-15T00:00:00Z"/>
        <d v="2025-04-25T00:00:00Z"/>
        <d v="2025-05-16T00:00:00Z"/>
        <d v="2025-04-14T00:00:00Z"/>
        <d v="2025-03-28T00:00:00Z"/>
        <d v="2025-03-06T00:00:00Z"/>
        <d v="2025-03-20T00:00:00Z"/>
        <d v="2025-04-09T00:00:00Z"/>
        <d v="2025-04-11T00:00:00Z"/>
        <d v="2025-03-13T00:00:00Z"/>
        <d v="2025-04-08T00:00:00Z"/>
        <d v="2025-04-30T00:00:00Z"/>
        <d v="2025-04-21T00:00:00Z"/>
        <d v="2025-06-02T00:00:00Z"/>
        <d v="2025-06-10T00:00:00Z"/>
        <d v="2025-03-30T00:00:00Z"/>
        <d v="2025-03-26T00:00:00Z"/>
        <d v="2025-06-20T00:00:00Z"/>
        <d v="2025-02-10T00:00:00Z"/>
        <d v="2025-05-19T00:00:00Z"/>
        <d v="2025-04-24T00:00:00Z"/>
        <d v="2025-06-26T00:00:00Z"/>
        <d v="2025-05-23T00:00:00Z"/>
        <d v="2025-05-06T00:00:00Z"/>
        <d v="2025-05-24T00:00:00Z"/>
        <d v="2025-06-05T00:00:00Z"/>
        <d v="2025-05-27T00:00:00Z"/>
        <d v="2025-06-12T00:00:00Z"/>
        <d v="2025-05-28T00:00:00Z"/>
        <d v="2025-06-16T00:00:00Z"/>
        <d v="2025-06-18T00:00:00Z"/>
        <d v="2025-06-11T00:00:00Z"/>
        <d v="2025-06-23T00:00:00Z"/>
        <d v="2025-02-03T00:00:00Z"/>
        <d v="2025-06-04T00:00:00Z"/>
        <d v="2025-05-22T00:00:00Z"/>
        <d v="2025-06-22T00:00:00Z"/>
        <d v="2025-07-16T00:00:00Z"/>
        <d v="2025-06-19T00:00:00Z"/>
        <d v="2025-07-01T00:00:00Z"/>
        <d v="2025-06-17T00:00:00Z"/>
        <d v="2025-06-13T00:00:00Z"/>
        <d v="2025-07-03T00:00:00Z"/>
        <d v="2024-10-18T00:00:00Z"/>
        <d v="2025-05-29T00:00:00Z"/>
        <d v="2025-06-30T00:00:00Z"/>
        <d v="2025-03-07T00:00:00Z"/>
        <d v="2024-09-08T00:00:00Z"/>
        <d v="2024-10-08T00:00:00Z"/>
        <d v="2024-11-13T00:00:00Z"/>
        <d v="2024-12-10T00:00:00Z"/>
        <d v="2024-12-04T00:00:00Z"/>
        <d v="2024-06-07T00:00:00Z"/>
        <d v="2024-05-31T00:00:00Z"/>
        <d v="2025-02-23T00:00:00Z"/>
        <d v="2024-11-07T00:00:00Z"/>
        <d v="2024-11-28T00:00:00Z"/>
        <d v="2024-12-18T00:00:00Z"/>
        <d v="2025-02-11T00:00:00Z"/>
        <d v="2025-02-07T00:00:00Z"/>
        <d v="2024-09-05T00:00:00Z"/>
        <d v="2024-12-13T00:00:00Z"/>
        <d v="2024-03-08T00:00:00Z"/>
        <d v="2024-04-22T00:00:00Z"/>
        <d v="2024-05-17T00:00:00Z"/>
        <d v="2024-04-24T00:00:00Z"/>
        <d v="2024-05-24T00:00:00Z"/>
        <d v="2024-07-19T00:00:00Z"/>
        <d v="2024-08-09T00:00:00Z"/>
        <d v="2024-07-01T00:00:00Z"/>
        <d v="2024-08-26T00:00:00Z"/>
        <d v="2024-09-17T00:00:00Z"/>
        <d v="2024-09-25T00:00:00Z"/>
        <d v="2024-09-30T00:00:00Z"/>
        <d v="2024-10-10T00:00:00Z"/>
        <d v="2024-12-02T00:00:00Z"/>
        <d v="2025-01-06T00:00:00Z"/>
        <d v="2025-01-13T00:00:00Z"/>
        <d v="2024-06-26T00:00:00Z"/>
        <d v="2024-08-07T00:00:00Z"/>
        <d v="2024-07-11T00:00:00Z"/>
        <d v="2024-09-16T00:00:00Z"/>
        <d v="2024-11-14T00:00:00Z"/>
        <d v="2024-03-22T00:00:00Z"/>
        <d v="2024-04-06T00:00:00Z"/>
        <d v="2024-04-07T00:00:00Z"/>
        <d v="2024-06-04T00:00:00Z"/>
        <d v="2024-10-11T00:00:00Z"/>
        <d v="2024-03-23T00:00:00Z"/>
        <d v="2024-04-04T00:00:00Z"/>
        <d v="2024-04-09T00:00:00Z"/>
        <d v="2024-05-21T00:00:00Z"/>
        <d v="2024-05-27T00:00:00Z"/>
        <d v="2024-08-27T00:00:00Z"/>
        <d v="2025-04-12T00:00:00Z"/>
        <d v="2024-02-28T00:00:00Z"/>
        <d v="2024-05-28T00:00:00Z"/>
        <d v="2024-09-23T00:00:00Z"/>
        <d v="2024-06-30T00:00:00Z"/>
        <d v="2024-09-20T00:00:00Z"/>
        <d v="2024-10-07T00:00:00Z"/>
        <d v="2024-03-27T00:00:00Z"/>
        <d v="2024-04-13T00:00:00Z"/>
        <d v="2024-04-27T00:00:00Z"/>
        <d v="2024-01-15T00:00:00Z"/>
        <d v="2024-01-14T00:00:00Z"/>
        <d v="2025-03-18T00:00:00Z"/>
        <d v="2024-05-18T00:00:00Z"/>
      </sharedItems>
      <fieldGroup base="16">
        <rangePr autoStart="0" autoEnd="0" groupBy="months" startDate="2024-01-14T00:00:00Z" endDate="2025-07-17T00:00:00Z"/>
        <groupItems>
          <s v="&lt;01/14/24"/>
          <s v="Jan"/>
          <s v="Feb"/>
          <s v="Mar"/>
          <s v="Apr"/>
          <s v="May"/>
          <s v="Jun"/>
          <s v="Jul"/>
          <s v="Aug"/>
          <s v="Sep"/>
          <s v="Oct"/>
          <s v="Nov"/>
          <s v="Dec"/>
          <s v="&gt;07/17/25"/>
        </groupItems>
      </fieldGroup>
    </cacheField>
    <cacheField name="Commission" numFmtId="166">
      <sharedItems containsString="0" containsBlank="1" containsNumber="1">
        <n v="14.0"/>
        <m/>
        <n v="40.0"/>
        <n v="125.0"/>
        <n v="20.0"/>
        <n v="130.0"/>
        <n v="112.5"/>
        <n v="157.48"/>
        <n v="50.0"/>
        <n v="450.0"/>
        <n v="43.75"/>
        <n v="62.5"/>
        <n v="200.0"/>
        <n v="45.0"/>
        <n v="46.0"/>
        <n v="75.0"/>
        <n v="90.0"/>
        <n v="16.0"/>
        <n v="37.5"/>
        <n v="150.0"/>
        <n v="87.5"/>
        <n v="159.29999999999998"/>
        <n v="100.0"/>
        <n v="135.0"/>
        <n v="60.32"/>
        <n v="250.0"/>
        <n v="30.0"/>
        <n v="22.5"/>
        <n v="82.5"/>
        <n v="41.25"/>
        <n v="70.0"/>
        <n v="120.0"/>
        <n v="60.0"/>
        <n v="180.0"/>
        <n v="80.0"/>
        <n v="105.0"/>
        <n v="157.944"/>
        <n v="312.5"/>
        <n v="209.76000000000002"/>
        <n v="71.587"/>
        <n v="34.6"/>
        <n v="360.0"/>
        <n v="187.5"/>
        <n v="210.0"/>
        <n v="117.99"/>
        <n v="540.0"/>
        <n v="114.75"/>
        <n v="97.5"/>
        <n v="0.0"/>
        <n v="195.0"/>
        <n v="34.0"/>
        <n v="240.0"/>
        <n v="225.0"/>
        <n v="300.0"/>
        <n v="58.5"/>
        <n v="285.0"/>
        <n v="253.125"/>
        <n v="15.0"/>
        <n v="600.0"/>
        <n v="99.99999999999999"/>
        <n v="270.0"/>
        <n v="174.6"/>
        <n v="58.2"/>
        <n v="291.0"/>
        <n v="175.0"/>
        <n v="555.0"/>
        <n v="375.0"/>
        <n v="282.0"/>
        <n v="750.0"/>
        <n v="255.0"/>
        <n v="330.0"/>
        <n v="202.5"/>
        <n v="165.6"/>
        <n v="165.039"/>
        <n v="420.0"/>
        <n v="281.25"/>
        <n v="118.52699999999999"/>
        <n v="123.21600000000001"/>
        <n v="165.0"/>
        <n v="152.49"/>
        <n v="111.0"/>
        <n v="390.0"/>
        <n v="147.861"/>
        <n v="33.333333333333336"/>
        <n v="989.4"/>
        <n v="199.99999999999997"/>
        <n v="186.0"/>
        <n v="33.75"/>
        <n v="65.22"/>
        <n v="500.0"/>
        <n v="937.5"/>
        <n v="93.0"/>
        <n v="264.0"/>
        <n v="387.0"/>
        <n v="252.0"/>
        <n v="180.6"/>
        <n v="57.0"/>
        <n v="1733.0"/>
        <n v="140.0"/>
        <n v="25.0"/>
      </sharedItems>
    </cacheField>
  </cacheFields>
</pivotCacheDefinition>
</file>

<file path=xl/pivotCache/pivotCacheDefinition5.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R1500" sheet="Global1"/>
  </cacheSource>
  <cacheFields>
    <cacheField name="Talent" numFmtId="0">
      <sharedItems containsBlank="1">
        <s v="Pauline"/>
        <s v="Chiara"/>
        <s v="Melissa"/>
        <s v="Camille"/>
        <s v="Lily Noël"/>
        <s v="Lina"/>
        <s v="Flavie"/>
        <s v="Jessica"/>
        <s v="Orane"/>
        <s v="Lola"/>
        <s v="Juliane"/>
        <s v="Alice"/>
        <s v="Laurie"/>
        <s v="Perrine"/>
        <s v="Morgane"/>
        <s v="Lise"/>
        <s v="Jeanne"/>
        <s v="Mary"/>
        <s v="Melissa P"/>
        <s v="Anaïs"/>
        <s v="Salma"/>
        <s v="Aïcha"/>
        <s v="Jasmine"/>
        <s v="Asmae"/>
        <s v="Rachel"/>
        <s v="Arwen"/>
        <s v="Iman"/>
        <s v="Moped"/>
        <s v="Dounia"/>
        <s v="Gurbet"/>
        <s v="Amani"/>
        <s v="Hidaya"/>
        <s v="Sirine"/>
        <s v="Eloise"/>
        <s v="Imane"/>
        <s v="Marine"/>
        <s v="Sofia"/>
        <s v="Sarah"/>
        <s v="Eiliassa"/>
        <s v="Farah"/>
        <s v="Estelle"/>
        <s v="Juliette"/>
        <s v="Nidal"/>
        <s v="Lola H."/>
        <s v="Morgane C"/>
        <s v="Chloe"/>
        <s v="Laura"/>
        <s v="Lilou"/>
        <s v="Lily"/>
        <s v="Amanda"/>
        <s v="Glenn"/>
        <s v="--"/>
        <s v="Amelle"/>
        <s v="Angie"/>
        <s v="Fanny"/>
        <s v="Laurine"/>
        <s v="Marlène"/>
        <s v="Migos Media"/>
        <s v="Romane"/>
        <s v="Maeva"/>
        <s v="Gurbet "/>
        <s v="Juliette D"/>
        <s v="Laura F"/>
        <m/>
      </sharedItems>
    </cacheField>
    <cacheField name="Date Création" numFmtId="164">
      <sharedItems containsDate="1" containsString="0" containsBlank="1">
        <d v="2024-03-01T00:00:00Z"/>
        <d v="2024-03-15T00:00:00Z"/>
        <m/>
        <d v="2024-03-30T00:00:00Z"/>
        <d v="2024-03-25T00:00:00Z"/>
        <d v="2024-04-08T00:00:00Z"/>
        <d v="2024-04-11T00:00:00Z"/>
        <d v="2024-03-21T00:00:00Z"/>
        <d v="2024-04-25T00:00:00Z"/>
        <d v="2024-04-19T00:00:00Z"/>
        <d v="2024-05-07T00:00:00Z"/>
        <d v="2024-05-06T00:00:00Z"/>
        <d v="2024-05-02T00:00:00Z"/>
        <d v="2024-05-13T00:00:00Z"/>
        <d v="2024-05-14T00:00:00Z"/>
        <d v="2024-03-20T00:00:00Z"/>
        <d v="2024-04-10T00:00:00Z"/>
        <d v="2024-05-30T00:00:00Z"/>
        <d v="2024-05-11T00:00:00Z"/>
        <d v="2024-04-30T00:00:00Z"/>
        <d v="2024-05-23T00:00:00Z"/>
        <d v="2024-05-16T00:00:00Z"/>
        <d v="2024-06-08T00:00:00Z"/>
        <d v="2024-06-20T00:00:00Z"/>
        <d v="2024-06-18T00:00:00Z"/>
        <d v="2024-06-12T00:00:00Z"/>
        <d v="2024-06-24T00:00:00Z"/>
        <d v="2024-06-11T00:00:00Z"/>
        <d v="2024-07-16T00:00:00Z"/>
        <d v="2024-07-25T00:00:00Z"/>
        <d v="2024-07-03T00:00:00Z"/>
        <d v="2024-06-17T00:00:00Z"/>
        <d v="2024-06-27T00:00:00Z"/>
        <d v="2024-07-06T00:00:00Z"/>
        <d v="2024-06-14T00:00:00Z"/>
        <d v="2024-07-24T00:00:00Z"/>
        <d v="2024-07-10T00:00:00Z"/>
        <d v="2024-08-01T00:00:00Z"/>
        <d v="2024-07-04T00:00:00Z"/>
        <d v="2024-07-23T00:00:00Z"/>
        <d v="2024-07-21T00:00:00Z"/>
        <d v="2024-08-06T00:00:00Z"/>
        <d v="2024-07-29T00:00:00Z"/>
        <d v="2024-07-30T00:00:00Z"/>
        <d v="2024-07-17T00:00:00Z"/>
        <d v="2024-08-02T00:00:00Z"/>
        <d v="2024-07-31T00:00:00Z"/>
        <d v="2024-08-21T00:00:00Z"/>
        <d v="2024-08-19T00:00:00Z"/>
        <d v="2024-08-13T00:00:00Z"/>
        <d v="2024-09-11T00:00:00Z"/>
        <d v="2024-08-16T00:00:00Z"/>
        <d v="2024-09-12T00:00:00Z"/>
        <d v="2024-08-23T00:00:00Z"/>
        <d v="2024-09-04T00:00:00Z"/>
        <d v="2025-05-20T00:00:00Z"/>
        <d v="2024-09-09T00:00:00Z"/>
        <d v="2024-08-28T00:00:00Z"/>
        <d v="2024-09-14T00:00:00Z"/>
        <d v="2024-09-13T00:00:00Z"/>
        <d v="2024-08-20T00:00:00Z"/>
        <d v="2024-09-26T00:00:00Z"/>
        <d v="2024-08-29T00:00:00Z"/>
        <d v="2025-05-13T00:00:00Z"/>
        <d v="2024-09-03T00:00:00Z"/>
        <d v="2024-09-27T00:00:00Z"/>
        <d v="2024-10-01T00:00:00Z"/>
        <d v="2025-05-07T00:00:00Z"/>
        <d v="2024-10-28T00:00:00Z"/>
        <d v="2024-09-10T00:00:00Z"/>
        <d v="2024-10-15T00:00:00Z"/>
        <d v="2024-10-29T00:00:00Z"/>
        <d v="2024-10-24T00:00:00Z"/>
        <d v="2024-10-02T00:00:00Z"/>
        <d v="2024-10-30T00:00:00Z"/>
        <d v="2024-10-14T00:00:00Z"/>
        <d v="2024-10-25T00:00:00Z"/>
        <d v="2024-11-05T00:00:00Z"/>
        <d v="2024-11-08T00:00:00Z"/>
        <d v="2024-11-04T00:00:00Z"/>
        <d v="2024-10-23T00:00:00Z"/>
        <d v="2024-11-29T00:00:00Z"/>
        <d v="2024-11-19T00:00:00Z"/>
        <d v="2024-12-09T00:00:00Z"/>
        <d v="2024-11-26T00:00:00Z"/>
        <d v="2024-11-25T00:00:00Z"/>
        <d v="2024-12-05T00:00:00Z"/>
        <d v="2024-12-16T00:00:00Z"/>
        <d v="2024-11-11T00:00:00Z"/>
        <d v="2024-12-03T00:00:00Z"/>
        <d v="2024-12-24T00:00:00Z"/>
        <d v="2025-02-20T00:00:00Z"/>
        <d v="2024-12-23T00:00:00Z"/>
        <d v="2025-01-07T00:00:00Z"/>
        <d v="2024-12-12T00:00:00Z"/>
        <d v="2025-01-21T00:00:00Z"/>
        <d v="2025-01-24T00:00:00Z"/>
        <d v="2025-01-17T00:00:00Z"/>
        <d v="2025-01-09T00:00:00Z"/>
        <d v="2025-01-27T00:00:00Z"/>
        <d v="2025-01-23T00:00:00Z"/>
        <d v="2024-10-22T00:00:00Z"/>
        <d v="2024-10-21T00:00:00Z"/>
        <d v="2025-01-22T00:00:00Z"/>
        <d v="2025-01-16T00:00:00Z"/>
        <d v="2025-02-12T00:00:00Z"/>
        <d v="2025-02-18T00:00:00Z"/>
        <d v="2025-01-29T00:00:00Z"/>
        <d v="2025-02-14T00:00:00Z"/>
        <d v="2025-02-15T00:00:00Z"/>
        <d v="2025-02-06T00:00:00Z"/>
        <d v="2025-02-21T00:00:00Z"/>
        <d v="2025-03-31T00:00:00Z"/>
        <d v="2025-02-26T00:00:00Z"/>
        <d v="2025-02-28T00:00:00Z"/>
        <d v="2025-02-25T00:00:00Z"/>
        <d v="2025-02-19T00:00:00Z"/>
        <d v="2025-03-11T00:00:00Z"/>
        <d v="2025-03-21T00:00:00Z"/>
        <d v="2025-03-12T00:00:00Z"/>
        <d v="2025-03-17T00:00:00Z"/>
        <d v="2025-03-24T00:00:00Z"/>
        <d v="2025-03-10T00:00:00Z"/>
        <d v="2025-03-14T00:00:00Z"/>
        <d v="2025-04-17T00:00:00Z"/>
        <d v="2025-03-16T00:00:00Z"/>
        <d v="2025-04-04T00:00:00Z"/>
        <d v="2025-04-07T00:00:00Z"/>
        <d v="2025-04-15T00:00:00Z"/>
        <d v="2025-04-25T00:00:00Z"/>
        <d v="2025-05-16T00:00:00Z"/>
        <d v="2025-04-14T00:00:00Z"/>
        <d v="2025-03-28T00:00:00Z"/>
        <d v="2025-03-06T00:00:00Z"/>
        <d v="2025-03-20T00:00:00Z"/>
        <d v="2025-04-09T00:00:00Z"/>
        <d v="2025-04-11T00:00:00Z"/>
        <d v="2025-03-13T00:00:00Z"/>
        <d v="2025-04-08T00:00:00Z"/>
        <d v="2025-04-30T00:00:00Z"/>
        <d v="2025-04-21T00:00:00Z"/>
        <d v="2025-06-02T00:00:00Z"/>
        <d v="2025-06-10T00:00:00Z"/>
        <d v="2025-03-30T00:00:00Z"/>
        <d v="2025-03-26T00:00:00Z"/>
        <d v="2025-06-20T00:00:00Z"/>
        <d v="2025-02-10T00:00:00Z"/>
        <d v="2025-05-19T00:00:00Z"/>
        <d v="2025-04-24T00:00:00Z"/>
        <d v="2025-06-26T00:00:00Z"/>
        <d v="2025-05-23T00:00:00Z"/>
        <d v="2025-05-06T00:00:00Z"/>
        <d v="2025-05-24T00:00:00Z"/>
        <d v="2025-06-05T00:00:00Z"/>
        <d v="2025-05-27T00:00:00Z"/>
        <d v="2025-06-12T00:00:00Z"/>
        <d v="2025-05-28T00:00:00Z"/>
        <d v="2025-06-16T00:00:00Z"/>
        <d v="2025-06-18T00:00:00Z"/>
        <d v="2025-06-11T00:00:00Z"/>
        <d v="2025-06-23T00:00:00Z"/>
        <d v="2025-02-03T00:00:00Z"/>
        <d v="2025-06-04T00:00:00Z"/>
        <d v="2025-05-22T00:00:00Z"/>
        <d v="2025-06-22T00:00:00Z"/>
        <d v="2025-07-16T00:00:00Z"/>
        <d v="2025-06-19T00:00:00Z"/>
        <d v="2025-07-01T00:00:00Z"/>
        <d v="2025-06-17T00:00:00Z"/>
        <d v="2025-06-13T00:00:00Z"/>
        <d v="2025-07-03T00:00:00Z"/>
        <d v="2024-10-18T00:00:00Z"/>
        <d v="2025-05-29T00:00:00Z"/>
        <d v="2025-06-30T00:00:00Z"/>
        <d v="2025-03-07T00:00:00Z"/>
        <d v="2024-09-08T00:00:00Z"/>
        <d v="2024-10-08T00:00:00Z"/>
        <d v="2024-11-13T00:00:00Z"/>
        <d v="2024-12-10T00:00:00Z"/>
        <d v="2024-12-04T00:00:00Z"/>
        <d v="2024-06-07T00:00:00Z"/>
        <d v="2024-05-31T00:00:00Z"/>
        <d v="2025-02-23T00:00:00Z"/>
        <d v="2024-11-07T00:00:00Z"/>
        <d v="2024-11-28T00:00:00Z"/>
        <d v="2024-12-18T00:00:00Z"/>
        <d v="2025-02-11T00:00:00Z"/>
        <d v="2025-02-07T00:00:00Z"/>
        <d v="2024-09-05T00:00:00Z"/>
        <d v="2024-12-13T00:00:00Z"/>
        <d v="2024-03-08T00:00:00Z"/>
        <d v="2024-04-22T00:00:00Z"/>
        <d v="2024-05-17T00:00:00Z"/>
        <d v="2024-04-24T00:00:00Z"/>
        <d v="2024-05-24T00:00:00Z"/>
        <d v="2024-07-19T00:00:00Z"/>
        <d v="2024-08-09T00:00:00Z"/>
        <d v="2024-07-01T00:00:00Z"/>
        <d v="2024-08-26T00:00:00Z"/>
        <d v="2024-09-17T00:00:00Z"/>
        <d v="2024-09-25T00:00:00Z"/>
        <d v="2024-09-30T00:00:00Z"/>
        <d v="2024-10-10T00:00:00Z"/>
        <d v="2024-12-02T00:00:00Z"/>
        <d v="2025-01-06T00:00:00Z"/>
        <d v="2025-01-13T00:00:00Z"/>
        <d v="2024-06-26T00:00:00Z"/>
        <d v="2024-08-07T00:00:00Z"/>
        <d v="2024-07-11T00:00:00Z"/>
        <d v="2024-09-16T00:00:00Z"/>
        <d v="2024-11-14T00:00:00Z"/>
        <d v="2024-03-22T00:00:00Z"/>
        <d v="2024-04-06T00:00:00Z"/>
        <d v="2024-04-07T00:00:00Z"/>
        <d v="2024-06-04T00:00:00Z"/>
        <d v="2024-10-11T00:00:00Z"/>
        <d v="2024-03-23T00:00:00Z"/>
        <d v="2024-04-04T00:00:00Z"/>
        <d v="2024-04-09T00:00:00Z"/>
        <d v="2024-05-21T00:00:00Z"/>
        <d v="2024-05-27T00:00:00Z"/>
        <d v="2024-08-27T00:00:00Z"/>
        <d v="2025-04-12T00:00:00Z"/>
        <d v="2024-02-28T00:00:00Z"/>
        <d v="2024-05-28T00:00:00Z"/>
        <d v="2024-09-23T00:00:00Z"/>
        <d v="2024-06-30T00:00:00Z"/>
        <d v="2024-09-20T00:00:00Z"/>
        <d v="2024-10-07T00:00:00Z"/>
        <d v="2024-03-27T00:00:00Z"/>
        <d v="2024-04-13T00:00:00Z"/>
        <d v="2024-04-27T00:00:00Z"/>
        <d v="2024-01-15T00:00:00Z"/>
        <d v="2024-01-14T00:00:00Z"/>
        <d v="2025-03-18T00:00:00Z"/>
        <d v="2024-05-18T00:00:00Z"/>
        <d v="2024-06-19T00:00:00Z"/>
        <d v="2024-10-09T00:00:00Z"/>
        <d v="2024-11-12T00:00:00Z"/>
        <d v="2024-12-19T00:00:00Z"/>
        <d v="2025-02-22T00:00:00Z"/>
        <d v="2024-03-26T00:00:00Z"/>
        <d v="2024-05-20T00:00:00Z"/>
        <d v="2024-07-08T00:00:00Z"/>
        <d v="2024-11-22T00:00:00Z"/>
        <d v="2024-10-31T00:00:00Z"/>
        <d v="2024-07-15T00:00:00Z"/>
        <d v="2024-09-24T00:00:00Z"/>
        <d v="2024-02-15T00:00:00Z"/>
        <d v="2024-04-26T00:00:00Z"/>
        <d v="2024-06-03T00:00:00Z"/>
        <d v="2024-04-12T00:00:00Z"/>
        <d v="2024-07-09T00:00:00Z"/>
        <d v="2024-09-29T00:00:00Z"/>
        <d v="2024-10-06T00:00:00Z"/>
        <d v="2024-10-16T00:00:00Z"/>
        <d v="2024-09-19T00:00:00Z"/>
        <d v="2024-03-28T00:00:00Z"/>
        <d v="2024-10-17T00:00:00Z"/>
        <d v="2025-04-29T00:00:00Z"/>
        <d v="2024-03-18T00:00:00Z"/>
        <d v="2024-08-14T00:00:00Z"/>
        <d v="2024-09-01T00:00:00Z"/>
        <d v="2024-11-15T00:00:00Z"/>
        <d v="2025-01-03T00:00:00Z"/>
        <d v="2024-07-18T00:00:00Z"/>
        <d v="2025-07-11T00:00:00Z"/>
        <d v="2025-07-18T00:00:00Z"/>
        <d v="2025-07-21T00:00:00Z"/>
        <d v="2025-07-22T00:00:00Z"/>
        <d v="2025-07-24T00:00:00Z"/>
        <d v="2025-07-25T00:00:00Z"/>
        <d v="2025-07-28T00:00:00Z"/>
        <d v="2025-06-24T00:00:00Z"/>
        <d v="2025-07-14T00:00:00Z"/>
        <d v="2025-06-27T00:00:00Z"/>
        <d v="2025-01-31T00:00:00Z"/>
        <d v="2025-07-07T00:00:00Z"/>
        <d v="2025-07-09T00:00:00Z"/>
        <d v="2025-07-17T00:00:00Z"/>
        <d v="2025-07-29T00:00:00Z"/>
        <d v="2025-07-31T00:00:00Z"/>
      </sharedItems>
    </cacheField>
    <cacheField name="Marque" numFmtId="3">
      <sharedItems containsBlank="1">
        <s v="BYS Maquillage"/>
        <s v="Yepoda"/>
        <s v="Rimmel London"/>
        <s v="SHEIN"/>
        <s v="Yves Rocher"/>
        <s v="Temu"/>
        <s v="Anua"/>
        <s v="SOS Beauty"/>
        <s v="Haru Haru Wonder"/>
        <s v="Maybelline"/>
        <s v="Koru"/>
        <s v="PINKO PAZZESCO"/>
        <s v="GHD"/>
        <s v="SKIN1004"/>
        <s v="Les Pistolets en Plastique"/>
        <s v="Rose Skin Co."/>
        <s v="Skin &amp; Out"/>
        <s v="Dyson"/>
        <s v="Satinée"/>
        <s v="BodyCross"/>
        <s v="Garnier"/>
        <s v="Eau Thermale Jonzac"/>
        <s v="So Bio Etic"/>
        <s v="Terre de Mars"/>
        <s v="Commonlabs"/>
        <s v="BENEFIT"/>
        <s v="Anastasia Beverly Hills"/>
        <s v="Grande Cosmetics"/>
        <s v="Mixa"/>
        <s v="My House of Jewels"/>
        <s v="Uriage"/>
        <s v="Erborian"/>
        <s v="Lancôme "/>
        <s v="Nocibé"/>
        <s v="Crocs"/>
        <s v="JOLT"/>
        <s v="Ducray"/>
        <s v="Bioré"/>
        <s v="La Roche Posay"/>
        <s v="Yesstyle"/>
        <s v="Sheglam"/>
        <s v="Abib"/>
        <s v="Bershka"/>
        <s v="Dr.Althea"/>
        <s v="Stylevana"/>
        <s v="Dreame"/>
        <s v="Lancôme"/>
        <s v="Wandernana"/>
        <s v="Essence"/>
        <s v="Monopoly Go"/>
        <s v="Frank Provost"/>
        <s v="Myriam K Paris"/>
        <s v="Sol De Janeiro"/>
        <s v="Mixsoon"/>
        <s v="Current Body"/>
        <s v="Aïa Curl"/>
        <s v="Aromazone"/>
        <s v="iHerb"/>
        <s v="Mova"/>
        <s v="L'Oréal"/>
        <s v="Hacoo"/>
        <s v="Biocyte"/>
        <s v="Musc Intime"/>
        <s v="NYX"/>
        <s v="L'Oreal"/>
        <s v="Remington"/>
        <s v="Dynveo"/>
        <s v="Vitavea"/>
        <s v="Uberliss"/>
        <s v="Luxéol"/>
        <s v="Darry Ring"/>
        <s v="Capcut"/>
        <s v="Redken"/>
        <s v="Naali"/>
        <s v="Cerave"/>
        <s v="Paalm Cosmetics"/>
        <s v="Shavest"/>
        <s v="Inava"/>
        <s v="Cellublue"/>
        <s v="Caudalie"/>
        <s v="Voghion"/>
        <s v="BeReal"/>
        <s v="Current Body "/>
        <s v="Ali Express"/>
        <s v="Keracare"/>
        <s v="ZIIP"/>
        <s v="Feel My Skin"/>
        <s v="BYD"/>
        <s v="ISIS Pharma"/>
        <s v="Sanytol"/>
        <s v="Mavatys"/>
        <s v="Sanex"/>
        <s v="My Little Box "/>
        <s v="Lazartigue"/>
        <s v="Solinotes"/>
        <s v="It Fruit"/>
        <s v="TORRAS"/>
        <s v="Medicube"/>
        <s v="H&amp;S"/>
        <s v="Perroy Parfum"/>
        <s v="Nike"/>
        <s v="Bella Barrnett"/>
        <s v="Passion Marine"/>
        <s v="Avene"/>
        <s v="Beauty Of Joseon"/>
        <s v="Etiaxil"/>
        <s v="Just Spin"/>
        <s v="PlanJoy"/>
        <s v="YTTP"/>
        <s v="Sanytol "/>
        <s v="Dior"/>
        <s v="Pretty Little Things"/>
        <s v="L'Univers de Baya"/>
        <s v="Bob Oré"/>
        <s v="YSL"/>
        <s v="Ouvéa"/>
        <s v="Cider"/>
        <s v="Milk Make Up"/>
        <s v="SPA &amp; BIEN ÊTRE - GRAVITI"/>
        <s v="Ole Henriksen"/>
        <s v="Rare Beauty"/>
        <s v="Lancôme #MWL"/>
        <s v="Clarine"/>
        <s v="SHU UEMURA"/>
        <s v="Aveda"/>
        <s v="Clinique"/>
        <s v="KIEHLS"/>
        <s v="Embryolisse"/>
        <s v="Focus Skincare"/>
        <s v="MILK"/>
        <s v="Superdry"/>
        <s v="Prada"/>
        <s v="YSL Stylo Touche Éclat"/>
        <s v="R.E.M Beauty"/>
        <s v="IT Cosmetics"/>
        <s v="Lancôme - HYPNOSE DRAMA 🖤"/>
        <s v="Charlotte Tilburry (Nice Work)"/>
        <s v="YSL Beauty Summer Box"/>
        <s v="Fenty"/>
        <s v="Dr. Dennis Gross (Nice Work)"/>
        <s v="YSL Blushs "/>
        <s v="Valentino"/>
        <s v="Huda Beauty"/>
        <s v="Sephora"/>
        <s v="Charlotte Tilburry"/>
        <s v="The Inkey List"/>
        <s v="Cecotec"/>
        <s v="Vichy"/>
        <s v="Flower Knows"/>
        <s v="Rituals"/>
        <s v="Respire"/>
        <s v="LANEIGE"/>
        <s v="Glow Recipe"/>
        <s v="Franck Provost"/>
        <s v="MAC Cosmetics"/>
        <s v="Milk Makeup (Nice Work)"/>
        <s v="Typology"/>
        <s v="Kiehl's"/>
        <s v="JW PEI"/>
        <s v="Bloom"/>
        <s v="Nars"/>
        <s v="The Commense"/>
        <s v="Bijoux Divins"/>
        <s v="Biotherm"/>
        <s v="Courrèges (Nice Work)"/>
        <s v="Pulpe de Vie"/>
        <s v="Dieti Natura"/>
        <s v="Make Up For Ever"/>
        <s v="Jimmy Fairly"/>
        <s v="Lili Sidonio"/>
        <s v="Dr Jart +"/>
        <s v="Gallinée"/>
        <s v="Evoluderm"/>
        <s v="Drunk Elephant"/>
        <s v="Shokz"/>
        <s v="Fresh"/>
        <s v="Bourjois"/>
        <s v="Too Faced"/>
        <s v="L'Oréal Professionnel"/>
        <s v="NARS (Nice Work)"/>
        <s v="Fenty (Nice Work)"/>
        <s v="Black &amp; White Burger"/>
        <s v="Daylo"/>
        <s v="Maria Nila"/>
        <s v="The Inkey List (Nice Work)"/>
        <s v="Wonderskin"/>
        <s v="Olaplex (Nice Work)"/>
        <s v="Kurku-ma"/>
        <s v="Origins"/>
        <s v="Kielh's"/>
        <s v="SAYANA"/>
        <s v="Havaianas"/>
        <s v="Réelle"/>
        <s v="Rare Beauty (Nice Work)"/>
        <s v="Boohoo"/>
        <s v="Kylie"/>
        <s v="Eau Thermale Jonzac "/>
        <s v="Hawkers"/>
        <s v="The Ordinary"/>
        <s v="Myrimimi"/>
        <s v="Fenty Skin"/>
        <s v="L'Oreal Luxe"/>
        <s v="Maybelline Concours"/>
        <s v="Sol de Janeiro (Nice Work)"/>
        <s v="TOMO"/>
        <s v="TABASQUISHY"/>
        <s v="Armani Beauty"/>
        <s v="Summer Fridays"/>
        <s v="Lanolips"/>
        <s v="Kiko Milano"/>
        <s v="Halal Nutrition"/>
        <s v="Kylie Cosmetics"/>
        <s v="My Little Box"/>
        <s v="Cuure"/>
        <s v="Interview"/>
        <s v="Le Petit Lunetier"/>
        <s v="Maybelline "/>
        <s v="Kalista"/>
        <s v="Neutrogena"/>
        <s v="Néonail"/>
        <s v="Milk Make Up (Nice Work)"/>
        <s v="Ongle24"/>
        <s v="Bobbi Brown"/>
        <s v="Axis-Y"/>
        <s v="Filorga"/>
        <s v="YSL Beauty Summer Box (Nice Work)"/>
        <s v="Estée Lauder"/>
        <s v="ULIKE"/>
        <s v="La Boutique du Coiffeur"/>
        <s v="Weleda"/>
        <s v="Seasonly"/>
        <s v="YSL "/>
        <s v="Air Up"/>
        <s v="Saforelle"/>
        <s v="Chantelle"/>
        <s v="Lancôme Event"/>
        <s v="Hourglass"/>
        <s v="Celimax"/>
        <s v="Dexeryl"/>
        <s v="Steam One "/>
        <s v="Talisma"/>
        <s v="Owari"/>
        <s v="No More Beauty"/>
        <s v="EA Pharma"/>
        <s v="Mymosa"/>
        <s v="Nuxe"/>
        <s v="Coco &amp; Eve"/>
        <s v="Divine Vanille"/>
        <s v="Arencia"/>
        <s v="Axis Y"/>
        <m/>
      </sharedItems>
    </cacheField>
    <cacheField name="Complément">
      <sharedItems containsBlank="1" containsMixedTypes="1" containsNumber="1" containsInteger="1">
        <m/>
        <s v="CA"/>
        <s v="BOURS"/>
        <s v="Lancôme #MWL"/>
        <n v="2.0"/>
        <s v="GRWM for bed"/>
        <s v="Whats in my bag"/>
        <n v="1.0"/>
        <s v="Woo Juicy Tubes"/>
        <s v="Army"/>
        <s v="Shein deals "/>
        <s v="nov"/>
        <s v="janv"/>
        <s v="AMZ"/>
        <s v="Juicy"/>
        <s v="Sun Serum"/>
        <s v="Poremizing"/>
        <s v="PM Clay Stick"/>
        <s v="Relief"/>
        <s v="2-Double Cleansing"/>
        <s v="3-Sun Serum Hyalu"/>
        <s v="4-Tone Brightening"/>
        <s v="Tiktok"/>
        <s v="Mega Haul + Full Face Campaign"/>
        <s v="5- Glow Project"/>
        <s v="Black Friday et du Cyber Monday de SHEIN"/>
        <s v=" 💎SHEGLAM Partnership: SHEGLAM Liquid Fam Festival Glow Set"/>
        <s v="déc"/>
        <s v="👐️ SHEGLAM: Partnership Opportunity"/>
        <s v="1-PM Clay Stick"/>
        <s v="TT"/>
        <s v="Revitalift"/>
        <s v="poremizing quick clay stick mask "/>
        <s v="Poremizing Clay Stick Mask "/>
        <s v="hello kitty"/>
        <s v="février"/>
        <s v="Bold Booster Lip Combo Campaign"/>
        <s v="Big Cil mars"/>
        <s v="Blowdry"/>
        <s v="mars"/>
        <s v="THE Adventure Time X SHEGLAM COLLECTION"/>
        <s v="avril"/>
        <s v="Full SkinCare Routine in 1 Box"/>
        <s v="Double Cleansing"/>
        <s v="Big Cil avril"/>
        <s v="Lissage avril "/>
        <s v="Compléments alimentaire mai"/>
        <s v="Big Cil juin"/>
        <s v="Big Cil mai"/>
        <s v="Hyalu-Cica Sunserum "/>
        <s v="mai"/>
        <s v="Glow project "/>
        <s v="#1Bean Essence + Bean Cream + Centella Sun Cream routine "/>
        <s v="Tone-Brightening Ampoule"/>
        <s v="Glow Project"/>
        <s v="PM Stick "/>
        <s v="Lissage juin"/>
        <s v="skin care routine for beginners "/>
        <s v="Stick Mask"/>
        <s v="Beginner Routine"/>
        <s v="SKIN MASK CLAY"/>
        <s v="Tone Brightening"/>
        <s v="ad"/>
        <s v="UGC Trousse"/>
        <s v="Essentials home"/>
        <s v="UGC"/>
        <s v="Beach day "/>
        <s v="Festival outfitxtravel"/>
        <s v="Essentials home "/>
        <s v="#2 Bean Essence"/>
        <s v="Beach day"/>
        <s v="Bean Essence + Bean Cream + Centella Sun Cream routine"/>
        <s v="Bean Collagen Hydrogel Mask Pack"/>
        <s v="#3 Bean Collagen Hydrogel Mask Pack"/>
        <s v="Festival outfit "/>
        <s v="Collagen Cleansing Balm"/>
        <s v="Centella Sun Cream"/>
        <s v="Bean Cleansing Oil + Centella Cleansing Foam routine"/>
        <s v="Sunscreen Comparison"/>
        <s v="Soondy Centella Asiatica Essnece, Glacier Waster Hyaluronic Acid Serum, Bean Essence Layering"/>
        <s v="#4 Centella Sun Cream"/>
        <s v="Temps forts "/>
        <s v="skin care for beginners "/>
        <s v="sun serum real"/>
        <s v="lash idole"/>
        <s v="Masque"/>
        <s v="Tone brightening "/>
        <s v="PAS REÇU"/>
        <s v="Bean Essence"/>
        <s v=" Precision Sculpt"/>
        <s v="GLOW Project (Hyalu-Cica sun Serum + Probio-cica ampoule)"/>
        <s v="Halloween"/>
        <n v="3.0"/>
        <s v="SPF"/>
        <s v="LIP IDÔLE 💄"/>
        <s v="Juicy Tubes"/>
        <s v="Apres Collection Calendrier"/>
        <s v="Candy Glow"/>
        <s v="LASH IDÔLE"/>
        <s v="Saint Valentin"/>
        <s v="Produits Cultes"/>
        <s v="Best sellers"/>
        <s v="Loveshin &amp; Candy Glaze "/>
        <s v="2024 Black Friday Product Review"/>
        <s v="fev"/>
        <s v="creme solaire"/>
        <s v="Nice Work"/>
        <s v="Calendrier"/>
        <s v="Mascara Flutter Extension"/>
        <s v="Loveshine Plumping Lip Gloss"/>
        <s v="SHEIN Grosses Remises Day ! 🔥 Réglez votre rappel maintenant !"/>
        <s v="Fenty (Nice Work)"/>
        <s v="Hydra Jelly Pocket Lip Jam Campaign"/>
        <s v="Brumes"/>
        <s v="Pimple Patch"/>
        <s v="sérum + gel crème hyalu B5"/>
        <s v="Bell Hypoallergenique"/>
        <s v="CandyGlow"/>
        <s v="Patch"/>
        <s v="Revitalift IG"/>
        <s v="Noël"/>
        <s v="Sélection"/>
        <s v="Lissage mars"/>
        <s v="Mascara"/>
        <s v="Poremizing Light Gel Cream"/>
        <s v="Skincare Routine for Beginners"/>
        <s v="Collagen Glass Skin Mask"/>
        <s v="GLOW Project (Hyalu-Cica sun Serum + Probio-cica ampoule) "/>
        <s v="Cica-Hyal Sun Stick"/>
        <s v="#5 Bean Cleansing Oil + Centella Cleansing Foam routine"/>
        <s v="Centella Clenasing Foam + Centella Toner Pad + Soondy Centella Asiatica Essnece + Bean Cream + Centella Sun Cream Routine"/>
        <s v="Tone-Brightening Ampoule "/>
        <s v="#6 Soondy Centella Asiatica Essnece, Glacier Waster Hyaluronic Acid Serum, Bean Essence Layering"/>
        <s v="#7 Bean Cream"/>
        <s v="#8 Soybean Milk Serum"/>
        <s v="#9 Cica-Hyal Sun Stick"/>
        <s v="#10 Centella Clenasing Foam + Centella Toner Pad + Soondy Centella Asiatica Essnece + Bean Cream + Centella Sun Cream Routine"/>
        <s v="Complement juillet"/>
        <s v="Complement aout"/>
        <s v="Reel"/>
        <s v="Programmé en septembre "/>
      </sharedItems>
    </cacheField>
    <cacheField name=" Brouillon draft">
      <sharedItems containsDate="1" containsBlank="1" containsMixedTypes="1">
        <d v="2024-02-29T00:00:00Z"/>
        <d v="2024-03-14T00:00:00Z"/>
        <d v="2024-04-03T00:00:00Z"/>
        <d v="2024-04-05T00:00:00Z"/>
        <d v="2024-04-15T00:00:00Z"/>
        <d v="2024-04-19T00:00:00Z"/>
        <d v="2024-04-22T00:00:00Z"/>
        <d v="2024-04-26T00:00:00Z"/>
        <d v="2024-04-27T00:00:00Z"/>
        <d v="2024-04-28T00:00:00Z"/>
        <d v="2024-04-29T00:00:00Z"/>
        <d v="2024-05-06T00:00:00Z"/>
        <d v="2024-05-07T00:00:00Z"/>
        <d v="2024-05-08T00:00:00Z"/>
        <d v="2024-05-09T00:00:00Z"/>
        <d v="2024-05-12T00:00:00Z"/>
        <d v="2024-05-13T00:00:00Z"/>
        <d v="2024-05-15T00:00:00Z"/>
        <d v="2024-05-19T00:00:00Z"/>
        <d v="2024-05-24T00:00:00Z"/>
        <d v="2024-05-25T00:00:00Z"/>
        <d v="2024-05-26T00:00:00Z"/>
        <d v="2024-05-30T00:00:00Z"/>
        <d v="2024-06-12T00:00:00Z"/>
        <d v="2024-06-13T00:00:00Z"/>
        <d v="2024-06-14T00:00:00Z"/>
        <d v="2024-06-15T00:00:00Z"/>
        <d v="2024-06-18T00:00:00Z"/>
        <d v="2024-06-16T00:00:00Z"/>
        <d v="2024-06-17T00:00:00Z"/>
        <d v="2024-06-19T00:00:00Z"/>
        <d v="2024-06-20T00:00:00Z"/>
        <d v="2024-06-22T00:00:00Z"/>
        <d v="2024-06-23T00:00:00Z"/>
        <d v="2024-06-24T00:00:00Z"/>
        <d v="2024-06-25T00:00:00Z"/>
        <d v="2024-06-29T00:00:00Z"/>
        <d v="2024-07-02T00:00:00Z"/>
        <d v="2024-07-06T00:00:00Z"/>
        <d v="2024-07-07T00:00:00Z"/>
        <d v="2024-07-08T00:00:00Z"/>
        <d v="2024-07-10T00:00:00Z"/>
        <d v="2024-07-13T00:00:00Z"/>
        <d v="2024-07-17T00:00:00Z"/>
        <d v="2024-07-18T00:00:00Z"/>
        <d v="2024-07-19T00:00:00Z"/>
        <d v="2024-07-21T00:00:00Z"/>
        <d v="2024-07-22T00:00:00Z"/>
        <d v="2024-07-27T00:00:00Z"/>
        <d v="2024-07-29T00:00:00Z"/>
        <d v="2024-07-28T00:00:00Z"/>
        <d v="2024-07-30T00:00:00Z"/>
        <m/>
        <d v="2024-08-02T00:00:00Z"/>
        <d v="2024-08-07T00:00:00Z"/>
        <d v="2024-08-08T00:00:00Z"/>
        <d v="2024-08-11T00:00:00Z"/>
        <d v="2024-08-13T00:00:00Z"/>
        <d v="2024-08-14T00:00:00Z"/>
        <d v="2024-08-16T00:00:00Z"/>
        <d v="2024-08-18T00:00:00Z"/>
        <d v="2024-08-19T00:00:00Z"/>
        <d v="2024-08-20T00:00:00Z"/>
        <d v="2024-08-21T00:00:00Z"/>
        <d v="2024-08-22T00:00:00Z"/>
        <d v="2024-08-25T00:00:00Z"/>
        <d v="2024-08-28T00:00:00Z"/>
        <d v="2024-08-29T00:00:00Z"/>
        <d v="2024-08-30T00:00:00Z"/>
        <d v="2024-09-01T00:00:00Z"/>
        <d v="2024-09-02T00:00:00Z"/>
        <d v="2024-09-04T00:00:00Z"/>
        <d v="2024-09-08T00:00:00Z"/>
        <d v="2024-09-10T00:00:00Z"/>
        <d v="2024-09-12T00:00:00Z"/>
        <d v="2024-08-23T00:00:00Z"/>
        <d v="2024-09-13T00:00:00Z"/>
        <d v="2024-09-14T00:00:00Z"/>
        <d v="2024-09-16T00:00:00Z"/>
        <d v="2024-09-19T00:00:00Z"/>
        <d v="2024-09-22T00:00:00Z"/>
        <d v="2025-06-10T00:00:00Z"/>
        <d v="2024-09-23T00:00:00Z"/>
        <d v="2024-09-24T00:00:00Z"/>
        <d v="2024-09-28T00:00:00Z"/>
        <d v="2024-09-29T00:00:00Z"/>
        <d v="2024-10-06T00:00:00Z"/>
        <d v="2024-10-09T00:00:00Z"/>
        <d v="2024-10-07T00:00:00Z"/>
        <d v="2024-10-11T00:00:00Z"/>
        <d v="2024-10-16T00:00:00Z"/>
        <d v="2024-10-15T00:00:00Z"/>
        <d v="2024-09-21T00:00:00Z"/>
        <d v="2024-10-17T00:00:00Z"/>
        <d v="2024-10-18T00:00:00Z"/>
        <d v="2024-10-23T00:00:00Z"/>
        <d v="2025-06-11T00:00:00Z"/>
        <d v="2024-10-25T00:00:00Z"/>
        <d v="2024-10-27T00:00:00Z"/>
        <d v="2024-11-02T00:00:00Z"/>
        <d v="2024-11-03T00:00:00Z"/>
        <d v="2024-10-28T00:00:00Z"/>
        <d v="2024-10-30T00:00:00Z"/>
        <d v="2024-11-04T00:00:00Z"/>
        <d v="2024-11-05T00:00:00Z"/>
        <d v="2025-06-15T00:00:00Z"/>
        <d v="2024-10-24T00:00:00Z"/>
        <d v="2024-11-07T00:00:00Z"/>
        <d v="2024-11-10T00:00:00Z"/>
        <d v="2024-11-12T00:00:00Z"/>
        <d v="2024-11-06T00:00:00Z"/>
        <d v="2024-11-17T00:00:00Z"/>
        <d v="2024-11-11T00:00:00Z"/>
        <d v="2024-11-18T00:00:00Z"/>
        <d v="2024-11-14T00:00:00Z"/>
        <d v="2024-11-15T00:00:00Z"/>
        <d v="2024-11-19T00:00:00Z"/>
        <d v="2024-11-22T00:00:00Z"/>
        <d v="2024-11-20T00:00:00Z"/>
        <d v="2024-11-21T00:00:00Z"/>
        <d v="2024-11-24T00:00:00Z"/>
        <d v="2024-11-25T00:00:00Z"/>
        <d v="2024-11-28T00:00:00Z"/>
        <d v="2024-11-26T00:00:00Z"/>
        <d v="2024-11-27T00:00:00Z"/>
        <d v="2024-12-11T00:00:00Z"/>
        <s v="ANNULÉ NE PAS SUPP"/>
        <d v="2024-12-14T00:00:00Z"/>
        <d v="2024-12-15T00:00:00Z"/>
        <d v="2024-11-29T00:00:00Z"/>
        <d v="2024-12-03T00:00:00Z"/>
        <d v="2024-12-16T00:00:00Z"/>
        <d v="2025-02-11T00:00:00Z"/>
        <d v="2024-12-19T00:00:00Z"/>
        <d v="2024-12-20T00:00:00Z"/>
        <d v="2024-12-22T00:00:00Z"/>
        <d v="2025-01-03T00:00:00Z"/>
        <d v="2024-12-25T00:00:00Z"/>
        <d v="2024-12-27T00:00:00Z"/>
        <d v="2025-01-20T00:00:00Z"/>
        <d v="2024-12-12T00:00:00Z"/>
        <d v="2025-01-02T00:00:00Z"/>
        <d v="2025-01-10T00:00:00Z"/>
        <d v="2025-03-07T00:00:00Z"/>
        <d v="2025-01-21T00:00:00Z"/>
        <d v="2025-01-24T00:00:00Z"/>
        <d v="2025-01-26T00:00:00Z"/>
        <d v="2025-01-28T00:00:00Z"/>
        <d v="2025-01-30T00:00:00Z"/>
        <d v="2025-01-29T00:00:00Z"/>
        <d v="2025-02-05T00:00:00Z"/>
        <d v="2025-01-31T00:00:00Z"/>
        <d v="2025-02-03T00:00:00Z"/>
        <d v="2025-02-06T00:00:00Z"/>
        <d v="2025-02-13T00:00:00Z"/>
        <d v="2025-02-12T00:00:00Z"/>
        <d v="2025-02-14T00:00:00Z"/>
        <d v="2025-02-15T00:00:00Z"/>
        <d v="2025-02-16T00:00:00Z"/>
        <d v="2025-02-20T00:00:00Z"/>
        <d v="2025-02-19T00:00:00Z"/>
        <d v="2025-02-21T00:00:00Z"/>
        <d v="2025-02-23T00:00:00Z"/>
        <d v="2025-02-27T00:00:00Z"/>
        <d v="2025-02-24T00:00:00Z"/>
        <d v="2025-03-01T00:00:00Z"/>
        <d v="2025-02-25T00:00:00Z"/>
        <d v="2025-03-12T00:00:00Z"/>
        <d v="2025-03-02T00:00:00Z"/>
        <d v="2025-02-28T00:00:00Z"/>
        <d v="2025-03-05T00:00:00Z"/>
        <d v="2025-03-08T00:00:00Z"/>
        <d v="2025-04-16T00:00:00Z"/>
        <d v="2025-03-09T00:00:00Z"/>
        <d v="2025-03-10T00:00:00Z"/>
        <d v="2025-03-11T00:00:00Z"/>
        <d v="2025-03-14T00:00:00Z"/>
        <d v="2025-04-22T00:00:00Z"/>
        <d v="2025-03-16T00:00:00Z"/>
        <d v="2025-03-17T00:00:00Z"/>
        <d v="2025-03-13T00:00:00Z"/>
        <d v="2025-03-18T00:00:00Z"/>
        <d v="2025-03-23T00:00:00Z"/>
        <d v="2025-03-24T00:00:00Z"/>
        <d v="2025-04-20T00:00:00Z"/>
        <d v="2025-03-26T00:00:00Z"/>
        <d v="2025-03-19T00:00:00Z"/>
        <d v="2025-03-20T00:00:00Z"/>
        <d v="2025-04-01T00:00:00Z"/>
        <d v="2025-03-27T00:00:00Z"/>
        <d v="2025-03-30T00:00:00Z"/>
        <d v="2025-04-02T00:00:00Z"/>
        <d v="2025-04-04T00:00:00Z"/>
        <d v="2025-04-03T00:00:00Z"/>
        <d v="2025-04-10T00:00:00Z"/>
        <d v="2025-04-11T00:00:00Z"/>
        <d v="2025-04-14T00:00:00Z"/>
        <d v="2025-05-08T00:00:00Z"/>
        <d v="2025-04-13T00:00:00Z"/>
        <d v="2025-04-15T00:00:00Z"/>
        <d v="2025-04-17T00:00:00Z"/>
        <d v="2025-04-18T00:00:00Z"/>
        <d v="2025-04-19T00:00:00Z"/>
        <d v="2025-05-26T00:00:00Z"/>
        <d v="2025-04-23T00:00:00Z"/>
        <d v="2025-04-24T00:00:00Z"/>
        <d v="2025-04-26T00:00:00Z"/>
        <d v="2025-04-27T00:00:00Z"/>
        <d v="2025-04-28T00:00:00Z"/>
        <d v="2025-04-29T00:00:00Z"/>
        <d v="2025-05-04T00:00:00Z"/>
        <d v="2025-04-30T00:00:00Z"/>
        <d v="2025-05-01T00:00:00Z"/>
        <d v="2025-05-06T00:00:00Z"/>
        <d v="2025-05-07T00:00:00Z"/>
        <d v="2025-05-03T00:00:00Z"/>
        <d v="2025-05-05T00:00:00Z"/>
        <d v="2025-06-29T00:00:00Z"/>
        <d v="2025-06-30T00:00:00Z"/>
        <d v="2025-05-14T00:00:00Z"/>
        <d v="2025-05-09T00:00:00Z"/>
        <d v="2025-05-13T00:00:00Z"/>
        <d v="2025-07-03T00:00:00Z"/>
        <d v="2025-05-17T00:00:00Z"/>
        <d v="2025-05-15T00:00:00Z"/>
        <d v="2025-05-16T00:00:00Z"/>
        <d v="2025-05-21T00:00:00Z"/>
        <d v="2025-05-22T00:00:00Z"/>
        <d v="2025-05-24T00:00:00Z"/>
        <d v="2025-07-07T00:00:00Z"/>
        <d v="2025-07-15T00:00:00Z"/>
        <d v="2025-06-01T00:00:00Z"/>
        <d v="2025-06-02T00:00:00Z"/>
        <d v="2025-05-28T00:00:00Z"/>
        <d v="2025-05-30T00:00:00Z"/>
        <d v="2025-06-05T00:00:00Z"/>
        <d v="2025-06-08T00:00:00Z"/>
        <d v="2025-06-12T00:00:00Z"/>
        <d v="2024-12-04T00:00:00Z"/>
        <d v="2025-06-13T00:00:00Z"/>
        <d v="2025-06-24T00:00:00Z"/>
        <d v="2025-06-17T00:00:00Z"/>
        <d v="2025-06-19T00:00:00Z"/>
        <d v="2025-06-20T00:00:00Z"/>
        <d v="2025-06-22T00:00:00Z"/>
        <d v="2025-06-25T00:00:00Z"/>
        <d v="2025-05-27T00:00:00Z"/>
        <d v="2025-06-07T00:00:00Z"/>
        <d v="2025-06-27T00:00:00Z"/>
        <d v="2025-07-02T00:00:00Z"/>
        <d v="2025-07-01T00:00:00Z"/>
        <d v="2025-07-24T00:00:00Z"/>
        <d v="2025-02-26T00:00:00Z"/>
        <d v="2025-01-11T00:00:00Z"/>
        <d v="2025-06-21T00:00:00Z"/>
        <d v="2025-07-19T00:00:00Z"/>
        <d v="2025-06-04T00:00:00Z"/>
        <d v="2025-07-08T00:00:00Z"/>
        <d v="2025-07-05T00:00:00Z"/>
        <d v="2025-07-06T00:00:00Z"/>
        <d v="2025-07-10T00:00:00Z"/>
        <d v="2025-07-04T00:00:00Z"/>
        <d v="2025-07-09T00:00:00Z"/>
        <d v="2025-07-14T00:00:00Z"/>
        <d v="2025-07-11T00:00:00Z"/>
        <d v="2025-07-13T00:00:00Z"/>
        <d v="2025-07-17T00:00:00Z"/>
        <d v="2025-07-23T00:00:00Z"/>
        <d v="2025-07-18T00:00:00Z"/>
        <d v="2025-07-20T00:00:00Z"/>
        <d v="2025-07-22T00:00:00Z"/>
        <d v="2025-07-25T00:00:00Z"/>
        <d v="2025-08-03T00:00:00Z"/>
        <s v=" "/>
        <d v="2025-07-26T00:00:00Z"/>
        <d v="2025-07-27T00:00:00Z"/>
        <d v="2025-07-28T00:00:00Z"/>
        <d v="2025-07-29T00:00:00Z"/>
        <d v="2025-06-26T00:00:00Z"/>
        <d v="2025-07-30T00:00:00Z"/>
        <d v="2025-07-31T00:00:00Z"/>
        <d v="2025-08-04T00:00:00Z"/>
        <d v="2025-08-05T00:00:00Z"/>
        <d v="2025-08-10T00:00:00Z"/>
        <d v="2025-08-14T00:00:00Z"/>
        <d v="2025-08-18T00:00:00Z"/>
        <d v="2025-08-19T00:00:00Z"/>
        <d v="2025-08-20T00:00:00Z"/>
        <d v="2025-08-25T00:00:00Z"/>
        <d v="2025-09-01T00:00:00Z"/>
        <d v="2025-09-02T00:00:00Z"/>
        <d v="2025-09-14T00:00:00Z"/>
        <d v="2025-09-28T00:00:00Z"/>
        <d v="2025-10-10T00:00:00Z"/>
      </sharedItems>
    </cacheField>
    <cacheField name="Date Début">
      <sharedItems containsDate="1" containsBlank="1" containsMixedTypes="1">
        <m/>
        <d v="2024-03-19T00:00:00Z"/>
        <d v="2024-05-14T00:00:00Z"/>
        <d v="2024-05-25T00:00:00Z"/>
        <d v="2024-05-27T00:00:00Z"/>
        <d v="2024-06-10T00:00:00Z"/>
        <d v="2024-06-18T00:00:00Z"/>
        <d v="2024-06-19T00:00:00Z"/>
        <d v="2024-06-16T00:00:00Z"/>
        <d v="2024-06-24T00:00:00Z"/>
        <d v="2024-07-06T00:00:00Z"/>
        <d v="2024-06-17T00:00:00Z"/>
        <d v="2024-07-01T00:00:00Z"/>
        <d v="2024-07-10T00:00:00Z"/>
        <d v="2024-06-25T00:00:00Z"/>
        <d v="2024-07-19T00:00:00Z"/>
        <d v="2024-08-18T00:00:00Z"/>
        <d v="2024-09-02T00:00:00Z"/>
        <d v="2024-09-16T00:00:00Z"/>
        <d v="2024-10-20T00:00:00Z"/>
        <d v="2025-05-01T00:00:00Z"/>
        <d v="2024-11-01T00:00:00Z"/>
        <d v="2024-11-13T00:00:00Z"/>
        <d v="2024-11-10T00:00:00Z"/>
        <d v="2024-12-10T00:00:00Z"/>
        <d v="2025-01-31T00:00:00Z"/>
        <d v="2025-02-03T00:00:00Z"/>
        <d v="2025-02-13T00:00:00Z"/>
        <d v="2025-01-23T00:00:00Z"/>
        <d v="2025-03-01T00:00:00Z"/>
        <d v="2025-02-28T00:00:00Z"/>
        <d v="2025-02-15T00:00:00Z"/>
        <d v="2025-05-21T00:00:00Z"/>
        <d v="2025-06-05T00:00:00Z"/>
        <d v="2025-07-16T00:00:00Z"/>
        <d v="2025-06-22T00:00:00Z"/>
        <d v="2025-07-01T00:00:00Z"/>
        <s v=" "/>
        <d v="2025-01-09T00:00:00Z"/>
        <d v="2024-09-13T00:00:00Z"/>
        <d v="2024-10-16T00:00:00Z"/>
        <d v="2024-11-18T00:00:00Z"/>
        <d v="2024-01-11T00:00:00Z"/>
        <d v="2024-12-06T00:00:00Z"/>
        <d v="2025-02-27T00:00:00Z"/>
        <d v="2025-04-08T00:00:00Z"/>
        <d v="2025-01-27T00:00:00Z"/>
        <d v="2024-11-11T00:00:00Z"/>
        <d v="2024-11-28T00:00:00Z"/>
        <d v="2024-12-21T00:00:00Z"/>
        <d v="2025-01-13T00:00:00Z"/>
        <d v="2025-02-11T00:00:00Z"/>
        <d v="2025-03-06T00:00:00Z"/>
        <d v="2024-04-01T00:00:00Z"/>
        <d v="2024-04-08T00:00:00Z"/>
        <d v="2024-02-29T00:00:00Z"/>
        <d v="2024-04-18T00:00:00Z"/>
        <d v="2024-06-07T00:00:00Z"/>
        <d v="2024-03-21T00:00:00Z"/>
        <d v="2024-06-20T00:00:00Z"/>
        <d v="2024-07-08T00:00:00Z"/>
        <d v="2024-07-29T00:00:00Z"/>
        <d v="2024-09-01T00:00:00Z"/>
        <d v="2024-09-12T00:00:00Z"/>
        <d v="2024-09-23T00:00:00Z"/>
        <d v="2024-09-28T00:00:00Z"/>
        <d v="2024-09-30T00:00:00Z"/>
        <d v="2024-10-01T00:00:00Z"/>
        <d v="2024-10-12T00:00:00Z"/>
        <d v="2024-11-06T00:00:00Z"/>
        <d v="2024-12-04T00:00:00Z"/>
        <d v="2025-01-16T00:00:00Z"/>
        <d v="2025-01-20T00:00:00Z"/>
        <d v="2024-04-15T00:00:00Z"/>
        <d v="2024-03-26T00:00:00Z"/>
        <d v="2024-04-20T00:00:00Z"/>
        <d v="2024-08-26T00:00:00Z"/>
        <d v="2024-02-28T00:00:00Z"/>
        <d v="2024-04-05T00:00:00Z"/>
        <d v="2024-09-26T00:00:00Z"/>
        <d v="2024-03-01T00:00:00Z"/>
        <d v="2024-10-24T00:00:00Z"/>
        <d v="2024-08-29T00:00:00Z"/>
        <d v="2024-11-15T00:00:00Z"/>
        <d v="2025-02-25T00:00:00Z"/>
        <d v="2024-09-25T00:00:00Z"/>
        <d v="2024-08-06T00:00:00Z"/>
        <d v="2024-08-09T00:00:00Z"/>
        <d v="2024-12-12T00:00:00Z"/>
        <d v="2025-03-25T00:00:00Z"/>
        <d v="2024-07-27T00:00:00Z"/>
        <d v="2024-04-13T00:00:00Z"/>
        <d v="2023-03-23T00:00:00Z"/>
        <d v="2024-08-16T00:00:00Z"/>
        <d v="2024-11-04T00:00:00Z"/>
        <d v="2024-10-29T00:00:00Z"/>
        <d v="2024-01-06T00:00:00Z"/>
        <d v="2025-01-24T00:00:00Z"/>
        <d v="2025-01-29T00:00:00Z"/>
        <d v="2025-02-05T00:00:00Z"/>
        <d v="2024-03-20T00:00:00Z"/>
        <d v="2024-09-14T00:00:00Z"/>
        <d v="2024-10-10T00:00:00Z"/>
        <d v="2024-10-02T00:00:00Z"/>
        <d v="2024-06-14T00:00:00Z"/>
        <d v="2025-01-28T00:00:00Z"/>
        <d v="2024-06-01T00:00:00Z"/>
        <d v="2024-06-11T00:00:00Z"/>
        <d v="2024-12-03T00:00:00Z"/>
        <d v="2024-04-04T00:00:00Z"/>
        <d v="2024-06-27T00:00:00Z"/>
        <d v="2024-07-18T00:00:00Z"/>
        <d v="2024-10-28T00:00:00Z"/>
        <n v="-619148.0"/>
        <d v="2024-10-30T00:00:00Z"/>
        <d v="2024-12-11T00:00:00Z"/>
        <d v="2024-12-02T00:00:00Z"/>
        <d v="2025-01-25T00:00:00Z"/>
        <d v="2024-06-08T00:00:00Z"/>
        <d v="2024-10-25T00:00:00Z"/>
        <d v="2024-03-22T00:00:00Z"/>
        <d v="2024-07-26T00:00:00Z"/>
        <d v="2024-11-08T00:00:00Z"/>
        <d v="2025-09-08T00:00:00Z"/>
        <d v="2025-03-26T00:00:00Z"/>
        <d v="2025-08-10T00:00:00Z"/>
      </sharedItems>
    </cacheField>
    <cacheField name="Date Fin">
      <sharedItems containsDate="1" containsBlank="1" containsMixedTypes="1">
        <d v="2024-03-08T00:00:00Z"/>
        <d v="2024-03-19T00:00:00Z"/>
        <m/>
        <d v="2024-04-06T00:00:00Z"/>
        <d v="2024-04-09T00:00:00Z"/>
        <d v="2024-04-19T00:00:00Z"/>
        <d v="2024-04-22T00:00:00Z"/>
        <d v="2024-04-18T00:00:00Z"/>
        <d v="2024-04-26T00:00:00Z"/>
        <d v="2024-05-02T00:00:00Z"/>
        <d v="2024-05-01T00:00:00Z"/>
        <d v="2024-05-04T00:00:00Z"/>
        <d v="2024-05-08T00:00:00Z"/>
        <d v="2024-05-07T00:00:00Z"/>
        <d v="2024-05-10T00:00:00Z"/>
        <d v="2024-05-13T00:00:00Z"/>
        <d v="2024-05-18T00:00:00Z"/>
        <d v="2024-05-14T00:00:00Z"/>
        <d v="2024-05-17T00:00:00Z"/>
        <d v="2024-05-23T00:00:00Z"/>
        <d v="2024-05-27T00:00:00Z"/>
        <d v="2024-05-29T00:00:00Z"/>
        <d v="2024-05-30T00:00:00Z"/>
        <d v="2024-05-31T00:00:00Z"/>
        <d v="2024-06-16T00:00:00Z"/>
        <d v="2024-06-17T00:00:00Z"/>
        <d v="2024-06-20T00:00:00Z"/>
        <d v="2024-06-22T00:00:00Z"/>
        <d v="2024-06-19T00:00:00Z"/>
        <d v="2024-06-23T00:00:00Z"/>
        <d v="2024-06-25T00:00:00Z"/>
        <d v="2024-06-24T00:00:00Z"/>
        <d v="2024-06-29T00:00:00Z"/>
        <d v="2024-07-06T00:00:00Z"/>
        <d v="2024-06-28T00:00:00Z"/>
        <d v="2024-07-01T00:00:00Z"/>
        <d v="2024-06-26T00:00:00Z"/>
        <d v="2024-06-30T00:00:00Z"/>
        <d v="2024-07-10T00:00:00Z"/>
        <d v="2024-07-07T00:00:00Z"/>
        <d v="2024-07-14T00:00:00Z"/>
        <d v="2024-07-12T00:00:00Z"/>
        <d v="2024-07-23T00:00:00Z"/>
        <d v="2024-07-24T00:00:00Z"/>
        <d v="2024-07-22T00:00:00Z"/>
        <d v="2024-07-21T00:00:00Z"/>
        <d v="2024-07-25T00:00:00Z"/>
        <d v="2024-09-06T00:00:00Z"/>
        <d v="2024-07-26T00:00:00Z"/>
        <d v="2024-08-01T00:00:00Z"/>
        <d v="2024-09-08T00:00:00Z"/>
        <d v="2024-08-06T00:00:00Z"/>
        <d v="2024-08-03T00:00:00Z"/>
        <d v="2024-08-02T00:00:00Z"/>
        <d v="2024-07-20T00:00:00Z"/>
        <d v="2024-07-30T00:00:00Z"/>
        <d v="2024-08-09T00:00:00Z"/>
        <d v="2024-08-16T00:00:00Z"/>
        <d v="2024-08-08T00:00:00Z"/>
        <d v="2024-08-15T00:00:00Z"/>
        <d v="2024-09-07T00:00:00Z"/>
        <d v="2024-08-22T00:00:00Z"/>
        <d v="2024-08-25T00:00:00Z"/>
        <d v="2024-08-18T00:00:00Z"/>
        <d v="2024-08-21T00:00:00Z"/>
        <d v="2024-08-20T00:00:00Z"/>
        <d v="2024-08-23T00:00:00Z"/>
        <d v="2024-09-02T00:00:00Z"/>
        <d v="2024-08-28T00:00:00Z"/>
        <d v="2024-08-24T00:00:00Z"/>
        <d v="2024-08-30T00:00:00Z"/>
        <d v="2024-09-13T00:00:00Z"/>
        <d v="2024-09-18T00:00:00Z"/>
        <d v="2024-09-19T00:00:00Z"/>
        <d v="2024-09-09T00:00:00Z"/>
        <d v="2024-10-02T00:00:00Z"/>
        <d v="2024-10-11T00:00:00Z"/>
        <d v="2024-09-23T00:00:00Z"/>
        <d v="2024-09-21T00:00:00Z"/>
        <d v="2024-10-06T00:00:00Z"/>
        <d v="2024-09-20T00:00:00Z"/>
        <d v="2024-08-10T00:00:00Z"/>
        <d v="2024-09-25T00:00:00Z"/>
        <d v="2025-06-15T00:00:00Z"/>
        <d v="2024-09-30T00:00:00Z"/>
        <d v="2024-09-26T00:00:00Z"/>
        <d v="2024-10-03T00:00:00Z"/>
        <d v="2024-11-02T00:00:00Z"/>
        <d v="2024-11-15T00:00:00Z"/>
        <d v="2024-11-01T00:00:00Z"/>
        <d v="2024-11-08T00:00:00Z"/>
        <d v="2024-10-27T00:00:00Z"/>
        <d v="2024-10-26T00:00:00Z"/>
        <d v="2024-10-28T00:00:00Z"/>
        <d v="2025-06-14T00:00:00Z"/>
        <d v="2024-11-05T00:00:00Z"/>
        <d v="2024-11-16T00:00:00Z"/>
        <d v="2024-11-10T00:00:00Z"/>
        <d v="2024-11-12T00:00:00Z"/>
        <d v="2024-11-11T00:00:00Z"/>
        <d v="2025-06-17T00:00:00Z"/>
        <d v="2024-10-22T00:00:00Z"/>
        <d v="2024-11-07T00:00:00Z"/>
        <d v="2025-02-10T00:00:00Z"/>
        <d v="2024-11-09T00:00:00Z"/>
        <d v="2024-11-29T00:00:00Z"/>
        <d v="2024-12-03T00:00:00Z"/>
        <d v="2024-11-19T00:00:00Z"/>
        <d v="2024-11-30T00:00:00Z"/>
        <d v="2024-11-20T00:00:00Z"/>
        <d v="2024-11-27T00:00:00Z"/>
        <d v="2024-11-22T00:00:00Z"/>
        <d v="2024-11-26T00:00:00Z"/>
        <d v="2024-12-02T00:00:00Z"/>
        <d v="2024-12-09T00:00:00Z"/>
        <d v="2024-11-28T00:00:00Z"/>
        <d v="2024-12-15T00:00:00Z"/>
        <d v="2024-12-17T00:00:00Z"/>
        <d v="2024-12-01T00:00:00Z"/>
        <d v="2024-12-10T00:00:00Z"/>
        <d v="2025-03-05T00:00:00Z"/>
        <d v="2024-12-25T00:00:00Z"/>
        <d v="2024-12-19T00:00:00Z"/>
        <d v="2024-12-29T00:00:00Z"/>
        <d v="2025-01-03T00:00:00Z"/>
        <d v="2025-01-09T00:00:00Z"/>
        <d v="2025-01-10T00:00:00Z"/>
        <d v="2025-01-23T00:00:00Z"/>
        <d v="2025-01-24T00:00:00Z"/>
        <d v="2025-01-25T00:00:00Z"/>
        <d v="2025-01-05T00:00:00Z"/>
        <d v="2025-01-20T00:00:00Z"/>
        <d v="2025-01-13T00:00:00Z"/>
        <d v="2025-03-10T00:00:00Z"/>
        <d v="2025-01-29T00:00:00Z"/>
        <d v="2025-01-15T00:00:00Z"/>
        <d v="2025-01-30T00:00:00Z"/>
        <d v="2025-01-22T00:00:00Z"/>
        <d v="2025-02-07T00:00:00Z"/>
        <d v="2025-02-19T00:00:00Z"/>
        <d v="2025-01-31T00:00:00Z"/>
        <d v="2025-02-04T00:00:00Z"/>
        <d v="2025-02-05T00:00:00Z"/>
        <d v="2025-02-14T00:00:00Z"/>
        <d v="2025-02-08T00:00:00Z"/>
        <d v="2025-02-16T00:00:00Z"/>
        <d v="2025-02-20T00:00:00Z"/>
        <d v="2025-02-21T00:00:00Z"/>
        <d v="2025-02-26T00:00:00Z"/>
        <d v="2025-02-27T00:00:00Z"/>
        <d v="2025-02-22T00:00:00Z"/>
        <d v="2025-02-25T00:00:00Z"/>
        <d v="2025-02-13T00:00:00Z"/>
        <d v="2025-03-31T00:00:00Z"/>
        <d v="2025-03-04T00:00:00Z"/>
        <d v="2025-03-15T00:00:00Z"/>
        <d v="2025-03-12T00:00:00Z"/>
        <d v="2025-04-21T00:00:00Z"/>
        <d v="2025-03-13T00:00:00Z"/>
        <d v="2025-03-16T00:00:00Z"/>
        <d v="2025-03-18T00:00:00Z"/>
        <d v="2025-03-22T00:00:00Z"/>
        <d v="2025-04-23T00:00:00Z"/>
        <d v="2025-03-29T00:00:00Z"/>
        <d v="2025-03-24T00:00:00Z"/>
        <d v="2025-03-14T00:00:00Z"/>
        <d v="2025-03-19T00:00:00Z"/>
        <d v="2025-03-30T00:00:00Z"/>
        <d v="2025-04-26T00:00:00Z"/>
        <d v="2025-03-21T00:00:00Z"/>
        <d v="2025-05-24T00:00:00Z"/>
        <d v="2025-04-01T00:00:00Z"/>
        <d v="2025-04-04T00:00:00Z"/>
        <d v="2025-03-28T00:00:00Z"/>
        <d v="2025-04-06T00:00:00Z"/>
        <d v="2025-04-07T00:00:00Z"/>
        <d v="2025-02-28T00:00:00Z"/>
        <d v="2025-01-14T00:00:00Z"/>
        <d v="2025-04-10T00:00:00Z"/>
        <d v="2025-03-26T00:00:00Z"/>
        <d v="2025-04-09T00:00:00Z"/>
        <d v="2025-04-12T00:00:00Z"/>
        <d v="2025-04-16T00:00:00Z"/>
        <d v="2025-04-19T00:00:00Z"/>
        <d v="2025-05-09T00:00:00Z"/>
        <d v="2025-04-18T00:00:00Z"/>
        <d v="2025-04-25T00:00:00Z"/>
        <d v="2025-04-24T00:00:00Z"/>
        <d v="2025-04-27T00:00:00Z"/>
        <d v="2025-05-19T00:00:00Z"/>
        <d v="2025-05-30T00:00:00Z"/>
        <d v="2025-04-29T00:00:00Z"/>
        <d v="2025-05-01T00:00:00Z"/>
        <d v="2025-04-30T00:00:00Z"/>
        <d v="2025-05-31T00:00:00Z"/>
        <s v="31/04/2025"/>
        <d v="2025-03-06T00:00:00Z"/>
        <d v="2025-05-04T00:00:00Z"/>
        <d v="2025-05-05T00:00:00Z"/>
        <d v="2025-05-02T00:00:00Z"/>
        <d v="2025-05-14T00:00:00Z"/>
        <d v="2025-05-23T00:00:00Z"/>
        <d v="2025-05-08T00:00:00Z"/>
        <d v="2025-05-21T00:00:00Z"/>
        <d v="2025-05-10T00:00:00Z"/>
        <d v="2025-05-16T00:00:00Z"/>
        <d v="2025-05-25T00:00:00Z"/>
        <d v="2025-06-22T00:00:00Z"/>
        <d v="2025-06-30T00:00:00Z"/>
        <d v="2025-05-20T00:00:00Z"/>
        <d v="2025-05-15T00:00:00Z"/>
        <d v="2025-05-17T00:00:00Z"/>
        <d v="2025-07-08T00:00:00Z"/>
        <d v="2025-05-29T00:00:00Z"/>
        <d v="2025-05-22T00:00:00Z"/>
        <d v="2025-07-13T00:00:00Z"/>
        <d v="2025-07-16T00:00:00Z"/>
        <d v="2025-01-17T00:00:00Z"/>
        <d v="2025-06-10T00:00:00Z"/>
        <d v="2025-06-04T00:00:00Z"/>
        <d v="2025-06-05T00:00:00Z"/>
        <d v="2025-02-11T00:00:00Z"/>
        <d v="2025-06-11T00:00:00Z"/>
        <d v="2025-06-13T00:00:00Z"/>
        <d v="2025-04-22T00:00:00Z"/>
        <d v="2025-06-25T00:00:00Z"/>
        <d v="2025-06-18T00:00:00Z"/>
        <d v="2025-06-26T00:00:00Z"/>
        <d v="2025-06-24T00:00:00Z"/>
        <d v="2025-06-29T00:00:00Z"/>
        <d v="2025-07-03T00:00:00Z"/>
        <d v="2025-06-20T00:00:00Z"/>
        <d v="2025-06-28T00:00:00Z"/>
        <d v="2025-07-26T00:00:00Z"/>
        <s v="31/06/2025"/>
        <d v="2025-07-07T00:00:00Z"/>
        <d v="2025-07-18T00:00:00Z"/>
        <d v="2025-06-27T00:00:00Z"/>
        <d v="2025-07-11T00:00:00Z"/>
        <d v="2025-07-04T00:00:00Z"/>
        <d v="2025-07-17T00:00:00Z"/>
        <d v="2025-07-05T00:00:00Z"/>
        <d v="2024-07-13T00:00:00Z"/>
        <d v="2025-07-10T00:00:00Z"/>
        <d v="2025-07-14T00:00:00Z"/>
        <d v="2025-07-19T00:00:00Z"/>
        <d v="2025-07-20T00:00:00Z"/>
        <d v="2025-07-22T00:00:00Z"/>
        <d v="2025-07-27T00:00:00Z"/>
        <d v="2025-07-23T00:00:00Z"/>
        <d v="2025-07-25T00:00:00Z"/>
        <d v="2025-08-15T00:00:00Z"/>
        <d v="2025-07-31T00:00:00Z"/>
        <d v="2025-07-28T00:00:00Z"/>
        <d v="2025-07-29T00:00:00Z"/>
        <d v="2025-08-10T00:00:00Z"/>
        <d v="2025-06-21T00:00:00Z"/>
        <d v="2025-01-28T00:00:00Z"/>
        <d v="2025-06-19T00:00:00Z"/>
        <d v="2024-10-04T00:00:00Z"/>
        <d v="2024-11-25T00:00:00Z"/>
        <d v="2025-08-07T00:00:00Z"/>
        <d v="2025-06-09T00:00:00Z"/>
        <d v="2024-10-10T00:00:00Z"/>
        <d v="2024-10-25T00:00:00Z"/>
        <d v="2024-10-30T00:00:00Z"/>
        <d v="2024-12-24T00:00:00Z"/>
        <d v="2024-07-08T00:00:00Z"/>
        <d v="2025-03-20T00:00:00Z"/>
        <d v="2025-04-28T00:00:00Z"/>
        <d v="2024-09-22T00:00:00Z"/>
        <d v="2024-12-22T00:00:00Z"/>
        <d v="2025-01-11T00:00:00Z"/>
        <d v="2025-03-17T00:00:00Z"/>
        <d v="2024-05-09T00:00:00Z"/>
        <d v="2024-12-28T00:00:00Z"/>
        <d v="2025-01-04T00:00:00Z"/>
        <d v="2024-04-14T00:00:00Z"/>
        <d v="2024-04-29T00:00:00Z"/>
        <d v="2024-05-11T00:00:00Z"/>
        <d v="2024-05-28T00:00:00Z"/>
        <d v="2024-06-02T00:00:00Z"/>
        <d v="2024-06-05T00:00:00Z"/>
        <d v="2024-06-07T00:00:00Z"/>
        <d v="2024-06-21T00:00:00Z"/>
        <d v="2024-07-03T00:00:00Z"/>
        <d v="2024-07-15T00:00:00Z"/>
        <d v="2024-07-28T00:00:00Z"/>
        <d v="2024-09-16T00:00:00Z"/>
        <d v="2024-09-27T00:00:00Z"/>
        <d v="2024-10-07T00:00:00Z"/>
        <d v="2024-10-20T00:00:00Z"/>
        <d v="2024-10-21T00:00:00Z"/>
        <d v="2025-02-06T00:00:00Z"/>
        <d v="2025-02-17T00:00:00Z"/>
        <d v="2025-02-23T00:00:00Z"/>
        <d v="2024-03-01T00:00:00Z"/>
        <d v="2024-12-12T00:00:00Z"/>
        <d v="2024-04-07T00:00:00Z"/>
        <d v="2024-04-11T00:00:00Z"/>
        <d v="2024-04-21T00:00:00Z"/>
        <d v="2024-05-19T00:00:00Z"/>
        <d v="2024-05-20T00:00:00Z"/>
        <d v="2024-08-11T00:00:00Z"/>
        <d v="2024-10-15T00:00:00Z"/>
        <d v="2025-02-15T00:00:00Z"/>
        <d v="2025-03-08T00:00:00Z"/>
        <d v="2024-07-16T00:00:00Z"/>
        <d v="2024-09-15T00:00:00Z"/>
        <d v="2024-10-17T00:00:00Z"/>
        <d v="2024-12-16T00:00:00Z"/>
        <d v="2024-11-14T00:00:00Z"/>
        <d v="2024-10-05T00:00:00Z"/>
        <d v="2025-03-11T00:00:00Z"/>
        <d v="2024-08-07T00:00:00Z"/>
        <d v="2024-08-26T00:00:00Z"/>
        <d v="2024-04-28T00:00:00Z"/>
        <d v="2024-05-03T00:00:00Z"/>
        <d v="2024-05-25T00:00:00Z"/>
        <d v="2025-01-02T00:00:00Z"/>
        <d v="2024-08-12T00:00:00Z"/>
        <d v="2024-04-30T00:00:00Z"/>
        <d v="2024-05-12T00:00:00Z"/>
        <d v="2024-04-10T00:00:00Z"/>
        <d v="2024-11-24T00:00:00Z"/>
        <n v="-619359.0"/>
        <d v="2024-04-15T00:00:00Z"/>
        <d v="2024-08-04T00:00:00Z"/>
        <d v="2024-09-03T00:00:00Z"/>
        <d v="2024-10-16T00:00:00Z"/>
        <d v="2024-12-13T00:00:00Z"/>
        <d v="2025-01-06T00:00:00Z"/>
        <d v="2025-02-24T00:00:00Z"/>
        <d v="2024-12-21T00:00:00Z"/>
        <d v="2024-06-27T00:00:00Z"/>
        <d v="2024-09-01T00:00:00Z"/>
        <d v="2024-10-31T00:00:00Z"/>
        <d v="2024-11-23T00:00:00Z"/>
        <d v="2024-02-15T00:00:00Z"/>
        <d v="2024-05-15T00:00:00Z"/>
        <d v="2024-06-14T00:00:00Z"/>
        <d v="2024-07-27T00:00:00Z"/>
        <d v="2024-09-14T00:00:00Z"/>
        <d v="2024-09-17T00:00:00Z"/>
        <d v="2024-10-08T00:00:00Z"/>
        <d v="2024-06-08T00:00:00Z"/>
        <d v="2024-06-11T00:00:00Z"/>
        <d v="2024-12-20T00:00:00Z"/>
        <d v="2023-02-01T00:00:00Z"/>
        <d v="2024-02-01T00:00:00Z"/>
        <d v="2024-03-28T00:00:00Z"/>
        <d v="2024-03-31T00:00:00Z"/>
        <d v="2024-08-29T00:00:00Z"/>
        <d v="2024-11-03T00:00:00Z"/>
        <d v="2024-12-06T00:00:00Z"/>
        <d v="2024-12-23T00:00:00Z"/>
        <d v="2024-07-11T00:00:00Z"/>
        <d v="2024-08-19T00:00:00Z"/>
        <d v="2025-03-27T00:00:00Z"/>
        <d v="2025-09-15T00:00:00Z"/>
        <d v="2025-08-03T00:00:00Z"/>
        <d v="2025-05-18T00:00:00Z"/>
        <d v="2025-08-14T00:00:00Z"/>
        <d v="2025-08-08T00:00:00Z"/>
        <d v="2025-08-24T00:00:00Z"/>
        <d v="2025-08-13T00:00:00Z"/>
        <d v="2025-09-03T00:00:00Z"/>
        <d v="2025-08-21T00:00:00Z"/>
        <d v="2025-09-06T00:00:00Z"/>
        <d v="2025-09-01T00:00:00Z"/>
        <d v="2025-09-08T00:00:00Z"/>
        <d v="2025-09-19T00:00:00Z"/>
        <d v="2025-09-09T00:00:00Z"/>
        <d v="2025-10-03T00:00:00Z"/>
        <d v="2025-10-15T00:00:00Z"/>
      </sharedItems>
    </cacheField>
    <cacheField name="Status" numFmtId="0">
      <sharedItems containsBlank="1">
        <s v="Fait"/>
        <s v="Facture à envoyer"/>
        <s v="Script Revision Marque"/>
        <s v="Video Validée Marque"/>
        <s v="Video Revision Marque"/>
        <m/>
        <s v="Colis Reçu?"/>
        <s v="Script Validée Marque"/>
      </sharedItems>
    </cacheField>
    <cacheField name="Commentaire" numFmtId="0">
      <sharedItems containsBlank="1">
        <m/>
        <s v="ne pas mentionner d'autres marques 7 jours avant et après @ "/>
        <s v="resultat concours"/>
        <s v="en attente validation marque"/>
        <s v="VALIDÉ"/>
        <s v="Preview Validée"/>
        <s v="⚠️⚠️ demander à Inès code promo vs lien (car code différent)"/>
        <s v="à envoyer à la marque"/>
        <s v="en attente validation"/>
        <s v="envoyer facture"/>
        <s v="en attente info facturation"/>
        <s v="Ne pas envoyer facture au client mais faire une factureEn $$ une fois reception et convertion"/>
        <s v="brief partagé"/>
        <s v="ne pas poster 24h après ⚠️ verifier date (colis reçu le 23/05 = 3S)"/>
        <s v="en attente affiliate code"/>
        <s v="video"/>
        <s v="pas d'autres collabs 3 jours avant et après"/>
        <s v="commande passée"/>
        <s v="⚠️"/>
        <s v="date post à confirmer"/>
        <s v="DESCRIPTION (changement à faire) =&gt; Nouveautés @Anastasia Beverly Hills : Beauty balm &amp; Blurring serum blush ✨ Available from xxxx at Sephora all shades online and limited assortment in store #AD #ABHBLUSH #BLUSHHACK #LIQUIDBLUSH #ABHBeautyBalm #Anastasia"/>
        <s v="DESCRIPTION (changement à faire) =&gt;Makeup After Beachhh with Beauty Balm and Blurring Serum Blush @ANASTASIABEVERLYHILLS available from xxxx at Sephora all shades online and limited assortment in store. (il faudra remplacer les xx par la date de sortie, j"/>
        <s v="brouillon"/>
        <s v="DESCRIPTION (changement à faire) =&gt;⚠️ Date sortie SEPHORA"/>
        <s v="envoyer video à jour que Lily a partagé le 13/08"/>
        <s v="SUN SERUM"/>
        <s v="Partager ad code // DESCRIPTION (changement à faire) =&gt; The perfect complexion for this summer is: Beauty Balm and Blurring Serum Blush by @ANASTASIABEVERLYHILLS vavailable from xxxx (à remplacer par la date quand nous l'aurons) at Sephora all shades onli"/>
        <s v="une fois le paiement paypal faire facture pour € exact"/>
        <s v="DESCRIPTION (changement à faire) =&gt;"/>
        <s v="ajouter avant après"/>
        <s v="attendre retour autres factures"/>
        <s v="pas poster +3/-3   // partager ad code"/>
        <s v="envoyer facture 09/09 avec médiatisation + contenu"/>
        <s v="pas possible de poster le 23"/>
        <s v="⚠️ Dates Mixa -3+3 pas de collabs // date à confirmer"/>
        <s v="à poster"/>
        <s v="médiatisation à confirmer +100€"/>
        <s v="recuperer lien tacké pour IGs"/>
        <s v="IG"/>
        <s v="à refaire (réhaussement de cils)"/>
        <s v="24h no post any // 3 weeks of use"/>
        <s v="faire valider le contenu"/>
        <s v="+code boost"/>
        <s v="pas de média"/>
        <s v="date à définir"/>
        <s v="PERSONALISATION"/>
        <s v="draft: 3 jours apres reception // 26/09/2024 au plus tard // pas de post 12h apres poster"/>
        <s v="modif sur caption"/>
        <s v="Woo Juicy Tubes"/>
        <s v="facture à envoyer mais attendre ad code JEANNE"/>
        <s v="attendre Code boost"/>
        <s v="Facture à faire"/>
        <s v="Tracking Link 72h BIO https://testsgz.app.link/4hqEOX8xbNb"/>
        <s v="modifier caption  / pas de post 24h"/>
        <s v="en attente colis"/>
        <s v="18h"/>
        <s v="(+ usage rights + TikTok spark ads + IG ad codes"/>
        <s v="Reception Colis"/>
        <s v="video+ description"/>
        <s v="activer la fonctionnalité &quot;collaboration commercial&quot;"/>
        <s v="j'ai envoyé une facture en € mais c'est en dollar"/>
        <s v="125 de media à confimer "/>
        <s v="date à confirmer (7jours apres réception colis"/>
        <s v="commande"/>
        <s v="30j Myriam K entre chaque mois"/>
        <s v="cross post IG TT"/>
        <s v="mediat"/>
        <s v="ajouter lien en bio"/>
        <s v="Cross post IG + story swipe"/>
        <s v="rajouter code + 23% par contre impossible de refaire video modifs"/>
        <s v="mais ajouter ingrédient"/>
        <s v="facture faite"/>
        <s v="boost"/>
        <s v="preview"/>
        <s v="attente reception colis"/>
        <s v="facture au 3/03 à faire et envoyer"/>
        <s v="voir pour ajouter Ad"/>
        <s v=" "/>
        <s v="TT + Médiat"/>
        <s v="script idée creat TT médiat : du 1er au 27 avril !"/>
        <s v="médiat de 100€ en plus validée?"/>
        <s v="IGS à partager      IGs+ TIKTOK"/>
        <s v="1 TT"/>
        <s v="Pendant le repas"/>
        <s v="IG Reel médiat 01/03 au 27/03"/>
        <s v="02/03=&gt; idée creative ///// 10/03/2025 brouillon"/>
        <s v="1 IG reel + 1 IGs (3sets) AD CODE⚠️"/>
        <s v="dont 250€ de mediat"/>
        <s v="contrat à faire"/>
        <s v="en attente retour de la marque pour feu vert post"/>
        <s v="poster et partager ad code avant 12h"/>
        <s v="TT"/>
        <s v="x3 videos "/>
        <s v="pas besoin de valider preview 2 stories (10/04 et 11/04)"/>
        <s v="link in bio"/>
        <s v="avec ad code"/>
        <s v="⚠️changement facture - se referer au mail"/>
        <s v="médiatisation"/>
        <s v="dont 250€ mediat"/>
        <s v="integration produit"/>
        <s v="IG reel"/>
        <s v="350€ au lieu de 195 pour la derniere"/>
        <s v="IGS  "/>
        <s v="23/04/2025 preview et 16/04 idée creative"/>
        <s v="script  et preview le 01/05/2025"/>
        <s v="script"/>
        <s v="TT IGreel SNAP"/>
        <s v="poster sur TT"/>
        <s v="81€ en option?"/>
        <s v=": https://amzn.to/3Eubtp1"/>
        <s v="Comme beaucoup de followers lui demandent comment faire partir les taches d’acné, elle pourrait créer une vidéo sous l’un de ces formats : « J’ai trouvé un appareil magique pour éliminer les taches d’acné ! » Je présente le produit en détail.Je montre com"/>
        <s v="avec 100e d'ad code inclu"/>
        <s v="vidéo ok descritpion a modifier"/>
        <s v="TT add code a recup"/>
        <s v="GR check dates"/>
        <s v="pas besoin de revision"/>
        <s v="verifier si Lily a posté et partager lien video"/>
        <s v="Video tournée avant Script // envoyer video quand meme"/>
        <s v="partager les captions modifier repost ig"/>
        <s v="Contenu attendu par la marque"/>
        <s v="IGs ANAIS20 20% valable sur ensemble produit du site"/>
        <s v="médiat"/>
        <s v="TT ANAIS20 20% valable sur ensemble produit du site"/>
        <s v="Script 18/06 TT"/>
        <s v="One INS reel + 30 days ad &amp; organic usage rights+ link in bio"/>
        <s v="idée creative"/>
        <s v="manque HD + Sous Titres"/>
        <s v="idée creative à partager"/>
        <s v="TT + Tiktok Shop (reassort le 12/06"/>
        <s v="Script 18/06 IG + Cross Post Reel + IGs"/>
        <s v="UGC"/>
        <s v="Beach Babe Hair Waver Campaign"/>
        <s v="partager les stats dès le 18 juillet ?"/>
        <s v="Tiktok/ pas chez elle avant le 1 er juillet "/>
        <s v="Tiktok"/>
        <s v="partager dès le 24/07 les screens des statistiques de son contenu UGC aussi cession de droit partager la video en HD"/>
        <s v="4EX"/>
        <s v="TT + IGr"/>
        <s v="on a pas le brief"/>
        <s v="n'a pas le produit"/>
        <s v="avec mediat"/>
        <s v="IG + TT cross post + ad code +UGC"/>
        <s v="3 videos"/>
        <s v="Code promo perso à partager"/>
        <s v="mettre explications en anglais"/>
        <s v="⚠️ Gifting voir avec Gauthier "/>
        <s v="POUR CONTENU UGC AVANT AGENCE"/>
        <s v="TT + Tiktok Shop"/>
        <s v="partager stats"/>
        <s v="pas fait "/>
        <s v="16h30"/>
        <s v="partager à Jolt les détails pour la campagne (date, orna...)"/>
        <s v=": #Kiehlsfrance (TikTok) et @kiehlsfrance (Instagram) et le hashtag : #HYDRATATION"/>
        <s v="Fonctionnement Nice Work"/>
        <s v="3 contenus // pas d'exclu"/>
        <s v="https://docs.google.com/presentation/d/1q4NE7BfV_3-rP4IUQJmAq-Et7OVpK16CYhR5OVpmQYo/edit?usp=sharing"/>
        <s v="Fonctionnement Nice Work - Envoyer lien marque"/>
        <s v="Affiliation 10% // 2 post/mois"/>
        <s v="https://www.tiktok.com/@lavishhcam/video/7384102579849956641?lang=en"/>
        <s v="Reçu"/>
        <s v="Médiatisation "/>
        <s v="envoyer facture MÉDIA EN OPTION 250€ 4semaines 7-18 Octobre"/>
        <s v="Google Ads"/>
        <s v="La semaine du 1er avril"/>
        <s v="7 jours après reception sac"/>
        <s v="ATTENTION NOUVEAU BRIEF?"/>
        <s v="La semaine du 15 avril"/>
        <s v="VOIR MAIL POUR BRIEF"/>
        <s v="⚠️chiara_12  + Lien dans bio"/>
        <s v="Libre"/>
        <s v="Tester les produits et leur faire un retour. Si tu aimes pourquoi pas poster sur Tiktok"/>
        <s v="Photo avant/après"/>
        <s v="pas reçu"/>
        <s v="⚠️bleulividee_12 + Lien dans Bio"/>
        <s v="story juste"/>
        <s v="X2 video"/>
        <s v="en attente Micro Entreprise Jeanne"/>
        <s v="Brief dans mail Sparkle"/>
        <s v="colis pas encore reçu (30/11)"/>
        <s v="Contenu libre"/>
        <s v="laurine_12 + Lien dans bio"/>
        <s v="Post obligatoire sans brief"/>
        <s v="attendre description"/>
        <s v="Dès que possible"/>
        <s v="à poster dès que possible"/>
        <s v="retard livraison"/>
        <s v="Nice Work Fonctionnement "/>
        <s v="https://www.tiktok.com/@lilyy.nl/video/7361800761090526497"/>
        <s v="Attendre avant de facturer Médiatisation "/>
        <s v="Showroom 16h"/>
        <s v="RDV 11h Showroom"/>
        <s v="pas de preview"/>
        <s v="Nice Work"/>
        <s v="https://www.tiktok.com/@melf.fnt/video/7384078329554423073"/>
        <s v="D'ici 2 semaines après 20/03/24"/>
        <s v="https://www.tiktok.com/@melf.fnt/video/7360752268607491360"/>
        <s v="En attente date"/>
        <s v="colis confidentiel jussqu'au 08/10"/>
        <s v="Rappel"/>
        <s v="https://www.tiktok.com/@morgane.mrckk/video/7384031967643307296"/>
        <s v="10h à 18h"/>
        <s v="partager video TT"/>
        <s v="en attente validation contrat"/>
        <s v="Brief"/>
        <s v="Dès réception colis"/>
        <s v="ads big cils"/>
        <s v="RDV 12h Showroom"/>
        <s v="description"/>
        <s v="mercredi 18/09, de 19h à 21h30,"/>
        <s v="IG + TT Cross Post"/>
        <s v="n'a pas reçu les produits"/>
        <s v="demander ce qu'elle pense du produit"/>
        <s v="colis non reçu"/>
        <s v="1 mois d'utilisation? si elle a bien utiliser le produit? lui rappeler de bien mettre photo avant/après dans l video"/>
        <s v="acheter produit Script 18/06 IG + Cross Post Reel + IGs"/>
        <s v="colis recu ? "/>
        <s v="colis recu oui "/>
        <s v="colis recu ? oui "/>
        <s v="IG + Cross post TT"/>
        <s v="x5"/>
        <s v="x6"/>
      </sharedItems>
    </cacheField>
    <cacheField name="Description rapide de la demande" numFmtId="0">
      <sharedItems containsBlank="1">
        <s v="vidéo dédiée maquillage avec la marque Bell."/>
        <s v="post obligatoire avec brief"/>
        <s v="post obligatoire  "/>
        <s v="Brief à respecter"/>
        <s v="Thème du book"/>
        <m/>
        <s v="Post Obligatoire "/>
        <s v="Brief dans mail"/>
        <s v="Ne pas poster / Suivre brief"/>
        <s v="Post avec brief"/>
        <s v="Libre"/>
        <s v="Seeding"/>
        <s v="NiceWork"/>
        <s v="Nice Work"/>
        <s v="Post Obligatoire"/>
        <s v="Fonctionnement Nice Work"/>
        <s v="Pas de brief"/>
        <s v="Consignes Nice Work"/>
        <s v="Post obligatoire sans brief"/>
        <s v="1 Tiktok + 1 Reel"/>
        <s v="1 Tiktok + 1 IG story"/>
        <s v="Post non obligatoire"/>
        <s v="Libre - colis presse"/>
        <s v="Evenement"/>
        <s v="Sans obligation de post"/>
        <s v="Obligation de post"/>
        <s v="Nice Work Fonctionnement"/>
        <s v="Médiatisation"/>
        <s v="Apport D'affaire"/>
        <s v="Promouvoir les 2 produits"/>
        <s v="Voir Brief mail"/>
        <s v="Event"/>
      </sharedItems>
    </cacheField>
    <cacheField name="Format (influence vs UGC)" numFmtId="166">
      <sharedItems containsBlank="1">
        <s v="Influence"/>
        <m/>
        <s v="UGC "/>
        <s v="UGC"/>
        <s v="Evenement"/>
        <s v="Skeepers"/>
        <s v="Interview"/>
        <s v="Médiatisation"/>
      </sharedItems>
    </cacheField>
    <cacheField name="Rémunération totale">
      <sharedItems containsBlank="1" containsMixedTypes="1" containsNumber="1">
        <n v="70.0"/>
        <n v="130.0"/>
        <n v="200.0"/>
        <s v="Gifting + Médiatisation"/>
        <s v="20€/semaine de médiatisation"/>
        <n v="350.0"/>
        <s v="Comptabilisé"/>
        <n v="500.0"/>
        <n v="150.0"/>
        <s v="Gifting"/>
        <n v="100.0"/>
        <m/>
        <n v="650.0"/>
        <n v="450.0"/>
        <n v="629.92"/>
        <n v="1800.0"/>
        <n v="175.0"/>
        <n v="250.0"/>
        <n v="1000.0"/>
        <n v="230.0"/>
        <n v="300.0"/>
        <n v="80.0"/>
        <n v="531.0"/>
        <n v="400.0"/>
        <n v="241.28"/>
        <n v="75.0"/>
        <n v="275.0"/>
        <n v="137.5"/>
        <n v="600.0"/>
        <n v="526.48"/>
        <n v="625.0"/>
        <n v="1250.0"/>
        <n v="800.0"/>
        <n v="699.2"/>
        <n v="225.0"/>
        <n v="1500.0"/>
        <n v="357.935"/>
        <n v="173.0"/>
        <n v="1200.0"/>
        <n v="233.33333333333334"/>
        <n v="750.0"/>
        <n v="700.0"/>
        <n v="393.3"/>
        <n v="125.0"/>
        <n v="382.5"/>
        <n v="325.0"/>
        <n v="0.0"/>
        <n v="170.0"/>
        <n v="900.0"/>
        <n v="375.0"/>
        <n v="195.0"/>
        <n v="950.0"/>
        <n v="1012.5"/>
        <n v="2000.0"/>
        <n v="333.3333333333333"/>
        <n v="582.0"/>
        <n v="291.0"/>
        <n v="970.0"/>
        <n v="1850.0"/>
        <n v="940.0"/>
        <n v="2500.0"/>
        <n v="850.0"/>
        <n v="1100.0"/>
        <n v="810.0"/>
        <n v="552.0"/>
        <n v="550.13"/>
        <n v="1400.0"/>
        <n v="1125.0"/>
        <n v="395.09"/>
        <n v="410.72"/>
        <n v="550.0"/>
        <n v="508.3"/>
        <n v="370.0"/>
        <n v="1300.0"/>
        <n v="492.87"/>
        <n v="166.66666666666666"/>
        <n v="3298.0"/>
        <n v="666.6666666666666"/>
        <n v="620.0"/>
        <n v="112.5"/>
        <n v="217.4"/>
        <n v="3125.0"/>
        <n v="266.6666666666667"/>
        <n v="310.0"/>
        <n v="880.0"/>
        <n v="1290.0"/>
        <n v="840.0"/>
        <n v="602.0"/>
        <n v="190.0"/>
        <s v="Affiliation"/>
        <s v="10% Commission"/>
        <s v="Showroom"/>
        <s v="Evenement"/>
        <n v="235.0"/>
        <n v="144.0"/>
        <s v="Affiliate"/>
        <s v="Event"/>
        <n v="933.3333333333334"/>
        <n v="3000.0"/>
        <n v="4500.0"/>
        <n v="588.0"/>
        <n v="471.27"/>
        <s v="PR"/>
        <n v="2985.0"/>
        <n v="270.0"/>
        <n v="2100.0"/>
        <n v="2550.0"/>
        <n v="1280.0"/>
      </sharedItems>
    </cacheField>
    <cacheField name="Date Stats">
      <sharedItems containsDate="1" containsString="0" containsBlank="1" containsMixedTypes="1">
        <m/>
        <d v="2024-04-16T00:00:00Z"/>
        <d v="2024-04-29T00:00:00Z"/>
        <d v="2024-04-25T00:00:00Z"/>
        <d v="2024-05-08T00:00:00Z"/>
        <d v="2024-05-11T00:00:00Z"/>
        <d v="2024-05-31T00:00:00Z"/>
        <n v="105.0"/>
        <n v="96.25"/>
        <n v="280.0"/>
        <n v="140.0"/>
        <n v="350.0"/>
        <n v="420.0"/>
      </sharedItems>
    </cacheField>
    <cacheField name="Lien video" numFmtId="0">
      <sharedItems containsBlank="1">
        <m/>
        <s v="https://www.tiktok.com/@melf.fnt/video/7382192283279494432"/>
        <s v="https://www.tiktok.com/@lilyy.nl/video/7383728309110050080"/>
        <s v="https://www.tiktok.com/@lolatagliaferroo/video/7383998473613479201"/>
        <s v="https://www.tiktok.com/@lavishhcam/video/7390792553022442784?lang=en"/>
        <s v="https://www.tiktok.com/@chiaraaaa.bnc/video/7391058568260111649"/>
        <s v="https://www.tiktok.com/@lina.mkrn2/video/7390790437969104161"/>
        <s v="https://www.tiktok.com/@perrine.trp/video/7391590382611516705"/>
        <s v="https://www.tiktok.com/@morgane.mrckk/video/7390710366738681121"/>
        <s v="https://www.tiktok.com/@perrine.trp/video/7394891259883654433"/>
        <s v="https://www.tiktok.com/@___oraane/video/7392965105924738336"/>
        <s v="https://www.tiktok.com/@paupibeauty/video/7395224727377251617"/>
        <s v="https://www.tiktok.com/@lolatagliaferroo/video/7395519666556259616"/>
        <s v="https://www.tiktok.com/@melf.fnt/video/7393286593676660000"/>
        <s v="https://www.tiktok.com/@perrine.trp/video/7393392477878701345"/>
        <s v="https://www.tiktok.com/@morgane.mrckk/video/7394042444519591201"/>
        <s v="https://www.tiktok.com/@paupibeauty/video/7394501330364075296"/>
        <s v="https://www.tiktok.com/@paupibeauty/video/7397449808555937056?_r=1&amp;_t=8oSOvlgWeMi"/>
        <s v="https://www.tiktok.com/@lolatagliaferroo/video/7398086597721263393"/>
        <s v="https://www.tiktok.com/@___oraane/video/7398548157925248288"/>
        <s v="https://vm.tiktok.com/ZGenfd12c/"/>
        <s v="https://www.tiktok.com/@liserdg/video/7397464254451911969"/>
        <s v="https://www.tiktok.com/@liserdg/video/7401195152984870176"/>
        <s v="https://www.tiktok.com/@lilyy.nl/video/7403767696283766048"/>
        <s v="https://www.tiktok.com/@morgane.mrckk/video/7411931626252422433"/>
        <s v="https://www.tiktok.com/@___oraane/video/7403673068578688289"/>
        <s v="https://www.tiktok.com/@lavishhcam/video/7406036857340824865?lang=en"/>
        <s v="https://www.tiktok.com/@lilyy.nl/video/7407093682731502880"/>
        <s v="https://www.tiktok.com/@paupibeauty/video/7403439757415533856?_r=1&amp;_t=8otpeszl9rE"/>
        <s v="https://www.tiktok.com/@perrine.trp/video/7411953653143129376"/>
        <s v="https://www.tiktok.com/@lavishhcam/video/7407487090046389537?lang=en"/>
        <s v="https://www.tiktok.com/@melf.fnt/video/7408135764502007073"/>
        <s v="https://www.tiktok.com/@lavishhcam/video/7406708879695875360?lang=en"/>
        <s v="https://www.tiktok.com/@lavishhcam/video/7411562966337834272?lang=en"/>
        <s v="https://www.tiktok.com/@morgane.mrckk/video/7406767459749055777"/>
        <s v="https://www.tiktok.com/@lilyy.nl/video/7411947131440827681"/>
        <s v="https://www.tiktok.com/@julianebernard/video/7415999447202663713"/>
        <s v="https://www.tiktok.com/@lilyy.nl/video/7412698376162135328"/>
        <s v="https://www.tiktok.com/@melf.fnt/video/7421252203458874656"/>
        <s v="https://www.tiktok.com/@melf.fnt/video/7417119746270776609"/>
        <s v="https://www.tiktok.com/@melf.fnt/video/7422703664969616673"/>
        <s v="https://www.tiktok.com/@paupibeauty/video/7416729046316338465?_r=1&amp;_t=8psjQcSNmPA"/>
        <s v="https://www.tiktok.com/@jessicadcstr/video/7401576606319398177"/>
        <s v="https://tiktok.com/@mary.zhh/video/7416774634885926176?lang=en"/>
        <s v="https://www.tiktok.com/@chiaraaaa.bnc/video/7417486710386232609"/>
        <s v="https://www.tiktok.com/@perrine.trp/video/7420530124208016672"/>
        <s v="https://www.tiktok.com/@paupibeauty/video/7418269204975078689"/>
        <s v="https://www.tiktok.com/@jeanne_bayart/video/7425572834992344353?_r=1&amp;_t=8qXCYC0RFJY"/>
        <s v="https://www.tiktok.com/@jeanne_bayart/video/7437562970659491105?lang=en"/>
        <s v="https://www.tiktok.com/@___oraane/video/7434852783339195681?lang=en"/>
        <s v="https://www.tiktok.com/@melf.fnt/video/7430522334919822624"/>
        <s v="https://www.tiktok.com/@liserdg/video/7430136572063796513?lang=en"/>
        <s v="https://www.tiktok.com/@liserdg/video/7432768931619802401?lang=en"/>
        <s v="https://www.tiktok.com/@morgane.mrckk/video/7430757799249988896?lang=en"/>
        <s v="https://www.tiktok.com/@shaa_dl/video/7515842386795187478"/>
        <s v="https://www.tiktok.com/@___oraane/video/7419283054981664033"/>
        <s v="https://www.tiktok.com/@anaiswairyy/video/7433837110584479008?lang=en"/>
        <s v="https://www.tiktok.com/@chiaraaaa.bnc/video/7438003860733578528?lang=en"/>
        <s v="https://www.tiktok.com/@morgane.mrckk/video/7437476392905805089?lang=en"/>
        <s v="https://www.tiktok.com/@iimslma/video/7436438336383880480?lang=en"/>
        <s v="https://www.tiktok.com/@melf.fnt/video/7436438601740668192?_r=1&amp;_t=8rKy09eXARN"/>
        <s v="https://www.tiktok.com/@lavishhcam/video/7437477138430741792"/>
        <s v="https://www.tiktok.com/@julianebernard/video/7437454498747927841?lang=en"/>
        <s v="https://www.tiktok.com/@melf.fnt/video/7437532619706731809"/>
        <s v="https://www.tiktok.com/@anaiswairyy/video/7455393883908771094?lang=en"/>
        <s v="https://www.tiktok.com/@anaiswairyy/video/7469871245606030614?lang=en"/>
        <s v="https://www.tiktok.com/@___oraane/video/7450792735776296214?lang=en"/>
        <s v="https://www.tiktok.com/@___oraane/video/7449648582451350806?lang=en"/>
        <s v="https://www.tiktok.com/@melf.fnt/video/7441913953858489633"/>
        <s v="https://www.tiktok.com/@paupibeauty/video/7442018892454694176?_r=1&amp;_t=8rkWjFn0wJa"/>
        <s v="https://www.tiktok.com/@anaiswairyy?lang=en"/>
        <s v="https://www.tiktok.com/@lilyy.nl/video/7443863318730689814"/>
        <s v="https://www.tiktok.com/@jeanne_bayart/video/7442798993492479265?lang=en"/>
        <s v="https://www.tiktok.com/@iman_cvls/video/7451924438834089238?_r=1&amp;_t=8sTta62xc1u"/>
        <s v="https://www.tiktok.com/@iman_cvls/video/7452023214944947478?_r=1&amp;_t=8sWEGQqinJO"/>
        <s v="https://www.tiktok.com/@iman_cvls/video/7452403635708775702"/>
        <s v="https://www.tiktok.com/@jasmiinelife/video/7453739165205777686?lang=en"/>
        <s v="https://www.tiktok.com/@lavishhcam/video/7463441462252932374"/>
        <s v="https://www.tiktok.com/@iimslma/video/7465383468805999894?_r=1&amp;_t=ZN-8tTXg6qHkUY"/>
        <s v="https://www.tiktok.com/@iman_cvls/video/7465390038260485398?_t=ZN-8tTZG4XbMr0&amp;_r=1"/>
        <s v="https://www.tiktok.com/@liserdg/video/7465785595495763222?lang=en"/>
        <s v="https://www.tiktok.com/@la_gur/video/7467998009230363926?lang=en"/>
        <s v="75 de media"/>
        <s v="https://www.tiktok.com/@dounsbnl/video/7471295610063310102"/>
        <s v="https://www.tiktok.com/@lolatagliaferroo?lang=en"/>
        <s v="https://www.tiktok.com/@___oraane/video/7471294678306934038?lang=en"/>
        <s v="https://www.tiktok.com/@shaa_dl/video/7471336075559046422"/>
        <s v="https://www.tiktok.com/@dounsbnl/video/7451645404535442710"/>
        <s v="https://www.tiktok.com/@anaiswairyy/video/7471353868702502166?lang=en"/>
        <s v="https://www.tiktok.com/@dounsbnl/video/7473150812873788674?_t=ZN-8u36zKwjrx0&amp;_r=1"/>
        <s v="https://www.tiktok.com/@lolatagliaferroo/video/7473819808870534422?lang=en"/>
        <s v="https://www.tiktok.com/@paupibeauty/video/7473538347969875222?_r=1&amp;_t=ZN-8u4tYDuW4wQ"/>
        <s v="https://www.tiktok.com/@perrine.trp/video/7476172058406194454?lang=en"/>
        <s v="https://www.tiktok.com/@eloiseaubeneauu/video/7482020827924401451"/>
        <s v="https://www.tiktok.com/@julianebernard/video/7496568197135486230?_r=1&amp;_t=ZN-8vmOTilRwgg"/>
        <s v="https://www.tiktok.com/@iimslma/video/7485792482345618710?_r=1&amp;_t=ZN-8uz1T2hjhy6"/>
        <s v="https://www.tiktok.com/@dounsbnl/video/7476794031935147286"/>
        <s v="https://www.tiktok.com/@eloiseaubeneauu/video/7495738839487581470?_t=ZP-8viaG7wegWt&amp;_r=1"/>
        <s v="https://www.tiktok.com/@lilyy.nl/video/7493984160173034774"/>
        <s v="https://www.tiktok.com/@ttemarine/video/7495056234014379266"/>
        <s v="https://www.tiktok.com/@ttemarine/video/7494670749865757974"/>
        <s v="https://www.tiktok.com/@julianebernard/video/7493986086654315798?lang=en"/>
        <s v="https://www.tiktok.com/@paupibeauty/video/7493948630144011542"/>
        <s v="https://www.tiktok.com/@lavishhcam/video/7495428391882198295"/>
        <s v="https://www.tiktok.com/@la_gur/video/7499405044245204246?lang=en"/>
        <s v="https://www.tiktok.com/@sarah.bdii/video/7499149208293788950"/>
        <s v="https://www.tiktok.com/@jasmiinelife/video/7499164614366645526?lang=en"/>
        <s v="https://www.tiktok.com/@ttemarine/video/7499519504368569622"/>
        <s v="https://www.tiktok.com/@lovelymorgane/video/7499894490853821718?_r=1&amp;_t=8kth38xkh3x"/>
        <s v="https://www.tiktok.com/@arwen.arwen1/video/7506934371669101846?lang=en"/>
        <s v="https://www.tiktok.com/@farahdisiaque/video/7505057972834372886"/>
        <s v="https://www.tiktok.com/@paupibeauty/video/7506557930817277206?_t=ZN-8wW7MsM3mNy&amp;_r=1"/>
        <s v="https://www.tiktok.com/@lavishhcam/video/7505069359010794774"/>
        <s v="https://www.tiktok.com/@paupibeauty/video/7507679880100810007?_r=1&amp;_t=ZN-8wbG54dkxtO"/>
        <s v="https://www.tiktok.com/@iam.sissou/video/7526589360469265686?is_from_webapp=1&amp;sender_device=pc&amp;web_id=7504317976587437590"/>
        <s v="https://www.tiktok.com/@mary.zhh/video/7462430581402520854"/>
        <s v="https://www.tiktok.com/@mary.zhh/video/7460561651675303190"/>
        <s v="https://www.tiktok.com/@paupibeauty/video/7439768252269546785?_r=1&amp;_t=8raH38QLVtG"/>
        <s v="https://www.tiktok.com/@amani_mee/video/7494728696528522518"/>
        <s v="https://vm.tiktok.com/ZNdPeJgF7/"/>
        <s v="https://www.tiktok.com/@ttemarine/video/7522142648207936790?_t=ZN-8xfVHZaTphe&amp;_r=1"/>
        <s v="https://www.tiktok.com/@iam.sissou/video/7513475563936369942"/>
        <s v="https://www.tiktok.com/@iimslma/video/7522888104374701335"/>
        <s v="https://drive.google.com/drive/folders/19ToYFCpY-wQNqLL1X6hkS610Je7ZJWpH?usp=sharing"/>
        <s v="https://drive.google.com/drive/folders/1cqb0DvHrI2AEf5Y1mODPl-Wb-x2ZpIBF?usp=sharing"/>
        <s v="https://www.tiktok.com/@shaa_dl/video/7525111945536523542?_r=1&amp;_t=ZN-8xwa2XIbgXO"/>
        <s v="https://www.instagram.com/p/DL9s1T-ucxx/?hl=fr"/>
        <s v="https://www.tiktok.com/@___oraane/video/7525503490924416279"/>
        <s v="https://www.tiktok.com/@julianebernard/video/7522838166227864854?lang=en"/>
        <s v="https://www.tiktok.com/@laudewit/video/7519192074919365920"/>
        <s v="https://www.tiktok.com/@asmaenel/video/7526542702301826326?is_from_webapp=1&amp;sender_device=pc&amp;web_id=7504317976587437590"/>
        <s v="https://www.tiktok.com/@shaa_dl/video/7525111987638979862?_r=1&amp;_t=ZN-8xwa1oeBxCQ"/>
        <s v="https://www.tiktok.com/@juliette.pn/video/7525473712418622742?is_from_webapp=1&amp;sender_device=pc&amp;web_id=7504317976587437590"/>
        <s v="https://www.tiktok.com/@laudewit/video/7525483945366998305"/>
        <s v="https://www.tiktok.com/@julianebernard/video/7526982773156924694?_r=1&amp;_t=ZN-8y1f4d2rh1K"/>
        <s v="https://www.tiktok.com/@la_gur/video/7528400374802173206"/>
        <s v="https://www.tiktok.com/@paupibeauty/video/7529220565756857622"/>
        <s v="https://vm.tiktok.com/ZNHp1gFdSuU6L-Orqzs/"/>
        <s v="https://www.tiktok.com/@melissa.pndd/video/7526574135296773398?is_from_webapp=1&amp;sender_device=pc&amp;web_id=7504317976587437590"/>
        <s v="https://www.tiktok.com/@laudewit/video/7529089646714735905"/>
        <s v="https://www.tiktok.com/@guenaire/video/7532570588146076950"/>
        <s v="https://www.tiktok.com/@laudewit/video/7525765188893674784"/>
        <s v="https://www.tiktok.com/@sarah.bdii/video/7516951979084598550"/>
        <s v="https://www.tiktok.com/@anaiswairyy/video/7466167514402229526?lang=en"/>
        <s v="https://www.tiktok.com/@melissa.pndd/video/7514352561562946838"/>
        <s v="https://vm.tiktok.com/ZNdyXTXHb/"/>
        <s v="https://www.instagram.com/reel/DLc5EB4ogna/?utm_source=ig_web_copy_link"/>
        <s v="https://www.tiktok.com/@glennwolff/video/7517353745353559318?is_from_webapp=1&amp;sender_device=pc&amp;web_id=7504317976587437590"/>
        <s v="https://www.instagram.com/reel/DLXs9HIijUX/?utm_source=ig_web_copy_link&amp;igsh=MzEyc2ZyNmFwZTMw"/>
        <s v="https://www.tiktok.com/@lolatagliaferroo/video/7520567485473492246?is_from_webapp=1&amp;sender_device=pc&amp;web_id=7504317976587437590"/>
        <s v="https://www.tiktok.com/@melissa.pndd/video/7519911199744494850?is_from_webapp=1&amp;sender_device=pc&amp;web_id=7504317976587437590"/>
        <s v="https://www.tiktok.com/@___oraane/video/7518063433611480343?_t=ZN-8xMoEPKM08s&amp;_r=1"/>
        <s v="https://www.tiktok.com/@paupibeauty/video/7521283052488641814?is_from_webapp=1&amp;sender_device=pc&amp;web_id=7504317976587437590"/>
        <s v="https://www.tiktok.com/@sarah.bdii/video/7532173540204891414"/>
        <s v="https://www.tiktok.com/@shaa_dl/video/7414067609177476384"/>
        <s v="https://www.tiktok.com/@shaa_dl/video/7430530285852167457"/>
        <s v="https://www.tiktok.com/@shaa_dl/video/7456916860278295830?_t=ZN-8sqlAIVsOJS&amp;_r=1"/>
        <s v="https://www.tiktok.com/@amandambt_/video/7483639690327788822?lang=en"/>
        <s v="La première à 1 min 17 https://vm.tiktok.com/ZNdMWypK4/ La seconde à 1 min 32 https://vm.tiktok.com/ZNdMWUM5e/"/>
        <s v="https://www.instagram.com/reel/DFqvAlCNUMN/"/>
        <s v="https://www.tiktok.com/@arwen.arwen1/video/7453509821812280598?lang=en"/>
        <s v="https://www.tiktok.com/@arwen.arwen1/video/7453509775200980246?lang=en"/>
        <s v="https://www.tiktok.com/@arwen.arwen1/video/7453530509163973910?lang=en"/>
        <s v="https://www.tiktok.com/@lavishhcam/video/7372599354646957344"/>
        <s v="https://www.tiktok.com/@lavishhcam/video/7370721490632772896?lang=en"/>
        <s v="https://www.tiktok.com/@lavishhcam/video/7374120668813659425"/>
        <s v="https://vm.tiktok.com/ZGeGrsEfX/"/>
        <s v="https://www.tiktok.com/@lavishhcam/video/7392636437163773217"/>
        <s v="https://www.tiktok.com/@lavishhcam/video/7401082023797902625?lang=en"/>
        <s v="https://www.tiktok.com/@lavishhcam/video/7401156666479119649?lang=en"/>
        <s v="https://www.tiktok.com/@lavishhcam/video/7415270528665046305?lang=en"/>
        <s v="https://www.tiktok.com/@lavishhcam/video/7414065973084359968?lang=en"/>
        <s v="https://www.tiktok.com/@lavishhcam/video/7421861704159464736?lang=en"/>
        <s v="https://www.tiktok.com/@lavishhcam/video/7421578850808646944"/>
        <s v="https://www.tiktok.com/@lavishhcam/video/7424528927714020641"/>
        <s v="https://tiktok.com/@lavishhcam/video/7428536491384638753"/>
        <s v="https://www.tiktok.com/@lavishhcam/video/7431968536773299489"/>
        <s v="https://www.tiktok.com/@lavishhcam/video/7431640311199255840"/>
        <s v="https://www.tiktok.com/@lavishhcam/video/7442372621200575776"/>
        <s v="https://www.tiktok.com/@lavishhcam/video/7451273510346820886"/>
        <s v="https://www.tiktok.com/@lavishhcam/video/7465046952749616406"/>
        <s v="https://www.tiktok.com/@lavishhcam/video/7462439461763157270"/>
        <s v="https://www.tiktok.com/@lavishhcam/video/7467602307832745238?_r=1&amp;_t=ZN-8tpZSV3gUPG"/>
        <s v="https://www.tiktok.com/@lavishhcam/video/7481621153107217686?_t=ZN-8ufuB4coZpW&amp;_r=1"/>
        <s v="https://www.tiktok.com/@lavishhcam/video/7480248461112216854?_t=ZN-8uksUX9QNRG&amp;_r=1"/>
        <s v="https://www.tiktok.com/@lavishhcam/video/7395231761887759649?lang=en"/>
        <s v="https://www.tiktok.com/@lavishhcam/video/7398186484789988641?lang=en"/>
        <s v="https://www.tiktok.com/@lavishhcam/video/7365759408892103969?lang=en"/>
        <s v="https://www.tiktok.com/@lavishhcam/video/7401530328214441248?lang=en"/>
        <s v="https://www.tiktok.com/@lavishhcam/video/7394844935842778400?lang=en"/>
        <s v="https://www.tiktok.com/@chiaraaaa.bnc/video/7391983750164319520?_r=1&amp;_t=8o3MXv1mvZJ"/>
        <s v="https://www.tiktok.com/@chiaraaaa.bnc/video/7394423173132913952"/>
        <s v="https://www.tiktok.com/@chiaraaaa.bnc/video/7405297473117310240"/>
        <s v="https://www.tiktok.com/@chiaraaaa.bnc/video/7404583889974480161"/>
        <s v="https://www.tiktok.com/@chiaraaaa.bnc/video/7416745525149584673"/>
        <s v="https://www.tiktok.com/@chiaraaaa.bnc/video/7415682356973014305?_r=1&amp;_t=8pnu1Dc4LKK"/>
        <s v="https://www.tiktok.com/@chiaraaaa.bnc/video/7426062687051713824?lang=en"/>
        <s v="https://www.tiktok.com/@chiaraaaa.bnc/video/7429003433572715809?lang=en"/>
        <s v="https://www.tiktok.com/@dounsbnl/video/7431205107913493793"/>
        <s v="https://www.tiktok.com/@dounsbnl/video/7474747644808613142"/>
        <s v="https://www.instagram.com/p/DHT2-JnIB-6/"/>
        <s v="https://www.instagram.com/reel/DJMIRWMoL9E/?igsh=MTY5bnFnZW5mZGI2dA=="/>
        <s v="https://www.tiktok.com/@eloiseaubeneauu/video/7483491441663036718?_t=ZT-8uoTJcOEruw&amp;_r=1"/>
        <s v="https://www.tiktok.com/@eloiseaubeneauu/video/7507226915682389279"/>
        <s v="https://www.instagram.com/reel/DJPcuR3Idt7/?igsh=OW9lOXZyc2hucGI="/>
        <s v="https://www.tiktok.com/@farahdisiaque/video/7483922941864955158?_t=ZN-8uqT7rbpmb8&amp;_r=1"/>
        <s v="c"/>
        <s v="https://www.tiktok.com/@bleulividee/video/7372251599776877856"/>
        <s v="https://vm.tiktok.com/ZGepDFE5y/"/>
        <s v="https://www.tiktok.com/@bleulividee/video/7391910299361709344"/>
        <s v="https://www.tiktok.com/@bleulividee/video/7392682253026970912"/>
        <s v="https://www.tiktok.com/@bleulividee/video/7410370727486049568"/>
        <s v="https://www.tiktok.com/@bleulividee/video/7375559768552770849"/>
        <s v="https://www.tiktok.com/@bleulividee/video/7393388652753194273"/>
        <s v="https://www.tiktok.com/@bleulividee/video/7397487380388744480"/>
        <s v="https://www.tiktok.com/@bleulividee/video/7365539403646651680"/>
        <s v="https://www.tiktok.com/@la_gur/photo/7457999858377428246?lang=en"/>
        <s v="https://www.tiktok.com/@la_gur/video/7485089693206433046?lang=en"/>
        <s v="https://www.tiktok.com/@la_gur/video/7495733948685815062?lang=en"/>
        <s v="https://drive.google.com/drive/folders/1bllXfbrb3bUB07wpoG2Ebl0SK0IzuWTC?usp=sharing"/>
        <s v="https://www.tiktok.com/@hidaya_bl/video/7484394919600213270"/>
        <s v="https://www.tiktok.com/@iman_cvls/video/7397858754177551649"/>
        <s v="https://www.tiktok.com/@iman_cvls/video/7404463230673849633"/>
        <s v="https://www.tiktok.com/@iman_cvls/video/7414564750392184096"/>
        <s v="https://www.tiktok.com/@iman_cvls/video/7430007298031930656?lang=en"/>
        <s v="https://www.tiktok.com/@iman_cvls/video/7442289270481636640?lang=en"/>
        <s v="https://www.tiktok.com/@iman_cvls/video/7458583066676710678?_t=ZN-8syYtKZMQGF&amp;_r=1"/>
        <s v="https://vm.tiktok.com/ZNdrMWKU9/   https://vm.tiktok.com/ZNdrMbUmK/&#10;"/>
        <s v="https://www.tiktok.com/@iman_cvls/video/7405646497515113761"/>
        <s v="https://www.tiktok.com/@jasmiinelife/video/7402157667159969057"/>
        <s v="https://www.tiktok.com/@jasmiinelife/video/7398942773430308128"/>
        <s v="https://www.tiktok.com/@jasmiinelife/video/7411133691189071137"/>
        <s v="https://www.tiktok.com/@jasmiinelife/video/7431849329335209249?_t=8qzxJsLvUuH&amp;_r=1"/>
        <s v="https://www.tiktok.com/@jasmiinelife/video/7481342810977881366?_r=1&amp;_t=ZN-8ued6vIUIJa"/>
        <s v="https://www.tiktok.com/@jasmiinelife/video/7478010649835064598?_t=ZN-8uksMc15EkI&amp;_r=1"/>
        <s v="https://vm.tiktok.com/ZNdr6BsyX/"/>
        <s v="https://www.tiktok.com/@jasmiinelife/video/7406012010816638240"/>
        <s v="https://www.instagram.com/reel/DAEGiSUicZy/"/>
        <s v="https://www.tiktok.com/@jeanne_bayart/video/7405111060274924832"/>
        <s v="https://www.tiktok.com/@jeanne_bayart/video/7401629838697565472"/>
        <s v="https://www.instagram.com/reel/DHYZokMIocA/?igsh=MXJmNGNqYzdlNjZ6eg%3D%3D"/>
        <s v="https://www.tiktok.com/@jessicadcstr/video/7374052571708771616"/>
        <s v="https://www.tiktok.com/@jessicadcstr/video/7375545597094464801"/>
        <s v="https://www.tiktok.com/@jessicadcstr/video/7388534640631450913"/>
        <s v="https://www.tiktok.com/@jessicadcstr/video/7389326468137995552"/>
        <s v="https://www.tiktok.com/@jessicadcstr/video/7402283442785766688"/>
        <s v="https://www.tiktok.com/@jessicadcstr/video/7400003750661819681"/>
        <s v="https://www.tiktok.com/@jessicadcstr/video/7401184127703108897"/>
        <s v="https://www.tiktok.com/@jessicadcstr/video/7379634512625487137"/>
        <s v="https://www.tiktok.com/@jessicadcstr/video/7370005908706921761?q=jessicadcstr%20aromazone&amp;t=1716383408647"/>
        <s v="https://www.tiktok.com/@julianebernard/video/7375950922876194080"/>
        <s v="https://www.tiktok.com/@julianebernard/video/7394526025591409952"/>
        <s v="https://www.tiktok.com/@julianebernard/video/7415662953526988065"/>
        <s v="https://www.tiktok.com/@julianebernard/video/7422201837324979489"/>
        <s v="https://www.tiktok.com/@julianebernard/video/7423819976387218720?lang=en"/>
        <s v="https://www.tiktok.com/@julianebernard/video/7428654055754353952?lang=en"/>
        <s v="https://www.tiktok.com/@julianebernard/video/7431227139405466912?lang=en"/>
        <s v="https://www.tiktok.com/@julianebernard/video/7470566844924005654?lang=en"/>
        <s v="https://www.tiktok.com/@julianebernard/video/7480957956545203478?_t=ZN-8uflzHw9hd0&amp;_r=1"/>
        <s v="https://www.tiktok.com/@julianebernard/video/7483144981474053398?_r=1&amp;_t=ZN-8umtSsTCOtq"/>
        <s v="https://www.tiktok.com/@julianebernard/video/7505188044769611030?_r=1&amp;_t=ZN-8wUPhwBCpra"/>
        <s v="https://www.tiktok.com/@julianebernard/video/7387355316817612064"/>
        <s v="https://www.tiktok.com/@laurieespamm/video/7373977897394048289"/>
        <s v="https://www.tiktok.com/@laurieespamm/video/7372894690884029729"/>
        <s v="https://www.tiktok.com/@laurieespamm/video/7385220213458980129"/>
        <s v="https://www.tiktok.com/@laurieespamm/video/7403685503830084896?_r=1&amp;_t=8ouxXOOFEH3"/>
        <s v="https://www.tiktok.com/@laurieespamm/video/7385584137039596833"/>
        <s v="https://www.tiktok.com/@lilyy.nl/video/7372250529398836512"/>
        <s v="https://www.tiktok.com/@lilyy.nl/video/7374127349601701153"/>
        <s v="https://www.tiktok.com/@lilyy.nl/video/7377465554560453921"/>
        <s v="https://www.tiktok.com/@lilyy.nl/video/7382595650866662688"/>
        <s v="https://www.tiktok.com/@lilyy.nl/video/7387413713944333601"/>
        <s v="https://www.tiktok.com/@lilyy.nl/video/7398197901182111008"/>
        <s v="https://www.tiktok.com/@lilyy.nl/video/7400071344089533728"/>
        <s v="https://www.tiktok.com/@lilyy.nl/video/7401181475330198816"/>
        <s v="https://www.tiktok.com/@lilyy.nl/video/7416387740951956768"/>
        <s v="https://www.tiktok.com/@lilyy.nl/video/7414163405205982497"/>
        <s v="https://www.tiktok.com/@lilyy.nl/video/7424229467951729953"/>
        <s v="https://www.tiktok.com/@lilyy.nl/video/7421229015719103776"/>
        <s v="https://www.tiktok.com/@lilyy.nl/video/7432644019890539808"/>
        <s v="https://www.tiktok.com/@lilyy.nl/video/7467121622500003094"/>
        <s v="https://www.tiktok.com/@lilyy.nl/video/7465615921470557462"/>
        <s v="https://www.tiktok.com/@lilyy.nl/video/7473378357531397398?_t=ZN-8uecd1X7Rby&amp;_r=1"/>
        <s v="https://www.tiktok.com/@lilyy.nl/video/7381865050685934881"/>
        <s v="https://www.tiktok.com/@lilyy.nl/video/7397468947290918176"/>
        <s v="https://www.tiktok.com/@lilyy.nl/video/7355571660520426784?q=lilyy.nl%20aromazone&amp;t=1716382679417"/>
        <s v="https://www.tiktok.com/@lilyy.nl/video/7407474534565154081"/>
        <s v="www.tiktok.com/@lilyy.nl/video/7402233435932216608?cid=NzQwMjIzNDY4NzAzMDE5OTA3Mg"/>
        <s v="https://www.tiktok.com/@lina.mkrn2/video/7384054300869217569?browserMode=1"/>
        <s v="https://www.tiktok.com/@liserdg/video/7399262478896614689"/>
        <s v="https://www.tiktok.com/@liserdg/video/7399698677285014817"/>
        <s v="https://www.tiktok.com/@liserdg/video/7404521868960501024"/>
        <s v="https://www.tiktok.com/@liserdg/video/7407523195101728033"/>
        <s v="https://www.tiktok.com/@liserdg/video/7418260695130623264"/>
        <s v="https://www.tiktok.com/@liserdg/video/7420486871957998880"/>
        <s v="https://www.tiktok.com/@liserdg/video/7431256738801667360?lang=en"/>
        <s v="https://www.tiktok.com/@liserdg/video/7441653570472135969?_t=8riqrKU7tr6&amp;_r=1"/>
        <s v="https://www.tiktok.com/@liserdg/video/7408641991967378720"/>
        <s v="https://www.tiktok.com/@liserdg/video/7381070326211317025"/>
        <s v="https://tiktok.com/@liserdg/video/7422323883673423136"/>
        <s v="https://www.tiktok.com/@lolatagliaferroo/video/7388560111800749345"/>
        <s v="https://www.tiktok.com/@lolatagliaferroo/video/7417167690537717024"/>
        <s v="https://www.tiktok.com/@lolatagliaferroo/video/7417539584071830816"/>
        <s v="https://www.tiktok.com/@lolatagliaferroo/video/7428671047366348065?lang=en"/>
        <s v="https://www.tiktok.com/@lolatagliaferroo/video/7445278458680266006?lang=en"/>
        <s v="https://www.tiktok.com/@melf.fnt/video/7372218331379666209"/>
        <s v="https://www.tiktok.com/@melf.fnt/video/7370750286744292641"/>
        <s v="https://www.tiktok.com/@melf.fnt/video/7383665768757579041"/>
        <s v="https://www.tiktok.com/@melf.fnt/video/7384078329554423073"/>
        <s v="https://www.tiktok.com/@melf.fnt/video/7388460088819797280"/>
        <s v="https://www.tiktok.com/@melf.fnt/video/7391885588057656609"/>
        <s v="https://www.tiktok.com/@melf.fnt/video/7399939773575613728"/>
        <s v="https://www.tiktok.com/@melf.fnt/video/7416390437692280096"/>
        <s v="https://www.tiktok.com/@melf.fnt/video/7415636160636013856"/>
        <s v="https://www.tiktok.com/@melf.fnt/video/7417407814903057697"/>
        <s v="https://www.tiktok.com/@melf.fnt/video/7422664116545801504"/>
        <s v="https://www.tiktok.com/@melf.fnt/video/7431619697042296096"/>
        <s v="https://www.tiktok.com/@melf.fnt/video/7428571977918500128"/>
        <s v="https://www.tiktok.com/@melf.fnt/video/7375924184494476577"/>
        <s v="https://www.tiktok.com/@melf.fnt/video/7395873680867233057"/>
        <s v="https://www.tiktok.com/@melf.fnt/video/7364824274315529505"/>
        <s v="https://www.tiktok.com/@melf.fnt/video/7400756804549971232"/>
        <s v="https://www.tiktok.com/@morgane.mrckk/video/7384031967643307296"/>
        <s v="https://www.tiktok.com/@morgane.mrckk/video/7402654625314196769"/>
        <s v="https://www.tiktok.com/@morgane.mrckk/video/7414534348910775584"/>
        <s v="https://www.tiktok.com/@morgane.mrckk/video/7413431476252970272"/>
        <s v="https://www.tiktok.com/@morgane.mrckk/video/7412302749104114977"/>
        <s v="https://www.tiktok.com/@morgane.mrckk/video/7423352236501241121"/>
        <s v="https://www.tiktok.com/@morgane.mrckk/video/7424156968429833504?lang=en"/>
        <s v="https://www.tiktok.com/@morgane.mrckk/video/7436771318671953185?lang=en"/>
        <s v="https://www.tiktok.com/@morgane.mrckk/video/7385545243870973216"/>
        <s v="https://www.tiktok.com/@morgane.mrckk/video/7397382935453764896"/>
        <s v="https://www.tiktok.com/@morgane.mrckk/video/7381070101392477472"/>
        <s v="https://www.tiktok.com/@morgane.mrckk/video/7416632134347033889"/>
        <s v="https://www.instagram.com/p/DF3IS0nN9_G/?img_index=1"/>
        <s v="https://www.instagram.com/p/DHTVmb9tQrc/"/>
        <s v="https://www.instagram.com/p/DJtb4I3NWCt/?img_index=1&amp;igsh=cHBsdGw3bjhsaTd2"/>
        <s v="https://www.tiktok.com/@___oraane/video/7370306532183002401"/>
        <s v="https://www.tiktok.com/@___oraane/video/7385808181940784417"/>
        <s v="https://www.tiktok.com/@___oraane/video/7396281714101734689"/>
        <s v="https://www.tiktok.com/@___oraane/video/7398824092297612576"/>
        <s v="https://www.tiktok.com/@___oraane/video/7408970007402663200"/>
        <s v="https://www.tiktok.com/@___oraane/video/7422246939724385569?lang=en"/>
        <s v="https://www.tiktok.com/@___oraane/video/7427080640987712800?lang=en"/>
        <s v="https://www.tiktok.com/@___oraane/video/7476554634371337495?_t=ZN-8uksMQy8spa&amp;_r=1"/>
        <s v="https://www.tiktok.com/@___oraane/video/7497260335687142678?_r=1&amp;_t=ZN-8wK7rhJ1GDe"/>
        <s v="https://www.tiktok.com/@___oraane/video/7375468422068571424?_r=1&amp;_t=8krP3tfqVUH"/>
        <s v="https://www.tiktok.com/@___oraane/video/7410372109068766496"/>
        <s v="https://www.tiktok.com/@paupibeauty/video/7376008068775120160"/>
        <s v="https://vm.tiktok.com/ZGeb3qMjG/"/>
        <s v="https://www.tiktok.com/@paupibeauty/video/7388913023471176993"/>
        <s v="https://www.tiktok.com/@paupibeauty/video/7391913188587048224"/>
        <s v="https://www.tiktok.com/@paupibeauty/video/7391464252877442336"/>
        <s v="https://www.tiktok.com/@paupibeauty/video/7399701843338612001?_r=1&amp;_t=8ocjkRHNArg"/>
        <s v="https://www.tiktok.com/@paupibeauty/video/7397104051248188704"/>
        <s v="https://www.tiktok.com/@paupibeauty/video/7409632617487699233?_r=1&amp;_t=8pifPT1JA5h"/>
        <s v="https://www.tiktok.com/@paupibeauty/video/7422233100345806113?_r=1&amp;_t=8qHw0Tc0W3d"/>
        <s v="https://www.tiktok.com/@paupibeauty/video/7433470283073244449"/>
        <s v="https://vm.tiktok.com/ZGdLKEWpH/"/>
        <s v="https://www.tiktok.com/@paupibeauty/video/7469447565080005910"/>
        <s v="https://www.tiktok.com/@paupibeauty/video/7483230429919677718?_r=1&amp;u_code=db2iba9fkd722g&amp;preview_pb=0&amp;sharer_language=fr&amp;_d=e50dm7j0f1glif&amp;share_item_id=7483230429919677718&amp;source=h5_m&amp;timestamp=1742383722&amp;utm_source=copy&amp;tt_from=copy&amp;enable_checksum=1&amp;ut"/>
        <s v="https://vm.tiktok.com/ZNdr6B5df/  https://vm.tiktok.com/ZNdr62oeS/"/>
        <s v="https://www.tiktok.com/@paupibeauty/video/7390429662033251617"/>
        <s v="https://www.tiktok.com/@paupibeauty/video/7364899892755565857"/>
        <s v="https://www.tiktok.com/@paupibeauty/video/7400829639158992161"/>
        <s v="https://www.tiktok.com/@paupibeauty/video/7403338641294101793?_r=1&amp;_t=8otMyM33Aq9"/>
        <s v="https://www.tiktok.com/@paupibeauty/video/7419986303070129441"/>
        <s v="https://www.tiktok.com/@perrine.trp/video/7388970033046736161"/>
        <s v="https://www.tiktok.com/@perrine.trp/video/7391934268479425825"/>
        <s v="https://www.tiktok.com/@perrine.trp/video/7388938973533490465"/>
        <s v="https://www.tiktok.com/@perrine.trp/video/7404526978864270625"/>
        <s v="https://www.tiktok.com/@perrine.trp/video/7416397579652549920"/>
        <s v="https://www.tiktok.com/@perrine.trp/video/7420481706290990368"/>
        <s v="https://www.tiktok.com/@perrine.trp/video/7432357615906082081?lang=en"/>
        <s v="https://www.tiktok.com/@perrine.trp/video/7470594564579921174?_t=ZN-8trcT1kEJTq&amp;_r=1"/>
        <s v="https://www.tiktok.com/@romlabordelaise/photo/7374826918236949793?_d=secCgYIASAHKAESPgo8q9siUnZtyE0109XMp5dx3cMmVFVIaMGy%2BlAK8UtWtglSCdVgBy%2FzSdjJmzYWsISFC9%2B%2FlyF04TxmdiBEGgA%3D&amp;_r=1&amp;checksum=76ea1d67e0b71fc0c1e121f4b86c89eead08caa18274e51cbd7e8fffc4"/>
        <s v="https://www.tiktok.com/@romlabordelaise/video/7367768975154990369"/>
        <s v="https://www.tiktok.com/@iimslma/video/7437910864826486048?_r=1&amp;_t=8rRi7SCy1Ka"/>
        <s v="https://www.tiktok.com/@iimslma/video/7396769960623738145"/>
        <s v="https://www.tiktok.com/@iimslma/video/7403774825702886688"/>
        <s v="https://www.tiktok.com/@iimslma/video/7399725613407309089"/>
        <s v="https://www.tiktok.com/@iimslma/video/7400436730320456993"/>
        <s v="https://www.tiktok.com/@iimslma/video/7407485284817882401"/>
        <s v="https://www.tiktok.com/@iimslma/video/7412021525198425376"/>
        <s v="https://www.tiktok.com/@iimslma/video/7408622473912061216"/>
        <s v="https://www.tiktok.com/@iimslma/video/7413780170781347105"/>
        <s v="https://www.tiktok.com/@iimslma/video/7431628369067838753?lang=en"/>
        <s v="https://www.tiktok.com/@iimslma/video/7435745133313805601?_r=1&amp;_t=8rleTqgb0vG"/>
        <s v="https://www.tiktok.com/@iimslma/video/7468747433061944599?lang=en"/>
        <s v="https://www.tiktok.com/@iimslma/video/7468781724462337302?lang=en"/>
        <s v="https://www.tiktok.com/@iimslma/video/7472835179187424534?lang=en"/>
        <s v="https://www.tiktok.com/@iimslma/video/7481752779980147990?_t=ZN-8ugXSybaIEw&amp;_r=1"/>
        <s v="https://www.tiktok.com/@iimslma/video/7483594182083218710?_r=1&amp;_t=ZN-8uox8rOjAzm"/>
        <s v="https://vm.tiktok.com/ZNdrrBuVK/"/>
      </sharedItems>
    </cacheField>
    <cacheField name="X">
      <sharedItems containsBlank="1" containsMixedTypes="1" containsNumber="1" containsInteger="1">
        <m/>
        <n v="350.0"/>
        <n v="420.0"/>
        <n v="320.0"/>
        <s v="https://www.instagram.com/reel/DEKlEAhCcsg/"/>
        <s v="ANAIS-10 Il offre -10% de réduction sur une commande sans minimum d’achat, hors frais de port, valable jusqu’au 30/04/2025"/>
        <s v="envoyer facture en anglais"/>
        <s v="deja facture"/>
        <s v="500 médiat"/>
        <s v="dont 150 de médiat"/>
        <s v="envoyer facture en €"/>
        <s v="médiat à confirmer 202,50€"/>
        <s v="ajouter code promo"/>
        <s v="lien en bio"/>
        <s v="rembourser Produits"/>
        <s v="facture déjà envoyée"/>
        <s v="enlever 75 media à facturer plus tard"/>
        <s v="médiat à confirmer  67,50 €"/>
      </sharedItems>
    </cacheField>
    <cacheField name="Grapper" numFmtId="0">
      <sharedItems containsBlank="1">
        <s v="Oui"/>
        <s v="Non"/>
        <m/>
        <s v="Non "/>
      </sharedItems>
    </cacheField>
    <cacheField name="Date vente" numFmtId="164">
      <sharedItems containsNonDate="0" containsDate="1" containsString="0" containsBlank="1" minDate="2024-01-14T00:00:00Z" maxDate="2025-08-01T00:00:00Z">
        <d v="2024-03-01T00:00:00Z"/>
        <d v="2024-03-15T00:00:00Z"/>
        <m/>
        <d v="2024-03-30T00:00:00Z"/>
        <d v="2024-03-25T00:00:00Z"/>
        <d v="2024-04-08T00:00:00Z"/>
        <d v="2024-04-11T00:00:00Z"/>
        <d v="2024-03-21T00:00:00Z"/>
        <d v="2024-04-25T00:00:00Z"/>
        <d v="2024-04-19T00:00:00Z"/>
        <d v="2024-05-07T00:00:00Z"/>
        <d v="2024-05-06T00:00:00Z"/>
        <d v="2024-05-02T00:00:00Z"/>
        <d v="2024-05-13T00:00:00Z"/>
        <d v="2024-05-14T00:00:00Z"/>
        <d v="2024-03-20T00:00:00Z"/>
        <d v="2024-04-10T00:00:00Z"/>
        <d v="2024-05-30T00:00:00Z"/>
        <d v="2024-05-11T00:00:00Z"/>
        <d v="2024-04-30T00:00:00Z"/>
        <d v="2024-05-23T00:00:00Z"/>
        <d v="2024-05-16T00:00:00Z"/>
        <d v="2024-06-08T00:00:00Z"/>
        <d v="2024-06-20T00:00:00Z"/>
        <d v="2024-06-18T00:00:00Z"/>
        <d v="2024-06-12T00:00:00Z"/>
        <d v="2024-06-24T00:00:00Z"/>
        <d v="2024-06-11T00:00:00Z"/>
        <d v="2024-07-16T00:00:00Z"/>
        <d v="2024-07-25T00:00:00Z"/>
        <d v="2024-07-03T00:00:00Z"/>
        <d v="2024-06-17T00:00:00Z"/>
        <d v="2024-06-27T00:00:00Z"/>
        <d v="2024-07-06T00:00:00Z"/>
        <d v="2024-06-14T00:00:00Z"/>
        <d v="2024-07-24T00:00:00Z"/>
        <d v="2024-07-10T00:00:00Z"/>
        <d v="2024-08-01T00:00:00Z"/>
        <d v="2024-07-04T00:00:00Z"/>
        <d v="2024-07-23T00:00:00Z"/>
        <d v="2024-07-21T00:00:00Z"/>
        <d v="2024-08-06T00:00:00Z"/>
        <d v="2024-07-29T00:00:00Z"/>
        <d v="2024-07-30T00:00:00Z"/>
        <d v="2024-07-17T00:00:00Z"/>
        <d v="2024-08-02T00:00:00Z"/>
        <d v="2024-07-31T00:00:00Z"/>
        <d v="2024-08-21T00:00:00Z"/>
        <d v="2024-08-19T00:00:00Z"/>
        <d v="2024-08-13T00:00:00Z"/>
        <d v="2024-09-11T00:00:00Z"/>
        <d v="2024-08-16T00:00:00Z"/>
        <d v="2024-09-12T00:00:00Z"/>
        <d v="2024-08-23T00:00:00Z"/>
        <d v="2024-09-04T00:00:00Z"/>
        <d v="2025-05-20T00:00:00Z"/>
        <d v="2024-09-09T00:00:00Z"/>
        <d v="2024-08-28T00:00:00Z"/>
        <d v="2024-09-14T00:00:00Z"/>
        <d v="2024-09-13T00:00:00Z"/>
        <d v="2024-08-20T00:00:00Z"/>
        <d v="2024-09-26T00:00:00Z"/>
        <d v="2024-08-29T00:00:00Z"/>
        <d v="2025-05-13T00:00:00Z"/>
        <d v="2024-09-03T00:00:00Z"/>
        <d v="2024-09-27T00:00:00Z"/>
        <d v="2024-10-01T00:00:00Z"/>
        <d v="2025-05-07T00:00:00Z"/>
        <d v="2024-10-28T00:00:00Z"/>
        <d v="2024-09-10T00:00:00Z"/>
        <d v="2024-10-15T00:00:00Z"/>
        <d v="2024-10-29T00:00:00Z"/>
        <d v="2024-10-24T00:00:00Z"/>
        <d v="2024-10-02T00:00:00Z"/>
        <d v="2024-10-30T00:00:00Z"/>
        <d v="2024-10-14T00:00:00Z"/>
        <d v="2024-10-25T00:00:00Z"/>
        <d v="2024-11-05T00:00:00Z"/>
        <d v="2024-11-08T00:00:00Z"/>
        <d v="2024-11-04T00:00:00Z"/>
        <d v="2024-10-23T00:00:00Z"/>
        <d v="2024-11-29T00:00:00Z"/>
        <d v="2024-11-19T00:00:00Z"/>
        <d v="2024-12-09T00:00:00Z"/>
        <d v="2024-11-26T00:00:00Z"/>
        <d v="2024-11-25T00:00:00Z"/>
        <d v="2024-12-05T00:00:00Z"/>
        <d v="2024-12-16T00:00:00Z"/>
        <d v="2024-11-11T00:00:00Z"/>
        <d v="2024-12-03T00:00:00Z"/>
        <d v="2024-12-24T00:00:00Z"/>
        <d v="2025-02-20T00:00:00Z"/>
        <d v="2024-12-23T00:00:00Z"/>
        <d v="2025-01-07T00:00:00Z"/>
        <d v="2024-12-12T00:00:00Z"/>
        <d v="2025-01-21T00:00:00Z"/>
        <d v="2025-01-24T00:00:00Z"/>
        <d v="2025-01-17T00:00:00Z"/>
        <d v="2025-01-09T00:00:00Z"/>
        <d v="2025-01-27T00:00:00Z"/>
        <d v="2025-01-23T00:00:00Z"/>
        <d v="2024-10-22T00:00:00Z"/>
        <d v="2024-10-21T00:00:00Z"/>
        <d v="2025-01-22T00:00:00Z"/>
        <d v="2025-01-16T00:00:00Z"/>
        <d v="2025-02-12T00:00:00Z"/>
        <d v="2025-02-18T00:00:00Z"/>
        <d v="2025-01-29T00:00:00Z"/>
        <d v="2025-02-14T00:00:00Z"/>
        <d v="2025-02-15T00:00:00Z"/>
        <d v="2025-02-06T00:00:00Z"/>
        <d v="2025-02-21T00:00:00Z"/>
        <d v="2025-03-31T00:00:00Z"/>
        <d v="2025-02-26T00:00:00Z"/>
        <d v="2025-02-28T00:00:00Z"/>
        <d v="2025-02-25T00:00:00Z"/>
        <d v="2025-02-19T00:00:00Z"/>
        <d v="2025-03-11T00:00:00Z"/>
        <d v="2025-03-21T00:00:00Z"/>
        <d v="2025-03-12T00:00:00Z"/>
        <d v="2025-03-17T00:00:00Z"/>
        <d v="2025-03-24T00:00:00Z"/>
        <d v="2025-03-10T00:00:00Z"/>
        <d v="2025-03-14T00:00:00Z"/>
        <d v="2025-04-17T00:00:00Z"/>
        <d v="2025-03-16T00:00:00Z"/>
        <d v="2025-04-04T00:00:00Z"/>
        <d v="2025-04-07T00:00:00Z"/>
        <d v="2025-04-15T00:00:00Z"/>
        <d v="2025-04-25T00:00:00Z"/>
        <d v="2025-05-16T00:00:00Z"/>
        <d v="2025-04-14T00:00:00Z"/>
        <d v="2025-03-28T00:00:00Z"/>
        <d v="2025-03-06T00:00:00Z"/>
        <d v="2025-03-20T00:00:00Z"/>
        <d v="2025-04-09T00:00:00Z"/>
        <d v="2025-04-11T00:00:00Z"/>
        <d v="2025-03-13T00:00:00Z"/>
        <d v="2025-04-08T00:00:00Z"/>
        <d v="2025-04-30T00:00:00Z"/>
        <d v="2025-04-21T00:00:00Z"/>
        <d v="2025-06-02T00:00:00Z"/>
        <d v="2025-06-10T00:00:00Z"/>
        <d v="2025-03-30T00:00:00Z"/>
        <d v="2025-03-26T00:00:00Z"/>
        <d v="2025-06-20T00:00:00Z"/>
        <d v="2025-02-10T00:00:00Z"/>
        <d v="2025-05-19T00:00:00Z"/>
        <d v="2025-04-24T00:00:00Z"/>
        <d v="2025-06-26T00:00:00Z"/>
        <d v="2025-05-23T00:00:00Z"/>
        <d v="2025-05-06T00:00:00Z"/>
        <d v="2025-05-24T00:00:00Z"/>
        <d v="2025-06-05T00:00:00Z"/>
        <d v="2025-05-27T00:00:00Z"/>
        <d v="2025-06-12T00:00:00Z"/>
        <d v="2025-05-28T00:00:00Z"/>
        <d v="2025-06-16T00:00:00Z"/>
        <d v="2025-06-18T00:00:00Z"/>
        <d v="2025-06-11T00:00:00Z"/>
        <d v="2025-06-23T00:00:00Z"/>
        <d v="2025-02-03T00:00:00Z"/>
        <d v="2025-06-04T00:00:00Z"/>
        <d v="2025-05-22T00:00:00Z"/>
        <d v="2025-06-22T00:00:00Z"/>
        <d v="2025-07-16T00:00:00Z"/>
        <d v="2025-06-19T00:00:00Z"/>
        <d v="2025-07-01T00:00:00Z"/>
        <d v="2025-06-17T00:00:00Z"/>
        <d v="2025-06-13T00:00:00Z"/>
        <d v="2025-07-03T00:00:00Z"/>
        <d v="2024-10-18T00:00:00Z"/>
        <d v="2025-05-29T00:00:00Z"/>
        <d v="2025-06-30T00:00:00Z"/>
        <d v="2025-03-07T00:00:00Z"/>
        <d v="2024-09-08T00:00:00Z"/>
        <d v="2024-10-08T00:00:00Z"/>
        <d v="2024-11-13T00:00:00Z"/>
        <d v="2024-12-10T00:00:00Z"/>
        <d v="2024-12-04T00:00:00Z"/>
        <d v="2024-06-07T00:00:00Z"/>
        <d v="2024-05-31T00:00:00Z"/>
        <d v="2025-02-23T00:00:00Z"/>
        <d v="2024-11-07T00:00:00Z"/>
        <d v="2024-11-28T00:00:00Z"/>
        <d v="2024-12-18T00:00:00Z"/>
        <d v="2025-02-11T00:00:00Z"/>
        <d v="2025-02-07T00:00:00Z"/>
        <d v="2024-09-05T00:00:00Z"/>
        <d v="2024-12-13T00:00:00Z"/>
        <d v="2024-03-08T00:00:00Z"/>
        <d v="2024-04-22T00:00:00Z"/>
        <d v="2024-05-17T00:00:00Z"/>
        <d v="2024-04-24T00:00:00Z"/>
        <d v="2024-05-24T00:00:00Z"/>
        <d v="2024-07-19T00:00:00Z"/>
        <d v="2024-08-09T00:00:00Z"/>
        <d v="2024-07-01T00:00:00Z"/>
        <d v="2024-08-26T00:00:00Z"/>
        <d v="2024-09-17T00:00:00Z"/>
        <d v="2024-09-25T00:00:00Z"/>
        <d v="2024-09-30T00:00:00Z"/>
        <d v="2024-10-10T00:00:00Z"/>
        <d v="2024-12-02T00:00:00Z"/>
        <d v="2025-01-06T00:00:00Z"/>
        <d v="2025-01-13T00:00:00Z"/>
        <d v="2024-06-26T00:00:00Z"/>
        <d v="2024-08-07T00:00:00Z"/>
        <d v="2024-07-11T00:00:00Z"/>
        <d v="2024-09-16T00:00:00Z"/>
        <d v="2024-11-14T00:00:00Z"/>
        <d v="2024-03-22T00:00:00Z"/>
        <d v="2024-04-06T00:00:00Z"/>
        <d v="2024-04-07T00:00:00Z"/>
        <d v="2024-06-04T00:00:00Z"/>
        <d v="2024-10-11T00:00:00Z"/>
        <d v="2024-03-23T00:00:00Z"/>
        <d v="2024-04-04T00:00:00Z"/>
        <d v="2024-04-09T00:00:00Z"/>
        <d v="2024-05-21T00:00:00Z"/>
        <d v="2024-05-27T00:00:00Z"/>
        <d v="2024-08-27T00:00:00Z"/>
        <d v="2025-04-12T00:00:00Z"/>
        <d v="2024-02-28T00:00:00Z"/>
        <d v="2024-05-28T00:00:00Z"/>
        <d v="2024-09-23T00:00:00Z"/>
        <d v="2024-06-30T00:00:00Z"/>
        <d v="2024-09-20T00:00:00Z"/>
        <d v="2024-10-07T00:00:00Z"/>
        <d v="2024-03-27T00:00:00Z"/>
        <d v="2024-04-13T00:00:00Z"/>
        <d v="2024-04-27T00:00:00Z"/>
        <d v="2024-01-15T00:00:00Z"/>
        <d v="2024-01-14T00:00:00Z"/>
        <d v="2025-03-18T00:00:00Z"/>
        <d v="2024-05-18T00:00:00Z"/>
        <d v="2024-06-19T00:00:00Z"/>
        <d v="2024-10-09T00:00:00Z"/>
        <d v="2024-11-12T00:00:00Z"/>
        <d v="2024-12-19T00:00:00Z"/>
        <d v="2025-02-22T00:00:00Z"/>
        <d v="2024-03-26T00:00:00Z"/>
        <d v="2024-05-20T00:00:00Z"/>
        <d v="2024-07-08T00:00:00Z"/>
        <d v="2024-11-22T00:00:00Z"/>
        <d v="2024-10-31T00:00:00Z"/>
        <d v="2024-07-15T00:00:00Z"/>
        <d v="2024-09-24T00:00:00Z"/>
        <d v="2024-02-15T00:00:00Z"/>
        <d v="2024-04-26T00:00:00Z"/>
        <d v="2024-06-03T00:00:00Z"/>
        <d v="2024-04-12T00:00:00Z"/>
        <d v="2024-07-09T00:00:00Z"/>
        <d v="2024-09-29T00:00:00Z"/>
        <d v="2024-10-06T00:00:00Z"/>
        <d v="2024-10-16T00:00:00Z"/>
        <d v="2024-09-19T00:00:00Z"/>
        <d v="2024-03-28T00:00:00Z"/>
        <d v="2024-10-17T00:00:00Z"/>
        <d v="2025-04-29T00:00:00Z"/>
        <d v="2024-03-18T00:00:00Z"/>
        <d v="2024-08-14T00:00:00Z"/>
        <d v="2024-09-01T00:00:00Z"/>
        <d v="2024-11-15T00:00:00Z"/>
        <d v="2025-01-03T00:00:00Z"/>
        <d v="2024-07-18T00:00:00Z"/>
        <d v="2025-07-11T00:00:00Z"/>
        <d v="2025-07-18T00:00:00Z"/>
        <d v="2025-07-21T00:00:00Z"/>
        <d v="2025-07-22T00:00:00Z"/>
        <d v="2025-07-24T00:00:00Z"/>
        <d v="2025-07-25T00:00:00Z"/>
        <d v="2025-07-28T00:00:00Z"/>
        <d v="2025-06-24T00:00:00Z"/>
        <d v="2025-06-27T00:00:00Z"/>
        <d v="2025-01-31T00:00:00Z"/>
        <d v="2025-07-07T00:00:00Z"/>
        <d v="2025-07-09T00:00:00Z"/>
        <d v="2025-07-17T00:00:00Z"/>
        <d v="2025-07-29T00:00:00Z"/>
        <d v="2025-07-31T00:00:00Z"/>
      </sharedItems>
      <fieldGroup base="16">
        <rangePr autoStart="0" autoEnd="0" groupBy="months" startDate="2024-01-14T00:00:00Z" endDate="2025-08-01T00:00:00Z"/>
        <groupItems>
          <s v="&lt;01/14/24"/>
          <s v="Jan"/>
          <s v="Feb"/>
          <s v="Mar"/>
          <s v="Apr"/>
          <s v="May"/>
          <s v="Jun"/>
          <s v="Jul"/>
          <s v="Aug"/>
          <s v="Sep"/>
          <s v="Oct"/>
          <s v="Nov"/>
          <s v="Dec"/>
          <s v="&gt;08/01/25"/>
        </groupItems>
      </fieldGroup>
    </cacheField>
    <cacheField name="Commission" numFmtId="166">
      <sharedItems containsString="0" containsBlank="1" containsNumber="1">
        <n v="14.0"/>
        <m/>
        <n v="40.0"/>
        <n v="125.0"/>
        <n v="20.0"/>
        <n v="130.0"/>
        <n v="112.5"/>
        <n v="157.48"/>
        <n v="50.0"/>
        <n v="450.0"/>
        <n v="43.75"/>
        <n v="62.5"/>
        <n v="200.0"/>
        <n v="45.0"/>
        <n v="46.0"/>
        <n v="75.0"/>
        <n v="90.0"/>
        <n v="16.0"/>
        <n v="37.5"/>
        <n v="150.0"/>
        <n v="87.5"/>
        <n v="159.29999999999998"/>
        <n v="100.0"/>
        <n v="135.0"/>
        <n v="60.32"/>
        <n v="250.0"/>
        <n v="30.0"/>
        <n v="22.5"/>
        <n v="82.5"/>
        <n v="41.25"/>
        <n v="70.0"/>
        <n v="120.0"/>
        <n v="60.0"/>
        <n v="180.0"/>
        <n v="80.0"/>
        <n v="105.0"/>
        <n v="157.944"/>
        <n v="312.5"/>
        <n v="209.76000000000002"/>
        <n v="71.587"/>
        <n v="34.6"/>
        <n v="360.0"/>
        <n v="187.5"/>
        <n v="210.0"/>
        <n v="117.99"/>
        <n v="540.0"/>
        <n v="114.75"/>
        <n v="97.5"/>
        <n v="0.0"/>
        <n v="195.0"/>
        <n v="34.0"/>
        <n v="240.0"/>
        <n v="225.0"/>
        <n v="300.0"/>
        <n v="58.5"/>
        <n v="285.0"/>
        <n v="253.125"/>
        <n v="15.0"/>
        <n v="600.0"/>
        <n v="99.99999999999999"/>
        <n v="270.0"/>
        <n v="174.6"/>
        <n v="58.2"/>
        <n v="291.0"/>
        <n v="175.0"/>
        <n v="555.0"/>
        <n v="375.0"/>
        <n v="282.0"/>
        <n v="750.0"/>
        <n v="255.0"/>
        <n v="330.0"/>
        <n v="202.5"/>
        <n v="165.6"/>
        <n v="165.039"/>
        <n v="420.0"/>
        <n v="281.25"/>
        <n v="118.52699999999999"/>
        <n v="123.21600000000001"/>
        <n v="165.0"/>
        <n v="152.49"/>
        <n v="111.0"/>
        <n v="390.0"/>
        <n v="147.861"/>
        <n v="33.333333333333336"/>
        <n v="989.4"/>
        <n v="199.99999999999997"/>
        <n v="186.0"/>
        <n v="33.75"/>
        <n v="65.22"/>
        <n v="500.0"/>
        <n v="937.5"/>
        <n v="93.0"/>
        <n v="264.0"/>
        <n v="387.0"/>
        <n v="252.0"/>
        <n v="180.6"/>
        <n v="57.0"/>
        <n v="1733.0"/>
        <n v="140.0"/>
        <n v="25.0"/>
        <n v="56.25"/>
        <n v="235.0"/>
        <n v="26.0"/>
        <n v="28.8"/>
        <n v="280.0"/>
        <n v="900.0"/>
        <n v="1350.0"/>
        <n v="176.4"/>
        <n v="117.8175"/>
        <n v="67.5"/>
        <n v="630.0"/>
        <n v="765.0"/>
        <n v="384.0"/>
      </sharedItems>
    </cacheField>
  </cacheFields>
</pivotCacheDefinition>
</file>

<file path=xl/pivotCache/pivotCacheDefinition6.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R1405" sheet="Global1"/>
  </cacheSource>
  <cacheFields>
    <cacheField name="Talent" numFmtId="0">
      <sharedItems containsBlank="1">
        <s v="Pauline"/>
        <s v="Chiara"/>
        <s v="Melissa"/>
        <s v="Camille"/>
        <s v="Lily Noël"/>
        <s v="Lina"/>
        <s v="Flavie"/>
        <s v="Jessica"/>
        <s v="Orane"/>
        <s v="Lola"/>
        <s v="Juliane"/>
        <s v="Alice"/>
        <s v="Laurie"/>
        <s v="Perrine"/>
        <s v="Morgane"/>
        <s v="Lise"/>
        <s v="Jeanne"/>
        <s v="Mary"/>
        <s v="Melissa P"/>
        <s v="Anaïs"/>
        <s v="Salma"/>
        <s v="Aïcha"/>
        <s v="Jasmine"/>
        <s v="Asmae"/>
        <s v="Rachel"/>
        <s v="Arwen"/>
        <s v="Iman"/>
        <s v="Moped"/>
        <s v="Dounia"/>
        <s v="Gurbet"/>
        <s v="Amani"/>
        <s v="Hidaya"/>
        <s v="Sirine"/>
        <s v="Eloise"/>
        <s v="Imane"/>
        <s v="Marine"/>
        <s v="Sofia"/>
        <s v="Sarah"/>
        <s v="Eiliassa"/>
        <s v="Farah"/>
        <s v="Estelle"/>
        <s v="Juliette"/>
        <s v="Nidal"/>
        <s v="Lola H."/>
        <s v="Morgane C"/>
        <s v="Chloe"/>
        <s v="Laura"/>
        <s v="Lilou"/>
        <s v="Lily"/>
        <s v="Amanda"/>
        <s v="Glenn"/>
        <s v="--"/>
        <s v="Amelle"/>
        <s v="Angie"/>
        <s v="Fanny"/>
        <s v="Laurine"/>
        <s v="Marlène"/>
        <s v="Migos Media"/>
        <s v="Romane"/>
        <s v="Maeva"/>
        <s v="Gurbet "/>
        <s v="Juliette D"/>
        <s v="Laura F"/>
        <m/>
      </sharedItems>
    </cacheField>
    <cacheField name="Date Création" numFmtId="164">
      <sharedItems containsDate="1" containsString="0" containsBlank="1">
        <d v="2024-03-01T00:00:00Z"/>
        <d v="2024-03-15T00:00:00Z"/>
        <m/>
        <d v="2024-03-30T00:00:00Z"/>
        <d v="2024-03-25T00:00:00Z"/>
        <d v="2024-04-08T00:00:00Z"/>
        <d v="2024-04-11T00:00:00Z"/>
        <d v="2024-03-21T00:00:00Z"/>
        <d v="2024-04-25T00:00:00Z"/>
        <d v="2024-04-19T00:00:00Z"/>
        <d v="2024-05-07T00:00:00Z"/>
        <d v="2024-05-06T00:00:00Z"/>
        <d v="2024-05-02T00:00:00Z"/>
        <d v="2024-05-13T00:00:00Z"/>
        <d v="2024-05-14T00:00:00Z"/>
        <d v="2024-03-20T00:00:00Z"/>
        <d v="2024-04-10T00:00:00Z"/>
        <d v="2024-05-30T00:00:00Z"/>
        <d v="2024-05-11T00:00:00Z"/>
        <d v="2024-04-30T00:00:00Z"/>
        <d v="2024-05-23T00:00:00Z"/>
        <d v="2024-05-16T00:00:00Z"/>
        <d v="2024-06-08T00:00:00Z"/>
        <d v="2024-06-20T00:00:00Z"/>
        <d v="2024-06-18T00:00:00Z"/>
        <d v="2024-06-12T00:00:00Z"/>
        <d v="2024-06-24T00:00:00Z"/>
        <d v="2024-06-11T00:00:00Z"/>
        <d v="2024-07-16T00:00:00Z"/>
        <d v="2024-07-25T00:00:00Z"/>
        <d v="2024-07-03T00:00:00Z"/>
        <d v="2024-06-17T00:00:00Z"/>
        <d v="2024-06-27T00:00:00Z"/>
        <d v="2024-07-06T00:00:00Z"/>
        <d v="2024-06-14T00:00:00Z"/>
        <d v="2024-07-24T00:00:00Z"/>
        <d v="2024-07-10T00:00:00Z"/>
        <d v="2024-08-01T00:00:00Z"/>
        <d v="2024-07-04T00:00:00Z"/>
        <d v="2024-07-23T00:00:00Z"/>
        <d v="2024-07-21T00:00:00Z"/>
        <d v="2024-08-06T00:00:00Z"/>
        <d v="2024-07-29T00:00:00Z"/>
        <d v="2024-07-30T00:00:00Z"/>
        <d v="2024-07-17T00:00:00Z"/>
        <d v="2024-08-02T00:00:00Z"/>
        <d v="2024-07-31T00:00:00Z"/>
        <d v="2024-08-21T00:00:00Z"/>
        <d v="2024-08-19T00:00:00Z"/>
        <d v="2024-08-13T00:00:00Z"/>
        <d v="2024-09-11T00:00:00Z"/>
        <d v="2024-08-16T00:00:00Z"/>
        <d v="2024-09-12T00:00:00Z"/>
        <d v="2024-08-23T00:00:00Z"/>
        <d v="2024-09-04T00:00:00Z"/>
        <d v="2025-05-20T00:00:00Z"/>
        <d v="2024-09-09T00:00:00Z"/>
        <d v="2024-08-28T00:00:00Z"/>
        <d v="2024-09-14T00:00:00Z"/>
        <d v="2024-09-13T00:00:00Z"/>
        <d v="2024-08-20T00:00:00Z"/>
        <d v="2024-09-26T00:00:00Z"/>
        <d v="2024-08-29T00:00:00Z"/>
        <d v="2025-05-13T00:00:00Z"/>
        <d v="2024-09-03T00:00:00Z"/>
        <d v="2024-09-27T00:00:00Z"/>
        <d v="2024-10-01T00:00:00Z"/>
        <d v="2025-05-07T00:00:00Z"/>
        <d v="2024-10-28T00:00:00Z"/>
        <d v="2024-09-10T00:00:00Z"/>
        <d v="2024-10-15T00:00:00Z"/>
        <d v="2024-10-29T00:00:00Z"/>
        <d v="2024-10-24T00:00:00Z"/>
        <d v="2024-10-02T00:00:00Z"/>
        <d v="2024-10-30T00:00:00Z"/>
        <d v="2024-10-14T00:00:00Z"/>
        <d v="2024-10-25T00:00:00Z"/>
        <d v="2024-11-05T00:00:00Z"/>
        <d v="2024-11-08T00:00:00Z"/>
        <d v="2024-11-04T00:00:00Z"/>
        <d v="2024-10-23T00:00:00Z"/>
        <d v="2024-11-29T00:00:00Z"/>
        <d v="2024-11-19T00:00:00Z"/>
        <d v="2024-12-09T00:00:00Z"/>
        <d v="2024-11-26T00:00:00Z"/>
        <d v="2024-11-25T00:00:00Z"/>
        <d v="2024-12-05T00:00:00Z"/>
        <d v="2024-12-16T00:00:00Z"/>
        <d v="2024-11-11T00:00:00Z"/>
        <d v="2024-12-03T00:00:00Z"/>
        <d v="2024-12-24T00:00:00Z"/>
        <d v="2025-02-20T00:00:00Z"/>
        <d v="2024-12-23T00:00:00Z"/>
        <d v="2025-01-07T00:00:00Z"/>
        <d v="2024-12-12T00:00:00Z"/>
        <d v="2025-01-21T00:00:00Z"/>
        <d v="2025-01-24T00:00:00Z"/>
        <d v="2025-01-17T00:00:00Z"/>
        <d v="2025-01-09T00:00:00Z"/>
        <d v="2025-01-27T00:00:00Z"/>
        <d v="2025-01-23T00:00:00Z"/>
        <d v="2024-10-22T00:00:00Z"/>
        <d v="2024-10-21T00:00:00Z"/>
        <d v="2025-01-22T00:00:00Z"/>
        <d v="2025-01-16T00:00:00Z"/>
        <d v="2025-02-12T00:00:00Z"/>
        <d v="2025-02-18T00:00:00Z"/>
        <d v="2025-01-29T00:00:00Z"/>
        <d v="2025-02-14T00:00:00Z"/>
        <d v="2025-02-15T00:00:00Z"/>
        <d v="2025-02-06T00:00:00Z"/>
        <d v="2025-02-21T00:00:00Z"/>
        <d v="2025-03-31T00:00:00Z"/>
        <d v="2025-02-26T00:00:00Z"/>
        <d v="2025-02-28T00:00:00Z"/>
        <d v="2025-02-25T00:00:00Z"/>
        <d v="2025-02-19T00:00:00Z"/>
        <d v="2025-03-11T00:00:00Z"/>
        <d v="2025-03-21T00:00:00Z"/>
        <d v="2025-03-12T00:00:00Z"/>
        <d v="2025-03-17T00:00:00Z"/>
        <d v="2025-03-24T00:00:00Z"/>
        <d v="2025-03-10T00:00:00Z"/>
        <d v="2025-03-14T00:00:00Z"/>
        <d v="2025-04-17T00:00:00Z"/>
        <d v="2025-03-16T00:00:00Z"/>
        <d v="2025-04-04T00:00:00Z"/>
        <d v="2025-04-07T00:00:00Z"/>
        <d v="2025-04-15T00:00:00Z"/>
        <d v="2025-04-25T00:00:00Z"/>
        <d v="2025-05-16T00:00:00Z"/>
        <d v="2025-04-14T00:00:00Z"/>
        <d v="2025-03-28T00:00:00Z"/>
        <d v="2025-03-06T00:00:00Z"/>
        <d v="2025-03-20T00:00:00Z"/>
        <d v="2025-04-09T00:00:00Z"/>
        <d v="2025-04-11T00:00:00Z"/>
        <d v="2025-03-13T00:00:00Z"/>
        <d v="2025-04-08T00:00:00Z"/>
        <d v="2025-04-30T00:00:00Z"/>
        <d v="2025-04-21T00:00:00Z"/>
        <d v="2025-06-02T00:00:00Z"/>
        <d v="2025-06-10T00:00:00Z"/>
        <d v="2025-03-30T00:00:00Z"/>
        <d v="2025-03-26T00:00:00Z"/>
        <d v="2025-06-20T00:00:00Z"/>
        <d v="2025-02-10T00:00:00Z"/>
        <d v="2025-05-19T00:00:00Z"/>
        <d v="2025-04-24T00:00:00Z"/>
        <d v="2025-06-26T00:00:00Z"/>
        <d v="2025-05-23T00:00:00Z"/>
        <d v="2025-05-06T00:00:00Z"/>
        <d v="2025-05-24T00:00:00Z"/>
        <d v="2025-06-05T00:00:00Z"/>
        <d v="2025-05-27T00:00:00Z"/>
        <d v="2025-06-12T00:00:00Z"/>
        <d v="2025-05-28T00:00:00Z"/>
        <d v="2025-06-16T00:00:00Z"/>
        <d v="2025-06-18T00:00:00Z"/>
        <d v="2025-06-11T00:00:00Z"/>
        <d v="2025-06-23T00:00:00Z"/>
        <d v="2025-02-03T00:00:00Z"/>
        <d v="2025-06-04T00:00:00Z"/>
        <d v="2025-05-22T00:00:00Z"/>
        <d v="2025-06-22T00:00:00Z"/>
        <d v="2025-07-16T00:00:00Z"/>
        <d v="2025-06-19T00:00:00Z"/>
        <d v="2025-07-01T00:00:00Z"/>
        <d v="2025-06-17T00:00:00Z"/>
        <d v="2025-06-13T00:00:00Z"/>
        <d v="2025-07-03T00:00:00Z"/>
        <d v="2024-10-18T00:00:00Z"/>
        <d v="2025-05-29T00:00:00Z"/>
        <d v="2025-06-30T00:00:00Z"/>
        <d v="2025-03-07T00:00:00Z"/>
        <d v="2024-09-08T00:00:00Z"/>
        <d v="2024-10-08T00:00:00Z"/>
        <d v="2024-11-13T00:00:00Z"/>
        <d v="2024-12-10T00:00:00Z"/>
        <d v="2024-12-04T00:00:00Z"/>
        <d v="2024-06-07T00:00:00Z"/>
        <d v="2024-05-31T00:00:00Z"/>
        <d v="2025-02-23T00:00:00Z"/>
        <d v="2024-11-07T00:00:00Z"/>
        <d v="2024-11-28T00:00:00Z"/>
        <d v="2024-12-18T00:00:00Z"/>
        <d v="2025-02-11T00:00:00Z"/>
        <d v="2025-02-07T00:00:00Z"/>
        <d v="2024-09-05T00:00:00Z"/>
        <d v="2024-12-13T00:00:00Z"/>
        <d v="2024-03-08T00:00:00Z"/>
        <d v="2024-04-22T00:00:00Z"/>
        <d v="2024-05-17T00:00:00Z"/>
        <d v="2024-04-24T00:00:00Z"/>
        <d v="2024-05-24T00:00:00Z"/>
        <d v="2024-07-19T00:00:00Z"/>
        <d v="2024-08-09T00:00:00Z"/>
        <d v="2024-07-01T00:00:00Z"/>
        <d v="2024-08-26T00:00:00Z"/>
        <d v="2024-09-17T00:00:00Z"/>
        <d v="2024-09-25T00:00:00Z"/>
        <d v="2024-09-30T00:00:00Z"/>
        <d v="2024-10-10T00:00:00Z"/>
        <d v="2024-12-02T00:00:00Z"/>
        <d v="2025-01-06T00:00:00Z"/>
        <d v="2025-01-13T00:00:00Z"/>
        <d v="2024-06-26T00:00:00Z"/>
        <d v="2024-08-07T00:00:00Z"/>
        <d v="2024-07-11T00:00:00Z"/>
        <d v="2024-09-16T00:00:00Z"/>
        <d v="2024-11-14T00:00:00Z"/>
        <d v="2024-03-22T00:00:00Z"/>
        <d v="2024-04-06T00:00:00Z"/>
        <d v="2024-04-07T00:00:00Z"/>
        <d v="2024-06-04T00:00:00Z"/>
        <d v="2024-10-11T00:00:00Z"/>
        <d v="2024-03-23T00:00:00Z"/>
        <d v="2024-04-04T00:00:00Z"/>
        <d v="2024-04-09T00:00:00Z"/>
        <d v="2024-05-21T00:00:00Z"/>
        <d v="2024-05-27T00:00:00Z"/>
        <d v="2024-08-27T00:00:00Z"/>
        <d v="2025-04-12T00:00:00Z"/>
        <d v="2024-02-28T00:00:00Z"/>
        <d v="2024-05-28T00:00:00Z"/>
        <d v="2024-09-23T00:00:00Z"/>
        <d v="2024-06-30T00:00:00Z"/>
        <d v="2024-09-20T00:00:00Z"/>
        <d v="2024-10-07T00:00:00Z"/>
        <d v="2024-03-27T00:00:00Z"/>
        <d v="2024-04-13T00:00:00Z"/>
        <d v="2024-04-27T00:00:00Z"/>
        <d v="2024-01-15T00:00:00Z"/>
        <d v="2024-01-14T00:00:00Z"/>
        <d v="2025-03-18T00:00:00Z"/>
        <d v="2024-05-18T00:00:00Z"/>
        <d v="2024-06-19T00:00:00Z"/>
        <d v="2024-10-09T00:00:00Z"/>
        <d v="2024-11-12T00:00:00Z"/>
        <d v="2024-12-19T00:00:00Z"/>
        <d v="2025-02-22T00:00:00Z"/>
        <d v="2024-03-26T00:00:00Z"/>
        <d v="2024-05-20T00:00:00Z"/>
        <d v="2024-07-08T00:00:00Z"/>
        <d v="2024-11-22T00:00:00Z"/>
        <d v="2024-10-31T00:00:00Z"/>
        <d v="2024-07-15T00:00:00Z"/>
        <d v="2024-09-24T00:00:00Z"/>
        <d v="2024-02-15T00:00:00Z"/>
        <d v="2024-04-26T00:00:00Z"/>
        <d v="2024-06-03T00:00:00Z"/>
        <d v="2024-04-12T00:00:00Z"/>
        <d v="2024-07-09T00:00:00Z"/>
        <d v="2024-09-29T00:00:00Z"/>
        <d v="2024-10-06T00:00:00Z"/>
        <d v="2024-10-16T00:00:00Z"/>
        <d v="2024-09-19T00:00:00Z"/>
        <d v="2024-03-28T00:00:00Z"/>
        <d v="2024-10-17T00:00:00Z"/>
        <d v="2025-04-29T00:00:00Z"/>
        <d v="2024-03-18T00:00:00Z"/>
        <d v="2024-08-14T00:00:00Z"/>
        <d v="2024-09-01T00:00:00Z"/>
        <d v="2024-11-15T00:00:00Z"/>
        <d v="2025-01-03T00:00:00Z"/>
        <d v="2024-07-18T00:00:00Z"/>
        <d v="2025-07-11T00:00:00Z"/>
        <d v="2025-07-18T00:00:00Z"/>
        <d v="2025-07-21T00:00:00Z"/>
        <d v="2025-07-22T00:00:00Z"/>
        <d v="2025-07-24T00:00:00Z"/>
        <d v="2025-07-25T00:00:00Z"/>
        <d v="2025-07-28T00:00:00Z"/>
        <d v="2025-06-24T00:00:00Z"/>
        <d v="2025-07-14T00:00:00Z"/>
        <d v="2025-06-27T00:00:00Z"/>
        <d v="2025-01-31T00:00:00Z"/>
        <d v="2025-07-07T00:00:00Z"/>
        <d v="2025-07-09T00:00:00Z"/>
        <d v="2025-07-17T00:00:00Z"/>
        <d v="2025-07-29T00:00:00Z"/>
        <d v="2025-07-31T00:00:00Z"/>
      </sharedItems>
    </cacheField>
    <cacheField name="Marque" numFmtId="3">
      <sharedItems containsBlank="1">
        <s v="BYS Maquillage"/>
        <s v="Yepoda"/>
        <s v="Rimmel London"/>
        <s v="SHEIN"/>
        <s v="Yves Rocher"/>
        <s v="Temu"/>
        <s v="Anua"/>
        <s v="SOS Beauty"/>
        <s v="Haru Haru Wonder"/>
        <s v="Maybelline"/>
        <s v="Koru"/>
        <s v="PINKO PAZZESCO"/>
        <s v="GHD"/>
        <s v="SKIN1004"/>
        <s v="Les Pistolets en Plastique"/>
        <s v="Rose Skin Co."/>
        <s v="Skin &amp; Out"/>
        <s v="Dyson"/>
        <s v="Satinée"/>
        <s v="BodyCross"/>
        <s v="Garnier"/>
        <s v="Eau Thermale Jonzac"/>
        <s v="So Bio Etic"/>
        <s v="Terre de Mars"/>
        <s v="Commonlabs"/>
        <s v="BENEFIT"/>
        <s v="Anastasia Beverly Hills"/>
        <s v="Grande Cosmetics"/>
        <s v="Mixa"/>
        <s v="My House of Jewels"/>
        <s v="Uriage"/>
        <s v="Erborian"/>
        <s v="Lancôme "/>
        <s v="Nocibé"/>
        <s v="Crocs"/>
        <s v="JOLT"/>
        <s v="Ducray"/>
        <s v="Bioré"/>
        <s v="La Roche Posay"/>
        <s v="Yesstyle"/>
        <s v="Sheglam"/>
        <s v="Abib"/>
        <s v="Bershka"/>
        <s v="Dr.Althea"/>
        <s v="Stylevana"/>
        <s v="Dreame"/>
        <s v="Lancôme"/>
        <s v="Wandernana"/>
        <s v="Essence"/>
        <s v="Monopoly Go"/>
        <s v="Frank Provost"/>
        <s v="Myriam K Paris"/>
        <s v="Sol De Janeiro"/>
        <s v="Mixsoon"/>
        <s v="Current Body"/>
        <s v="Aïa Curl"/>
        <s v="Aromazone"/>
        <s v="iHerb"/>
        <s v="Mova"/>
        <s v="L'Oréal"/>
        <s v="Hacoo"/>
        <s v="Biocyte"/>
        <s v="Musc Intime"/>
        <s v="NYX"/>
        <s v="L'Oreal"/>
        <s v="Remington"/>
        <s v="Dynveo"/>
        <s v="Vitavea"/>
        <s v="Uberliss"/>
        <s v="Luxéol"/>
        <s v="Darry Ring"/>
        <s v="Capcut"/>
        <s v="Redken"/>
        <s v="Naali"/>
        <s v="Cerave"/>
        <s v="Paalm Cosmetics"/>
        <s v="Shavest"/>
        <s v="Inava"/>
        <s v="Cellublue"/>
        <s v="Caudalie"/>
        <s v="Voghion"/>
        <s v="BeReal"/>
        <s v="Current Body "/>
        <s v="Ali Express"/>
        <s v="Keracare"/>
        <s v="ZIIP"/>
        <s v="Feel My Skin"/>
        <s v="BYD"/>
        <s v="ISIS Pharma"/>
        <s v="Sanytol"/>
        <s v="Mavatys"/>
        <s v="Sanex"/>
        <s v="My Little Box "/>
        <s v="Lazartigue"/>
        <s v="Solinotes"/>
        <s v="It Fruit"/>
        <s v="TORRAS"/>
        <s v="Medicube"/>
        <s v="H&amp;S"/>
        <s v="Perroy Parfum"/>
        <s v="Nike"/>
        <s v="Bella Barrnett"/>
        <s v="Passion Marine"/>
        <s v="Avene"/>
        <s v="Beauty Of Joseon"/>
        <s v="Etiaxil"/>
        <s v="Just Spin"/>
        <s v="PlanJoy"/>
        <s v="YTTP"/>
        <s v="Sanytol "/>
        <s v="Dior"/>
        <s v="Pretty Little Things"/>
        <s v="L'Univers de Baya"/>
        <s v="Bob Oré"/>
        <s v="YSL"/>
        <s v="Ouvéa"/>
        <s v="Cider"/>
        <s v="Milk Make Up"/>
        <s v="SPA &amp; BIEN ÊTRE - GRAVITI"/>
        <s v="Ole Henriksen"/>
        <s v="Rare Beauty"/>
        <s v="Lancôme #MWL"/>
        <s v="Clarine"/>
        <s v="SHU UEMURA"/>
        <s v="Aveda"/>
        <s v="Clinique"/>
        <s v="KIEHLS"/>
        <s v="Embryolisse"/>
        <s v="Focus Skincare"/>
        <s v="MILK"/>
        <s v="Superdry"/>
        <s v="Prada"/>
        <s v="YSL Stylo Touche Éclat"/>
        <s v="R.E.M Beauty"/>
        <s v="IT Cosmetics"/>
        <s v="Lancôme - HYPNOSE DRAMA 🖤"/>
        <s v="Charlotte Tilburry (Nice Work)"/>
        <s v="YSL Beauty Summer Box"/>
        <s v="Fenty"/>
        <s v="Dr. Dennis Gross (Nice Work)"/>
        <s v="YSL Blushs "/>
        <s v="Valentino"/>
        <s v="Huda Beauty"/>
        <s v="Sephora"/>
        <s v="Charlotte Tilburry"/>
        <s v="The Inkey List"/>
        <s v="Cecotec"/>
        <s v="Vichy"/>
        <s v="Flower Knows"/>
        <s v="Rituals"/>
        <s v="Respire"/>
        <s v="LANEIGE"/>
        <s v="Glow Recipe"/>
        <s v="Franck Provost"/>
        <s v="MAC Cosmetics"/>
        <s v="Milk Makeup (Nice Work)"/>
        <s v="Typology"/>
        <s v="Kiehl's"/>
        <s v="JW PEI"/>
        <s v="Bloom"/>
        <s v="Nars"/>
        <s v="The Commense"/>
        <s v="Bijoux Divins"/>
        <s v="Biotherm"/>
        <s v="Courrèges (Nice Work)"/>
        <s v="Pulpe de Vie"/>
        <s v="Dieti Natura"/>
        <s v="Make Up For Ever"/>
        <s v="Jimmy Fairly"/>
        <s v="Lili Sidonio"/>
        <s v="Dr Jart +"/>
        <s v="Gallinée"/>
        <s v="Evoluderm"/>
        <s v="Drunk Elephant"/>
        <s v="Shokz"/>
        <s v="Fresh"/>
        <s v="Bourjois"/>
        <s v="Too Faced"/>
        <s v="L'Oréal Professionnel"/>
        <s v="NARS (Nice Work)"/>
        <s v="Fenty (Nice Work)"/>
        <s v="Black &amp; White Burger"/>
        <s v="Daylo"/>
        <s v="Maria Nila"/>
        <s v="The Inkey List (Nice Work)"/>
        <s v="Wonderskin"/>
        <s v="Olaplex (Nice Work)"/>
        <s v="Kurku-ma"/>
        <s v="Origins"/>
        <s v="Kielh's"/>
        <s v="SAYANA"/>
        <s v="Havaianas"/>
        <s v="Réelle"/>
        <s v="Rare Beauty (Nice Work)"/>
        <s v="Boohoo"/>
        <s v="Kylie"/>
        <s v="Eau Thermale Jonzac "/>
        <s v="Hawkers"/>
        <s v="The Ordinary"/>
        <s v="Myrimimi"/>
        <s v="Fenty Skin"/>
        <s v="L'Oreal Luxe"/>
        <s v="Maybelline Concours"/>
        <s v="Sol de Janeiro (Nice Work)"/>
        <s v="TOMO"/>
        <s v="TABASQUISHY"/>
        <s v="Armani Beauty"/>
        <s v="Summer Fridays"/>
        <s v="Lanolips"/>
        <s v="Kiko Milano"/>
        <s v="Halal Nutrition"/>
        <s v="Kylie Cosmetics"/>
        <s v="My Little Box"/>
        <s v="Cuure"/>
        <s v="Interview"/>
        <s v="Le Petit Lunetier"/>
        <s v="Maybelline "/>
        <s v="Kalista"/>
        <s v="Neutrogena"/>
        <s v="Néonail"/>
        <s v="Milk Make Up (Nice Work)"/>
        <s v="Ongle24"/>
        <s v="Bobbi Brown"/>
        <s v="Axis-Y"/>
        <s v="Filorga"/>
        <s v="YSL Beauty Summer Box (Nice Work)"/>
        <s v="Estée Lauder"/>
        <s v="ULIKE"/>
        <s v="La Boutique du Coiffeur"/>
        <s v="Weleda"/>
        <s v="Seasonly"/>
        <s v="YSL "/>
        <s v="Air Up"/>
        <s v="Saforelle"/>
        <s v="Chantelle"/>
        <s v="Lancôme Event"/>
        <s v="Hourglass"/>
        <s v="Celimax"/>
        <s v="Dexeryl"/>
        <s v="Steam One "/>
        <s v="Talisma"/>
        <s v="Owari"/>
        <s v="No More Beauty"/>
        <s v="EA Pharma"/>
        <s v="Mymosa"/>
        <s v="Nuxe"/>
        <s v="Coco &amp; Eve"/>
        <s v="Divine Vanille"/>
        <s v="Arencia"/>
        <s v="Axis Y"/>
        <m/>
      </sharedItems>
    </cacheField>
    <cacheField name="Complément">
      <sharedItems containsBlank="1" containsMixedTypes="1" containsNumber="1" containsInteger="1">
        <m/>
        <s v="CA"/>
        <s v="BOURS"/>
        <s v="Lancôme #MWL"/>
        <n v="2.0"/>
        <s v="GRWM for bed"/>
        <s v="Whats in my bag"/>
        <n v="1.0"/>
        <s v="Woo Juicy Tubes"/>
        <s v="Army"/>
        <s v="Shein deals "/>
        <s v="nov"/>
        <s v="janv"/>
        <s v="AMZ"/>
        <s v="Juicy"/>
        <s v="Sun Serum"/>
        <s v="Poremizing"/>
        <s v="PM Clay Stick"/>
        <s v="Relief"/>
        <s v="2-Double Cleansing"/>
        <s v="3-Sun Serum Hyalu"/>
        <s v="4-Tone Brightening"/>
        <s v="Tiktok"/>
        <s v="Mega Haul + Full Face Campaign"/>
        <s v="5- Glow Project"/>
        <s v="Black Friday et du Cyber Monday de SHEIN"/>
        <s v=" 💎SHEGLAM Partnership: SHEGLAM Liquid Fam Festival Glow Set"/>
        <s v="déc"/>
        <s v="👐️ SHEGLAM: Partnership Opportunity"/>
        <s v="1-PM Clay Stick"/>
        <s v="TT"/>
        <s v="Revitalift"/>
        <s v="poremizing quick clay stick mask "/>
        <s v="Poremizing Clay Stick Mask "/>
        <s v="hello kitty"/>
        <s v="février"/>
        <s v="Bold Booster Lip Combo Campaign"/>
        <s v="Big Cil mars"/>
        <s v="Blowdry"/>
        <s v="mars"/>
        <s v="THE Adventure Time X SHEGLAM COLLECTION"/>
        <s v="avril"/>
        <s v="Full SkinCare Routine in 1 Box"/>
        <s v="Double Cleansing"/>
        <s v="Big Cil avril"/>
        <s v="Lissage avril "/>
        <s v="Compléments alimentaire mai"/>
        <s v="Big Cil juin"/>
        <s v="Big Cil mai"/>
        <s v="Hyalu-Cica Sunserum "/>
        <s v="mai"/>
        <s v="Glow project "/>
        <s v="#1Bean Essence + Bean Cream + Centella Sun Cream routine "/>
        <s v="Tone-Brightening Ampoule"/>
        <s v="Glow Project"/>
        <s v="PM Stick "/>
        <s v="Lissage juin"/>
        <s v="skin care routine for beginners "/>
        <s v="Stick Mask"/>
        <s v="Beginner Routine"/>
        <s v="SKIN MASK CLAY"/>
        <s v="Tone Brightening"/>
        <s v="ad"/>
        <s v="UGC Trousse"/>
        <s v="Essentials home"/>
        <s v="UGC"/>
        <s v="Beach day "/>
        <s v="Festival outfitxtravel"/>
        <s v="Essentials home "/>
        <s v="#2 Bean Essence"/>
        <s v="Beach day"/>
        <s v="Bean Essence + Bean Cream + Centella Sun Cream routine"/>
        <s v="Bean Collagen Hydrogel Mask Pack"/>
        <s v="#3 Bean Collagen Hydrogel Mask Pack"/>
        <s v="Festival outfit "/>
        <s v="Collagen Cleansing Balm"/>
        <s v="Centella Sun Cream"/>
        <s v="Bean Cleansing Oil + Centella Cleansing Foam routine"/>
        <s v="Sunscreen Comparison"/>
        <s v="Soondy Centella Asiatica Essnece, Glacier Waster Hyaluronic Acid Serum, Bean Essence Layering"/>
        <s v="#4 Centella Sun Cream"/>
        <s v="Temps forts "/>
        <s v="skin care for beginners "/>
        <s v="sun serum real"/>
        <s v="lash idole"/>
        <s v="Masque"/>
        <s v="Tone brightening "/>
        <s v="PAS REÇU"/>
        <s v="Bean Essence"/>
        <s v=" Precision Sculpt"/>
        <s v="GLOW Project (Hyalu-Cica sun Serum + Probio-cica ampoule)"/>
        <s v="Halloween"/>
        <n v="3.0"/>
        <s v="SPF"/>
        <s v="LIP IDÔLE 💄"/>
        <s v="Juicy Tubes"/>
        <s v="Apres Collection Calendrier"/>
        <s v="Candy Glow"/>
        <s v="LASH IDÔLE"/>
        <s v="Saint Valentin"/>
        <s v="Produits Cultes"/>
        <s v="Best sellers"/>
        <s v="Loveshin &amp; Candy Glaze "/>
        <s v="2024 Black Friday Product Review"/>
        <s v="fev"/>
        <s v="creme solaire"/>
        <s v="Nice Work"/>
        <s v="Calendrier"/>
        <s v="Mascara Flutter Extension"/>
        <s v="Loveshine Plumping Lip Gloss"/>
        <s v="SHEIN Grosses Remises Day ! 🔥 Réglez votre rappel maintenant !"/>
        <s v="Fenty (Nice Work)"/>
        <s v="Hydra Jelly Pocket Lip Jam Campaign"/>
        <s v="Brumes"/>
        <s v="Pimple Patch"/>
        <s v="sérum + gel crème hyalu B5"/>
        <s v="Bell Hypoallergenique"/>
        <s v="CandyGlow"/>
        <s v="Patch"/>
        <s v="Revitalift IG"/>
        <s v="Noël"/>
        <s v="Sélection"/>
        <s v="Lissage mars"/>
        <s v="Mascara"/>
        <s v="Poremizing Light Gel Cream"/>
        <s v="Skincare Routine for Beginners"/>
        <s v="Collagen Glass Skin Mask"/>
        <s v="GLOW Project (Hyalu-Cica sun Serum + Probio-cica ampoule) "/>
        <s v="Cica-Hyal Sun Stick"/>
        <s v="#5 Bean Cleansing Oil + Centella Cleansing Foam routine"/>
        <s v="Centella Clenasing Foam + Centella Toner Pad + Soondy Centella Asiatica Essnece + Bean Cream + Centella Sun Cream Routine"/>
        <s v="Tone-Brightening Ampoule "/>
        <s v="#6 Soondy Centella Asiatica Essnece, Glacier Waster Hyaluronic Acid Serum, Bean Essence Layering"/>
        <s v="#7 Bean Cream"/>
        <s v="#8 Soybean Milk Serum"/>
        <s v="#9 Cica-Hyal Sun Stick"/>
        <s v="#10 Centella Clenasing Foam + Centella Toner Pad + Soondy Centella Asiatica Essnece + Bean Cream + Centella Sun Cream Routine"/>
        <s v="Complement juillet"/>
        <s v="Complement aout"/>
        <s v="Reel"/>
        <s v="Programmé en septembre "/>
      </sharedItems>
    </cacheField>
    <cacheField name=" Brouillon draft">
      <sharedItems containsDate="1" containsBlank="1" containsMixedTypes="1">
        <d v="2024-02-29T00:00:00Z"/>
        <d v="2024-03-14T00:00:00Z"/>
        <d v="2024-04-03T00:00:00Z"/>
        <d v="2024-04-05T00:00:00Z"/>
        <d v="2024-04-15T00:00:00Z"/>
        <d v="2024-04-19T00:00:00Z"/>
        <d v="2024-04-22T00:00:00Z"/>
        <d v="2024-04-26T00:00:00Z"/>
        <d v="2024-04-27T00:00:00Z"/>
        <d v="2024-04-28T00:00:00Z"/>
        <d v="2024-04-29T00:00:00Z"/>
        <d v="2024-05-06T00:00:00Z"/>
        <d v="2024-05-07T00:00:00Z"/>
        <d v="2024-05-08T00:00:00Z"/>
        <d v="2024-05-09T00:00:00Z"/>
        <d v="2024-05-12T00:00:00Z"/>
        <d v="2024-05-13T00:00:00Z"/>
        <d v="2024-05-15T00:00:00Z"/>
        <d v="2024-05-19T00:00:00Z"/>
        <d v="2024-05-24T00:00:00Z"/>
        <d v="2024-05-25T00:00:00Z"/>
        <d v="2024-05-26T00:00:00Z"/>
        <d v="2024-05-30T00:00:00Z"/>
        <d v="2024-06-12T00:00:00Z"/>
        <d v="2024-06-13T00:00:00Z"/>
        <d v="2024-06-14T00:00:00Z"/>
        <d v="2024-06-15T00:00:00Z"/>
        <d v="2024-06-18T00:00:00Z"/>
        <d v="2024-06-16T00:00:00Z"/>
        <d v="2024-06-17T00:00:00Z"/>
        <d v="2024-06-19T00:00:00Z"/>
        <d v="2024-06-20T00:00:00Z"/>
        <d v="2024-06-22T00:00:00Z"/>
        <d v="2024-06-23T00:00:00Z"/>
        <d v="2024-06-24T00:00:00Z"/>
        <d v="2024-06-25T00:00:00Z"/>
        <d v="2024-06-29T00:00:00Z"/>
        <d v="2024-07-02T00:00:00Z"/>
        <d v="2024-07-06T00:00:00Z"/>
        <d v="2024-07-07T00:00:00Z"/>
        <d v="2024-07-08T00:00:00Z"/>
        <d v="2024-07-10T00:00:00Z"/>
        <d v="2024-07-13T00:00:00Z"/>
        <d v="2024-07-17T00:00:00Z"/>
        <d v="2024-07-18T00:00:00Z"/>
        <d v="2024-07-19T00:00:00Z"/>
        <d v="2024-07-21T00:00:00Z"/>
        <d v="2024-07-22T00:00:00Z"/>
        <d v="2024-07-27T00:00:00Z"/>
        <d v="2024-07-29T00:00:00Z"/>
        <d v="2024-07-28T00:00:00Z"/>
        <d v="2024-07-30T00:00:00Z"/>
        <m/>
        <d v="2024-08-02T00:00:00Z"/>
        <d v="2024-08-07T00:00:00Z"/>
        <d v="2024-08-08T00:00:00Z"/>
        <d v="2024-08-11T00:00:00Z"/>
        <d v="2024-08-13T00:00:00Z"/>
        <d v="2024-08-14T00:00:00Z"/>
        <d v="2024-08-16T00:00:00Z"/>
        <d v="2024-08-18T00:00:00Z"/>
        <d v="2024-08-19T00:00:00Z"/>
        <d v="2024-08-20T00:00:00Z"/>
        <d v="2024-08-21T00:00:00Z"/>
        <d v="2024-08-22T00:00:00Z"/>
        <d v="2024-08-25T00:00:00Z"/>
        <d v="2024-08-28T00:00:00Z"/>
        <d v="2024-08-29T00:00:00Z"/>
        <d v="2024-08-30T00:00:00Z"/>
        <d v="2024-09-01T00:00:00Z"/>
        <d v="2024-09-02T00:00:00Z"/>
        <d v="2024-09-04T00:00:00Z"/>
        <d v="2024-09-08T00:00:00Z"/>
        <d v="2024-09-10T00:00:00Z"/>
        <d v="2024-09-12T00:00:00Z"/>
        <d v="2024-08-23T00:00:00Z"/>
        <d v="2024-09-13T00:00:00Z"/>
        <d v="2024-09-14T00:00:00Z"/>
        <d v="2024-09-16T00:00:00Z"/>
        <d v="2024-09-19T00:00:00Z"/>
        <d v="2024-09-22T00:00:00Z"/>
        <d v="2025-06-10T00:00:00Z"/>
        <d v="2024-09-23T00:00:00Z"/>
        <d v="2024-09-24T00:00:00Z"/>
        <d v="2024-09-28T00:00:00Z"/>
        <d v="2024-09-29T00:00:00Z"/>
        <d v="2024-10-06T00:00:00Z"/>
        <d v="2024-10-09T00:00:00Z"/>
        <d v="2024-10-07T00:00:00Z"/>
        <d v="2024-10-11T00:00:00Z"/>
        <d v="2024-10-16T00:00:00Z"/>
        <d v="2024-10-15T00:00:00Z"/>
        <d v="2024-09-21T00:00:00Z"/>
        <d v="2024-10-17T00:00:00Z"/>
        <d v="2024-10-18T00:00:00Z"/>
        <d v="2024-10-23T00:00:00Z"/>
        <d v="2025-06-11T00:00:00Z"/>
        <d v="2024-10-25T00:00:00Z"/>
        <d v="2024-10-27T00:00:00Z"/>
        <d v="2024-11-02T00:00:00Z"/>
        <d v="2024-11-03T00:00:00Z"/>
        <d v="2024-10-28T00:00:00Z"/>
        <d v="2024-10-30T00:00:00Z"/>
        <d v="2024-11-04T00:00:00Z"/>
        <d v="2024-11-05T00:00:00Z"/>
        <d v="2025-06-15T00:00:00Z"/>
        <d v="2024-10-24T00:00:00Z"/>
        <d v="2024-11-07T00:00:00Z"/>
        <d v="2024-11-10T00:00:00Z"/>
        <d v="2024-11-12T00:00:00Z"/>
        <d v="2024-11-06T00:00:00Z"/>
        <d v="2024-11-17T00:00:00Z"/>
        <d v="2024-11-11T00:00:00Z"/>
        <d v="2024-11-18T00:00:00Z"/>
        <d v="2024-11-14T00:00:00Z"/>
        <d v="2024-11-15T00:00:00Z"/>
        <d v="2024-11-19T00:00:00Z"/>
        <d v="2024-11-22T00:00:00Z"/>
        <d v="2024-11-20T00:00:00Z"/>
        <d v="2024-11-21T00:00:00Z"/>
        <d v="2024-11-24T00:00:00Z"/>
        <d v="2024-11-25T00:00:00Z"/>
        <d v="2024-11-28T00:00:00Z"/>
        <d v="2024-11-26T00:00:00Z"/>
        <d v="2024-11-27T00:00:00Z"/>
        <d v="2024-12-11T00:00:00Z"/>
        <s v="ANNULÉ NE PAS SUPP"/>
        <d v="2024-12-14T00:00:00Z"/>
        <d v="2024-12-15T00:00:00Z"/>
        <d v="2024-11-29T00:00:00Z"/>
        <d v="2024-12-03T00:00:00Z"/>
        <d v="2024-12-16T00:00:00Z"/>
        <d v="2025-02-11T00:00:00Z"/>
        <d v="2024-12-19T00:00:00Z"/>
        <d v="2024-12-20T00:00:00Z"/>
        <d v="2024-12-22T00:00:00Z"/>
        <d v="2025-01-03T00:00:00Z"/>
        <d v="2024-12-25T00:00:00Z"/>
        <d v="2024-12-27T00:00:00Z"/>
        <d v="2025-01-20T00:00:00Z"/>
        <d v="2024-12-12T00:00:00Z"/>
        <d v="2025-01-02T00:00:00Z"/>
        <d v="2025-01-10T00:00:00Z"/>
        <d v="2025-03-07T00:00:00Z"/>
        <d v="2025-01-21T00:00:00Z"/>
        <d v="2025-01-24T00:00:00Z"/>
        <d v="2025-01-26T00:00:00Z"/>
        <d v="2025-01-28T00:00:00Z"/>
        <d v="2025-01-30T00:00:00Z"/>
        <d v="2025-01-29T00:00:00Z"/>
        <d v="2025-02-05T00:00:00Z"/>
        <d v="2025-01-31T00:00:00Z"/>
        <d v="2025-02-03T00:00:00Z"/>
        <d v="2025-02-06T00:00:00Z"/>
        <d v="2025-02-13T00:00:00Z"/>
        <d v="2025-02-12T00:00:00Z"/>
        <d v="2025-02-14T00:00:00Z"/>
        <d v="2025-02-15T00:00:00Z"/>
        <d v="2025-02-16T00:00:00Z"/>
        <d v="2025-02-20T00:00:00Z"/>
        <d v="2025-02-19T00:00:00Z"/>
        <d v="2025-02-21T00:00:00Z"/>
        <d v="2025-02-23T00:00:00Z"/>
        <d v="2025-02-27T00:00:00Z"/>
        <d v="2025-02-24T00:00:00Z"/>
        <d v="2025-03-01T00:00:00Z"/>
        <d v="2025-02-25T00:00:00Z"/>
        <d v="2025-03-12T00:00:00Z"/>
        <d v="2025-03-02T00:00:00Z"/>
        <d v="2025-02-28T00:00:00Z"/>
        <d v="2025-03-05T00:00:00Z"/>
        <d v="2025-03-08T00:00:00Z"/>
        <d v="2025-04-16T00:00:00Z"/>
        <d v="2025-03-09T00:00:00Z"/>
        <d v="2025-03-10T00:00:00Z"/>
        <d v="2025-03-11T00:00:00Z"/>
        <d v="2025-03-14T00:00:00Z"/>
        <d v="2025-04-22T00:00:00Z"/>
        <d v="2025-03-16T00:00:00Z"/>
        <d v="2025-03-17T00:00:00Z"/>
        <d v="2025-03-13T00:00:00Z"/>
        <d v="2025-03-18T00:00:00Z"/>
        <d v="2025-03-23T00:00:00Z"/>
        <d v="2025-03-24T00:00:00Z"/>
        <d v="2025-04-20T00:00:00Z"/>
        <d v="2025-03-26T00:00:00Z"/>
        <d v="2025-03-19T00:00:00Z"/>
        <d v="2025-03-20T00:00:00Z"/>
        <d v="2025-04-01T00:00:00Z"/>
        <d v="2025-03-27T00:00:00Z"/>
        <d v="2025-03-30T00:00:00Z"/>
        <d v="2025-04-02T00:00:00Z"/>
        <d v="2025-04-04T00:00:00Z"/>
        <d v="2025-04-03T00:00:00Z"/>
        <d v="2025-04-10T00:00:00Z"/>
        <d v="2025-04-11T00:00:00Z"/>
        <d v="2025-04-14T00:00:00Z"/>
        <d v="2025-05-08T00:00:00Z"/>
        <d v="2025-04-13T00:00:00Z"/>
        <d v="2025-04-15T00:00:00Z"/>
        <d v="2025-04-17T00:00:00Z"/>
        <d v="2025-04-18T00:00:00Z"/>
        <d v="2025-04-19T00:00:00Z"/>
        <d v="2025-05-26T00:00:00Z"/>
        <d v="2025-04-23T00:00:00Z"/>
        <d v="2025-04-24T00:00:00Z"/>
        <d v="2025-04-26T00:00:00Z"/>
        <d v="2025-04-27T00:00:00Z"/>
        <d v="2025-04-28T00:00:00Z"/>
        <d v="2025-04-29T00:00:00Z"/>
        <d v="2025-05-04T00:00:00Z"/>
        <d v="2025-04-30T00:00:00Z"/>
        <d v="2025-05-01T00:00:00Z"/>
        <d v="2025-05-06T00:00:00Z"/>
        <d v="2025-05-07T00:00:00Z"/>
        <d v="2025-05-03T00:00:00Z"/>
        <d v="2025-05-05T00:00:00Z"/>
        <d v="2025-06-29T00:00:00Z"/>
        <d v="2025-06-30T00:00:00Z"/>
        <d v="2025-05-14T00:00:00Z"/>
        <d v="2025-05-09T00:00:00Z"/>
        <d v="2025-05-13T00:00:00Z"/>
        <d v="2025-07-03T00:00:00Z"/>
        <d v="2025-05-17T00:00:00Z"/>
        <d v="2025-05-15T00:00:00Z"/>
        <d v="2025-05-16T00:00:00Z"/>
        <d v="2025-05-21T00:00:00Z"/>
        <d v="2025-05-22T00:00:00Z"/>
        <d v="2025-05-24T00:00:00Z"/>
        <d v="2025-07-07T00:00:00Z"/>
        <d v="2025-07-15T00:00:00Z"/>
        <d v="2025-06-01T00:00:00Z"/>
        <d v="2025-06-02T00:00:00Z"/>
        <d v="2025-05-28T00:00:00Z"/>
        <d v="2025-05-30T00:00:00Z"/>
        <d v="2025-06-05T00:00:00Z"/>
        <d v="2025-06-08T00:00:00Z"/>
        <d v="2025-06-12T00:00:00Z"/>
        <d v="2024-12-04T00:00:00Z"/>
        <d v="2025-06-13T00:00:00Z"/>
        <d v="2025-06-24T00:00:00Z"/>
        <d v="2025-06-17T00:00:00Z"/>
        <d v="2025-06-19T00:00:00Z"/>
        <d v="2025-06-20T00:00:00Z"/>
        <d v="2025-06-22T00:00:00Z"/>
        <d v="2025-06-25T00:00:00Z"/>
        <d v="2025-05-27T00:00:00Z"/>
        <d v="2025-06-07T00:00:00Z"/>
        <d v="2025-06-27T00:00:00Z"/>
        <d v="2025-07-02T00:00:00Z"/>
        <d v="2025-07-01T00:00:00Z"/>
        <d v="2025-07-24T00:00:00Z"/>
        <d v="2025-02-26T00:00:00Z"/>
        <d v="2025-01-11T00:00:00Z"/>
        <d v="2025-06-21T00:00:00Z"/>
        <d v="2025-07-19T00:00:00Z"/>
        <d v="2025-06-04T00:00:00Z"/>
        <d v="2025-07-08T00:00:00Z"/>
        <d v="2025-07-05T00:00:00Z"/>
        <d v="2025-07-06T00:00:00Z"/>
        <d v="2025-07-10T00:00:00Z"/>
        <d v="2025-07-04T00:00:00Z"/>
        <d v="2025-07-09T00:00:00Z"/>
        <d v="2025-07-14T00:00:00Z"/>
        <d v="2025-07-11T00:00:00Z"/>
        <d v="2025-07-13T00:00:00Z"/>
        <d v="2025-07-17T00:00:00Z"/>
        <d v="2025-07-23T00:00:00Z"/>
        <d v="2025-07-18T00:00:00Z"/>
        <d v="2025-07-20T00:00:00Z"/>
        <d v="2025-07-22T00:00:00Z"/>
        <d v="2025-07-25T00:00:00Z"/>
        <d v="2025-08-03T00:00:00Z"/>
        <s v=" "/>
        <d v="2025-07-26T00:00:00Z"/>
        <d v="2025-07-27T00:00:00Z"/>
        <d v="2025-07-28T00:00:00Z"/>
        <d v="2025-07-29T00:00:00Z"/>
        <d v="2025-06-26T00:00:00Z"/>
        <d v="2025-07-30T00:00:00Z"/>
        <d v="2025-07-31T00:00:00Z"/>
        <d v="2025-08-04T00:00:00Z"/>
        <d v="2025-08-05T00:00:00Z"/>
        <d v="2025-08-10T00:00:00Z"/>
        <d v="2025-08-14T00:00:00Z"/>
        <d v="2025-08-18T00:00:00Z"/>
        <d v="2025-08-19T00:00:00Z"/>
        <d v="2025-08-20T00:00:00Z"/>
        <d v="2025-08-25T00:00:00Z"/>
        <d v="2025-09-01T00:00:00Z"/>
        <d v="2025-09-02T00:00:00Z"/>
        <d v="2025-09-14T00:00:00Z"/>
        <d v="2025-09-28T00:00:00Z"/>
        <d v="2025-10-10T00:00:00Z"/>
      </sharedItems>
    </cacheField>
    <cacheField name="Date Début">
      <sharedItems containsDate="1" containsBlank="1" containsMixedTypes="1">
        <m/>
        <d v="2024-03-19T00:00:00Z"/>
        <d v="2024-05-14T00:00:00Z"/>
        <d v="2024-05-25T00:00:00Z"/>
        <d v="2024-05-27T00:00:00Z"/>
        <d v="2024-06-10T00:00:00Z"/>
        <d v="2024-06-18T00:00:00Z"/>
        <d v="2024-06-19T00:00:00Z"/>
        <d v="2024-06-16T00:00:00Z"/>
        <d v="2024-06-24T00:00:00Z"/>
        <d v="2024-07-06T00:00:00Z"/>
        <d v="2024-06-17T00:00:00Z"/>
        <d v="2024-07-01T00:00:00Z"/>
        <d v="2024-07-10T00:00:00Z"/>
        <d v="2024-06-25T00:00:00Z"/>
        <d v="2024-07-19T00:00:00Z"/>
        <d v="2024-08-18T00:00:00Z"/>
        <d v="2024-09-02T00:00:00Z"/>
        <d v="2024-09-16T00:00:00Z"/>
        <d v="2024-10-20T00:00:00Z"/>
        <d v="2025-05-01T00:00:00Z"/>
        <d v="2024-11-01T00:00:00Z"/>
        <d v="2024-11-13T00:00:00Z"/>
        <d v="2024-11-10T00:00:00Z"/>
        <d v="2024-12-10T00:00:00Z"/>
        <d v="2025-01-31T00:00:00Z"/>
        <d v="2025-02-03T00:00:00Z"/>
        <d v="2025-02-13T00:00:00Z"/>
        <d v="2025-01-23T00:00:00Z"/>
        <d v="2025-03-01T00:00:00Z"/>
        <d v="2025-02-28T00:00:00Z"/>
        <d v="2025-02-15T00:00:00Z"/>
        <d v="2025-05-21T00:00:00Z"/>
        <d v="2025-06-05T00:00:00Z"/>
        <d v="2025-07-16T00:00:00Z"/>
        <d v="2025-06-22T00:00:00Z"/>
        <d v="2025-07-01T00:00:00Z"/>
        <s v=" "/>
        <d v="2025-01-09T00:00:00Z"/>
        <d v="2024-09-13T00:00:00Z"/>
        <d v="2024-10-16T00:00:00Z"/>
        <d v="2024-11-18T00:00:00Z"/>
        <d v="2024-01-11T00:00:00Z"/>
        <d v="2024-12-06T00:00:00Z"/>
        <d v="2025-02-27T00:00:00Z"/>
        <d v="2025-04-08T00:00:00Z"/>
        <d v="2025-01-27T00:00:00Z"/>
        <d v="2024-11-11T00:00:00Z"/>
        <d v="2024-11-28T00:00:00Z"/>
        <d v="2024-12-21T00:00:00Z"/>
        <d v="2025-01-13T00:00:00Z"/>
        <d v="2025-02-11T00:00:00Z"/>
        <d v="2025-03-06T00:00:00Z"/>
        <d v="2024-04-01T00:00:00Z"/>
        <d v="2024-04-08T00:00:00Z"/>
        <d v="2024-02-29T00:00:00Z"/>
        <d v="2024-04-18T00:00:00Z"/>
        <d v="2024-06-07T00:00:00Z"/>
        <d v="2024-03-21T00:00:00Z"/>
        <d v="2024-06-20T00:00:00Z"/>
        <d v="2024-07-08T00:00:00Z"/>
        <d v="2024-07-29T00:00:00Z"/>
        <d v="2024-09-01T00:00:00Z"/>
        <d v="2024-09-12T00:00:00Z"/>
        <d v="2024-09-23T00:00:00Z"/>
        <d v="2024-09-28T00:00:00Z"/>
        <d v="2024-09-30T00:00:00Z"/>
        <d v="2024-10-01T00:00:00Z"/>
        <d v="2024-10-12T00:00:00Z"/>
        <d v="2024-11-06T00:00:00Z"/>
        <d v="2024-12-04T00:00:00Z"/>
        <d v="2025-01-16T00:00:00Z"/>
        <d v="2025-01-20T00:00:00Z"/>
        <d v="2024-04-15T00:00:00Z"/>
        <d v="2024-03-26T00:00:00Z"/>
        <d v="2024-04-20T00:00:00Z"/>
        <d v="2024-08-26T00:00:00Z"/>
        <d v="2024-02-28T00:00:00Z"/>
        <d v="2024-04-05T00:00:00Z"/>
        <d v="2024-09-26T00:00:00Z"/>
        <d v="2024-03-01T00:00:00Z"/>
        <d v="2024-10-24T00:00:00Z"/>
        <d v="2024-08-29T00:00:00Z"/>
        <d v="2024-11-15T00:00:00Z"/>
        <d v="2025-02-25T00:00:00Z"/>
        <d v="2024-09-25T00:00:00Z"/>
        <d v="2024-08-06T00:00:00Z"/>
        <d v="2024-08-09T00:00:00Z"/>
        <d v="2024-12-12T00:00:00Z"/>
        <d v="2025-03-25T00:00:00Z"/>
        <d v="2024-07-27T00:00:00Z"/>
        <d v="2024-04-13T00:00:00Z"/>
        <d v="2023-03-23T00:00:00Z"/>
        <d v="2024-08-16T00:00:00Z"/>
        <d v="2024-11-04T00:00:00Z"/>
        <d v="2024-10-29T00:00:00Z"/>
        <d v="2024-01-06T00:00:00Z"/>
        <d v="2025-01-24T00:00:00Z"/>
        <d v="2025-01-29T00:00:00Z"/>
        <d v="2025-02-05T00:00:00Z"/>
        <d v="2024-03-20T00:00:00Z"/>
        <d v="2024-09-14T00:00:00Z"/>
        <d v="2024-10-10T00:00:00Z"/>
        <d v="2024-10-02T00:00:00Z"/>
        <d v="2024-06-14T00:00:00Z"/>
        <d v="2025-01-28T00:00:00Z"/>
        <d v="2024-06-01T00:00:00Z"/>
        <d v="2024-06-11T00:00:00Z"/>
        <d v="2024-12-03T00:00:00Z"/>
        <d v="2024-04-04T00:00:00Z"/>
        <d v="2024-06-27T00:00:00Z"/>
        <d v="2024-07-18T00:00:00Z"/>
        <d v="2024-10-28T00:00:00Z"/>
        <n v="-619148.0"/>
        <d v="2024-10-30T00:00:00Z"/>
        <d v="2024-12-11T00:00:00Z"/>
        <d v="2024-12-02T00:00:00Z"/>
        <d v="2025-01-25T00:00:00Z"/>
        <d v="2024-06-08T00:00:00Z"/>
        <d v="2024-10-25T00:00:00Z"/>
        <d v="2024-03-22T00:00:00Z"/>
        <d v="2024-07-26T00:00:00Z"/>
        <d v="2024-11-08T00:00:00Z"/>
        <d v="2025-09-08T00:00:00Z"/>
        <d v="2025-03-26T00:00:00Z"/>
        <d v="2025-08-10T00:00:00Z"/>
      </sharedItems>
    </cacheField>
    <cacheField name="Date Fin">
      <sharedItems containsDate="1" containsBlank="1" containsMixedTypes="1">
        <d v="2024-03-08T00:00:00Z"/>
        <d v="2024-03-19T00:00:00Z"/>
        <m/>
        <d v="2024-04-06T00:00:00Z"/>
        <d v="2024-04-09T00:00:00Z"/>
        <d v="2024-04-19T00:00:00Z"/>
        <d v="2024-04-22T00:00:00Z"/>
        <d v="2024-04-18T00:00:00Z"/>
        <d v="2024-04-26T00:00:00Z"/>
        <d v="2024-05-02T00:00:00Z"/>
        <d v="2024-05-01T00:00:00Z"/>
        <d v="2024-05-04T00:00:00Z"/>
        <d v="2024-05-08T00:00:00Z"/>
        <d v="2024-05-07T00:00:00Z"/>
        <d v="2024-05-10T00:00:00Z"/>
        <d v="2024-05-13T00:00:00Z"/>
        <d v="2024-05-18T00:00:00Z"/>
        <d v="2024-05-14T00:00:00Z"/>
        <d v="2024-05-17T00:00:00Z"/>
        <d v="2024-05-23T00:00:00Z"/>
        <d v="2024-05-27T00:00:00Z"/>
        <d v="2024-05-29T00:00:00Z"/>
        <d v="2024-05-30T00:00:00Z"/>
        <d v="2024-05-31T00:00:00Z"/>
        <d v="2024-06-16T00:00:00Z"/>
        <d v="2024-06-17T00:00:00Z"/>
        <d v="2024-06-20T00:00:00Z"/>
        <d v="2024-06-22T00:00:00Z"/>
        <d v="2024-06-19T00:00:00Z"/>
        <d v="2024-06-23T00:00:00Z"/>
        <d v="2024-06-25T00:00:00Z"/>
        <d v="2024-06-24T00:00:00Z"/>
        <d v="2024-06-29T00:00:00Z"/>
        <d v="2024-07-06T00:00:00Z"/>
        <d v="2024-06-28T00:00:00Z"/>
        <d v="2024-07-01T00:00:00Z"/>
        <d v="2024-06-26T00:00:00Z"/>
        <d v="2024-06-30T00:00:00Z"/>
        <d v="2024-07-10T00:00:00Z"/>
        <d v="2024-07-07T00:00:00Z"/>
        <d v="2024-07-14T00:00:00Z"/>
        <d v="2024-07-12T00:00:00Z"/>
        <d v="2024-07-23T00:00:00Z"/>
        <d v="2024-07-24T00:00:00Z"/>
        <d v="2024-07-22T00:00:00Z"/>
        <d v="2024-07-21T00:00:00Z"/>
        <d v="2024-07-25T00:00:00Z"/>
        <d v="2024-09-06T00:00:00Z"/>
        <d v="2024-07-26T00:00:00Z"/>
        <d v="2024-08-01T00:00:00Z"/>
        <d v="2024-09-08T00:00:00Z"/>
        <d v="2024-08-06T00:00:00Z"/>
        <d v="2024-08-03T00:00:00Z"/>
        <d v="2024-08-02T00:00:00Z"/>
        <d v="2024-07-20T00:00:00Z"/>
        <d v="2024-07-30T00:00:00Z"/>
        <d v="2024-08-09T00:00:00Z"/>
        <d v="2024-08-16T00:00:00Z"/>
        <d v="2024-08-08T00:00:00Z"/>
        <d v="2024-08-15T00:00:00Z"/>
        <d v="2024-09-07T00:00:00Z"/>
        <d v="2024-08-22T00:00:00Z"/>
        <d v="2024-08-25T00:00:00Z"/>
        <d v="2024-08-18T00:00:00Z"/>
        <d v="2024-08-21T00:00:00Z"/>
        <d v="2024-08-20T00:00:00Z"/>
        <d v="2024-08-23T00:00:00Z"/>
        <d v="2024-09-02T00:00:00Z"/>
        <d v="2024-08-28T00:00:00Z"/>
        <d v="2024-08-24T00:00:00Z"/>
        <d v="2024-08-30T00:00:00Z"/>
        <d v="2024-09-13T00:00:00Z"/>
        <d v="2024-09-18T00:00:00Z"/>
        <d v="2024-09-19T00:00:00Z"/>
        <d v="2024-09-09T00:00:00Z"/>
        <d v="2024-10-02T00:00:00Z"/>
        <d v="2024-10-11T00:00:00Z"/>
        <d v="2024-09-23T00:00:00Z"/>
        <d v="2024-09-21T00:00:00Z"/>
        <d v="2024-10-06T00:00:00Z"/>
        <d v="2024-09-20T00:00:00Z"/>
        <d v="2024-08-10T00:00:00Z"/>
        <d v="2024-09-25T00:00:00Z"/>
        <d v="2025-06-15T00:00:00Z"/>
        <d v="2024-09-30T00:00:00Z"/>
        <d v="2024-09-26T00:00:00Z"/>
        <d v="2024-10-03T00:00:00Z"/>
        <d v="2024-11-02T00:00:00Z"/>
        <d v="2024-11-15T00:00:00Z"/>
        <d v="2024-11-01T00:00:00Z"/>
        <d v="2024-11-08T00:00:00Z"/>
        <d v="2024-10-27T00:00:00Z"/>
        <d v="2024-10-26T00:00:00Z"/>
        <d v="2024-10-28T00:00:00Z"/>
        <d v="2025-06-14T00:00:00Z"/>
        <d v="2024-11-05T00:00:00Z"/>
        <d v="2024-11-16T00:00:00Z"/>
        <d v="2024-11-10T00:00:00Z"/>
        <d v="2024-11-12T00:00:00Z"/>
        <d v="2024-11-11T00:00:00Z"/>
        <d v="2025-06-17T00:00:00Z"/>
        <d v="2024-10-22T00:00:00Z"/>
        <d v="2024-11-07T00:00:00Z"/>
        <d v="2025-02-10T00:00:00Z"/>
        <d v="2024-11-09T00:00:00Z"/>
        <d v="2024-11-29T00:00:00Z"/>
        <d v="2024-12-03T00:00:00Z"/>
        <d v="2024-11-19T00:00:00Z"/>
        <d v="2024-11-30T00:00:00Z"/>
        <d v="2024-11-20T00:00:00Z"/>
        <d v="2024-11-27T00:00:00Z"/>
        <d v="2024-11-22T00:00:00Z"/>
        <d v="2024-11-26T00:00:00Z"/>
        <d v="2024-12-02T00:00:00Z"/>
        <d v="2024-12-09T00:00:00Z"/>
        <d v="2024-11-28T00:00:00Z"/>
        <d v="2024-12-15T00:00:00Z"/>
        <d v="2024-12-17T00:00:00Z"/>
        <d v="2024-12-01T00:00:00Z"/>
        <d v="2024-12-10T00:00:00Z"/>
        <d v="2025-03-05T00:00:00Z"/>
        <d v="2024-12-25T00:00:00Z"/>
        <d v="2024-12-19T00:00:00Z"/>
        <d v="2024-12-29T00:00:00Z"/>
        <d v="2025-01-03T00:00:00Z"/>
        <d v="2025-01-09T00:00:00Z"/>
        <d v="2025-01-10T00:00:00Z"/>
        <d v="2025-01-23T00:00:00Z"/>
        <d v="2025-01-24T00:00:00Z"/>
        <d v="2025-01-25T00:00:00Z"/>
        <d v="2025-01-05T00:00:00Z"/>
        <d v="2025-01-20T00:00:00Z"/>
        <d v="2025-01-13T00:00:00Z"/>
        <d v="2025-03-10T00:00:00Z"/>
        <d v="2025-01-29T00:00:00Z"/>
        <d v="2025-01-15T00:00:00Z"/>
        <d v="2025-01-30T00:00:00Z"/>
        <d v="2025-01-22T00:00:00Z"/>
        <d v="2025-02-07T00:00:00Z"/>
        <d v="2025-02-19T00:00:00Z"/>
        <d v="2025-01-31T00:00:00Z"/>
        <d v="2025-02-04T00:00:00Z"/>
        <d v="2025-02-05T00:00:00Z"/>
        <d v="2025-02-14T00:00:00Z"/>
        <d v="2025-02-08T00:00:00Z"/>
        <d v="2025-02-16T00:00:00Z"/>
        <d v="2025-02-20T00:00:00Z"/>
        <d v="2025-02-21T00:00:00Z"/>
        <d v="2025-02-26T00:00:00Z"/>
        <d v="2025-02-27T00:00:00Z"/>
        <d v="2025-02-22T00:00:00Z"/>
        <d v="2025-02-25T00:00:00Z"/>
        <d v="2025-02-13T00:00:00Z"/>
        <d v="2025-03-31T00:00:00Z"/>
        <d v="2025-03-04T00:00:00Z"/>
        <d v="2025-03-15T00:00:00Z"/>
        <d v="2025-03-12T00:00:00Z"/>
        <d v="2025-04-21T00:00:00Z"/>
        <d v="2025-03-13T00:00:00Z"/>
        <d v="2025-03-16T00:00:00Z"/>
        <d v="2025-03-18T00:00:00Z"/>
        <d v="2025-03-22T00:00:00Z"/>
        <d v="2025-04-23T00:00:00Z"/>
        <d v="2025-03-29T00:00:00Z"/>
        <d v="2025-03-24T00:00:00Z"/>
        <d v="2025-03-14T00:00:00Z"/>
        <d v="2025-03-19T00:00:00Z"/>
        <d v="2025-03-30T00:00:00Z"/>
        <d v="2025-04-26T00:00:00Z"/>
        <d v="2025-03-21T00:00:00Z"/>
        <d v="2025-05-24T00:00:00Z"/>
        <d v="2025-04-01T00:00:00Z"/>
        <d v="2025-04-04T00:00:00Z"/>
        <d v="2025-03-28T00:00:00Z"/>
        <d v="2025-04-06T00:00:00Z"/>
        <d v="2025-04-07T00:00:00Z"/>
        <d v="2025-02-28T00:00:00Z"/>
        <d v="2025-01-14T00:00:00Z"/>
        <d v="2025-04-10T00:00:00Z"/>
        <d v="2025-03-26T00:00:00Z"/>
        <d v="2025-04-09T00:00:00Z"/>
        <d v="2025-04-12T00:00:00Z"/>
        <d v="2025-04-16T00:00:00Z"/>
        <d v="2025-04-19T00:00:00Z"/>
        <d v="2025-05-09T00:00:00Z"/>
        <d v="2025-04-18T00:00:00Z"/>
        <d v="2025-04-25T00:00:00Z"/>
        <d v="2025-04-24T00:00:00Z"/>
        <d v="2025-04-27T00:00:00Z"/>
        <d v="2025-05-19T00:00:00Z"/>
        <d v="2025-05-30T00:00:00Z"/>
        <d v="2025-04-29T00:00:00Z"/>
        <d v="2025-05-01T00:00:00Z"/>
        <d v="2025-04-30T00:00:00Z"/>
        <d v="2025-05-31T00:00:00Z"/>
        <s v="31/04/2025"/>
        <d v="2025-03-06T00:00:00Z"/>
        <d v="2025-05-04T00:00:00Z"/>
        <d v="2025-05-05T00:00:00Z"/>
        <d v="2025-05-02T00:00:00Z"/>
        <d v="2025-05-14T00:00:00Z"/>
        <d v="2025-05-23T00:00:00Z"/>
        <d v="2025-05-08T00:00:00Z"/>
        <d v="2025-05-21T00:00:00Z"/>
        <d v="2025-05-10T00:00:00Z"/>
        <d v="2025-05-16T00:00:00Z"/>
        <d v="2025-05-25T00:00:00Z"/>
        <d v="2025-06-22T00:00:00Z"/>
        <d v="2025-06-30T00:00:00Z"/>
        <d v="2025-05-20T00:00:00Z"/>
        <d v="2025-05-15T00:00:00Z"/>
        <d v="2025-05-17T00:00:00Z"/>
        <d v="2025-07-08T00:00:00Z"/>
        <d v="2025-05-29T00:00:00Z"/>
        <d v="2025-05-22T00:00:00Z"/>
        <d v="2025-07-13T00:00:00Z"/>
        <d v="2025-07-16T00:00:00Z"/>
        <d v="2025-01-17T00:00:00Z"/>
        <d v="2025-06-10T00:00:00Z"/>
        <d v="2025-06-04T00:00:00Z"/>
        <d v="2025-06-05T00:00:00Z"/>
        <d v="2025-02-11T00:00:00Z"/>
        <d v="2025-06-11T00:00:00Z"/>
        <d v="2025-06-13T00:00:00Z"/>
        <d v="2025-04-22T00:00:00Z"/>
        <d v="2025-06-25T00:00:00Z"/>
        <d v="2025-06-18T00:00:00Z"/>
        <d v="2025-06-26T00:00:00Z"/>
        <d v="2025-06-24T00:00:00Z"/>
        <d v="2025-06-29T00:00:00Z"/>
        <d v="2025-07-03T00:00:00Z"/>
        <d v="2025-06-20T00:00:00Z"/>
        <d v="2025-06-28T00:00:00Z"/>
        <d v="2025-07-26T00:00:00Z"/>
        <s v="31/06/2025"/>
        <d v="2025-07-07T00:00:00Z"/>
        <d v="2025-07-18T00:00:00Z"/>
        <d v="2025-06-27T00:00:00Z"/>
        <d v="2025-07-11T00:00:00Z"/>
        <d v="2025-07-04T00:00:00Z"/>
        <d v="2025-07-17T00:00:00Z"/>
        <d v="2025-07-05T00:00:00Z"/>
        <d v="2024-07-13T00:00:00Z"/>
        <d v="2025-07-10T00:00:00Z"/>
        <d v="2025-07-14T00:00:00Z"/>
        <d v="2025-07-19T00:00:00Z"/>
        <d v="2025-07-20T00:00:00Z"/>
        <d v="2025-07-22T00:00:00Z"/>
        <d v="2025-07-27T00:00:00Z"/>
        <d v="2025-07-23T00:00:00Z"/>
        <d v="2025-07-25T00:00:00Z"/>
        <d v="2025-08-15T00:00:00Z"/>
        <d v="2025-07-31T00:00:00Z"/>
        <d v="2025-07-28T00:00:00Z"/>
        <d v="2025-07-29T00:00:00Z"/>
        <d v="2025-08-10T00:00:00Z"/>
        <d v="2025-06-21T00:00:00Z"/>
        <d v="2025-01-28T00:00:00Z"/>
        <d v="2025-06-19T00:00:00Z"/>
        <d v="2024-10-04T00:00:00Z"/>
        <d v="2024-11-25T00:00:00Z"/>
        <d v="2025-08-07T00:00:00Z"/>
        <d v="2025-06-09T00:00:00Z"/>
        <d v="2024-10-10T00:00:00Z"/>
        <d v="2024-10-25T00:00:00Z"/>
        <d v="2024-10-30T00:00:00Z"/>
        <d v="2024-12-24T00:00:00Z"/>
        <d v="2024-07-08T00:00:00Z"/>
        <d v="2025-03-20T00:00:00Z"/>
        <d v="2025-04-28T00:00:00Z"/>
        <d v="2024-09-22T00:00:00Z"/>
        <d v="2024-12-22T00:00:00Z"/>
        <d v="2025-01-11T00:00:00Z"/>
        <d v="2025-03-17T00:00:00Z"/>
        <d v="2024-05-09T00:00:00Z"/>
        <d v="2024-12-28T00:00:00Z"/>
        <d v="2025-01-04T00:00:00Z"/>
        <d v="2024-04-14T00:00:00Z"/>
        <d v="2024-04-29T00:00:00Z"/>
        <d v="2024-05-11T00:00:00Z"/>
        <d v="2024-05-28T00:00:00Z"/>
        <d v="2024-06-02T00:00:00Z"/>
        <d v="2024-06-05T00:00:00Z"/>
        <d v="2024-06-07T00:00:00Z"/>
        <d v="2024-06-21T00:00:00Z"/>
        <d v="2024-07-03T00:00:00Z"/>
        <d v="2024-07-15T00:00:00Z"/>
        <d v="2024-07-28T00:00:00Z"/>
        <d v="2024-09-16T00:00:00Z"/>
        <d v="2024-09-27T00:00:00Z"/>
        <d v="2024-10-07T00:00:00Z"/>
        <d v="2024-10-20T00:00:00Z"/>
        <d v="2024-10-21T00:00:00Z"/>
        <d v="2025-02-06T00:00:00Z"/>
        <d v="2025-02-17T00:00:00Z"/>
        <d v="2025-02-23T00:00:00Z"/>
        <d v="2024-03-01T00:00:00Z"/>
        <d v="2024-12-12T00:00:00Z"/>
        <d v="2024-04-07T00:00:00Z"/>
        <d v="2024-04-11T00:00:00Z"/>
        <d v="2024-04-21T00:00:00Z"/>
        <d v="2024-05-19T00:00:00Z"/>
        <d v="2024-05-20T00:00:00Z"/>
        <d v="2024-08-11T00:00:00Z"/>
        <d v="2024-10-15T00:00:00Z"/>
        <d v="2025-02-15T00:00:00Z"/>
        <d v="2025-03-08T00:00:00Z"/>
        <d v="2024-07-16T00:00:00Z"/>
        <d v="2024-09-15T00:00:00Z"/>
        <d v="2024-10-17T00:00:00Z"/>
        <d v="2024-12-16T00:00:00Z"/>
        <d v="2024-11-14T00:00:00Z"/>
        <d v="2024-10-05T00:00:00Z"/>
        <d v="2025-03-11T00:00:00Z"/>
        <d v="2024-08-07T00:00:00Z"/>
        <d v="2024-08-26T00:00:00Z"/>
        <d v="2024-04-28T00:00:00Z"/>
        <d v="2024-05-03T00:00:00Z"/>
        <d v="2024-05-25T00:00:00Z"/>
        <d v="2025-01-02T00:00:00Z"/>
        <d v="2024-08-12T00:00:00Z"/>
        <d v="2024-04-30T00:00:00Z"/>
        <d v="2024-05-12T00:00:00Z"/>
        <d v="2024-04-10T00:00:00Z"/>
        <d v="2024-11-24T00:00:00Z"/>
        <n v="-619359.0"/>
        <d v="2024-04-15T00:00:00Z"/>
        <d v="2024-08-04T00:00:00Z"/>
        <d v="2024-09-03T00:00:00Z"/>
        <d v="2024-10-16T00:00:00Z"/>
        <d v="2024-12-13T00:00:00Z"/>
        <d v="2025-01-06T00:00:00Z"/>
        <d v="2025-02-24T00:00:00Z"/>
        <d v="2024-12-21T00:00:00Z"/>
        <d v="2024-06-27T00:00:00Z"/>
        <d v="2024-09-01T00:00:00Z"/>
        <d v="2024-10-31T00:00:00Z"/>
        <d v="2024-11-23T00:00:00Z"/>
        <d v="2024-02-15T00:00:00Z"/>
        <d v="2024-05-15T00:00:00Z"/>
        <d v="2024-06-14T00:00:00Z"/>
        <d v="2024-07-27T00:00:00Z"/>
        <d v="2024-09-14T00:00:00Z"/>
        <d v="2024-09-17T00:00:00Z"/>
        <d v="2024-10-08T00:00:00Z"/>
        <d v="2024-06-08T00:00:00Z"/>
        <d v="2024-06-11T00:00:00Z"/>
        <d v="2024-12-20T00:00:00Z"/>
        <d v="2023-02-01T00:00:00Z"/>
        <d v="2024-02-01T00:00:00Z"/>
        <d v="2024-03-28T00:00:00Z"/>
        <d v="2024-03-31T00:00:00Z"/>
        <d v="2024-08-29T00:00:00Z"/>
        <d v="2024-11-03T00:00:00Z"/>
        <d v="2024-12-06T00:00:00Z"/>
        <d v="2024-12-23T00:00:00Z"/>
        <d v="2024-07-11T00:00:00Z"/>
        <d v="2024-08-19T00:00:00Z"/>
        <d v="2025-03-27T00:00:00Z"/>
        <d v="2025-09-15T00:00:00Z"/>
        <d v="2025-08-03T00:00:00Z"/>
        <d v="2025-05-18T00:00:00Z"/>
        <d v="2025-08-14T00:00:00Z"/>
        <d v="2025-08-08T00:00:00Z"/>
        <d v="2025-08-24T00:00:00Z"/>
        <d v="2025-08-13T00:00:00Z"/>
        <d v="2025-09-03T00:00:00Z"/>
        <d v="2025-08-21T00:00:00Z"/>
        <d v="2025-09-06T00:00:00Z"/>
        <d v="2025-09-01T00:00:00Z"/>
        <d v="2025-09-08T00:00:00Z"/>
        <d v="2025-09-19T00:00:00Z"/>
        <d v="2025-09-09T00:00:00Z"/>
        <d v="2025-10-03T00:00:00Z"/>
        <d v="2025-10-15T00:00:00Z"/>
      </sharedItems>
    </cacheField>
    <cacheField name="Status" numFmtId="0">
      <sharedItems containsBlank="1">
        <s v="Fait"/>
        <s v="Facture à envoyer"/>
        <s v="Script Revision Marque"/>
        <s v="Video Validée Marque"/>
        <s v="Video Revision Marque"/>
        <m/>
        <s v="Colis Reçu?"/>
        <s v="Script Validée Marque"/>
      </sharedItems>
    </cacheField>
    <cacheField name="Commentaire" numFmtId="0">
      <sharedItems containsBlank="1">
        <m/>
        <s v="ne pas mentionner d'autres marques 7 jours avant et après @ "/>
        <s v="resultat concours"/>
        <s v="en attente validation marque"/>
        <s v="VALIDÉ"/>
        <s v="Preview Validée"/>
        <s v="⚠️⚠️ demander à Inès code promo vs lien (car code différent)"/>
        <s v="à envoyer à la marque"/>
        <s v="en attente validation"/>
        <s v="envoyer facture"/>
        <s v="en attente info facturation"/>
        <s v="Ne pas envoyer facture au client mais faire une factureEn $$ une fois reception et convertion"/>
        <s v="brief partagé"/>
        <s v="ne pas poster 24h après ⚠️ verifier date (colis reçu le 23/05 = 3S)"/>
        <s v="en attente affiliate code"/>
        <s v="video"/>
        <s v="pas d'autres collabs 3 jours avant et après"/>
        <s v="commande passée"/>
        <s v="⚠️"/>
        <s v="date post à confirmer"/>
        <s v="DESCRIPTION (changement à faire) =&gt; Nouveautés @Anastasia Beverly Hills : Beauty balm &amp; Blurring serum blush ✨ Available from xxxx at Sephora all shades online and limited assortment in store #AD #ABHBLUSH #BLUSHHACK #LIQUIDBLUSH #ABHBeautyBalm #Anastasia"/>
        <s v="DESCRIPTION (changement à faire) =&gt;Makeup After Beachhh with Beauty Balm and Blurring Serum Blush @ANASTASIABEVERLYHILLS available from xxxx at Sephora all shades online and limited assortment in store. (il faudra remplacer les xx par la date de sortie, j"/>
        <s v="brouillon"/>
        <s v="DESCRIPTION (changement à faire) =&gt;⚠️ Date sortie SEPHORA"/>
        <s v="envoyer video à jour que Lily a partagé le 13/08"/>
        <s v="SUN SERUM"/>
        <s v="Partager ad code // DESCRIPTION (changement à faire) =&gt; The perfect complexion for this summer is: Beauty Balm and Blurring Serum Blush by @ANASTASIABEVERLYHILLS vavailable from xxxx (à remplacer par la date quand nous l'aurons) at Sephora all shades onli"/>
        <s v="une fois le paiement paypal faire facture pour € exact"/>
        <s v="DESCRIPTION (changement à faire) =&gt;"/>
        <s v="ajouter avant après"/>
        <s v="attendre retour autres factures"/>
        <s v="pas poster +3/-3   // partager ad code"/>
        <s v="envoyer facture 09/09 avec médiatisation + contenu"/>
        <s v="pas possible de poster le 23"/>
        <s v="⚠️ Dates Mixa -3+3 pas de collabs // date à confirmer"/>
        <s v="à poster"/>
        <s v="médiatisation à confirmer +100€"/>
        <s v="recuperer lien tacké pour IGs"/>
        <s v="IG"/>
        <s v="à refaire (réhaussement de cils)"/>
        <s v="24h no post any // 3 weeks of use"/>
        <s v="faire valider le contenu"/>
        <s v="+code boost"/>
        <s v="pas de média"/>
        <s v="date à définir"/>
        <s v="PERSONALISATION"/>
        <s v="draft: 3 jours apres reception // 26/09/2024 au plus tard // pas de post 12h apres poster"/>
        <s v="modif sur caption"/>
        <s v="Woo Juicy Tubes"/>
        <s v="facture à envoyer mais attendre ad code JEANNE"/>
        <s v="attendre Code boost"/>
        <s v="Facture à faire"/>
        <s v="Tracking Link 72h BIO https://testsgz.app.link/4hqEOX8xbNb"/>
        <s v="modifier caption  / pas de post 24h"/>
        <s v="en attente colis"/>
        <s v="18h"/>
        <s v="(+ usage rights + TikTok spark ads + IG ad codes"/>
        <s v="Reception Colis"/>
        <s v="video+ description"/>
        <s v="activer la fonctionnalité &quot;collaboration commercial&quot;"/>
        <s v="j'ai envoyé une facture en € mais c'est en dollar"/>
        <s v="125 de media à confimer "/>
        <s v="date à confirmer (7jours apres réception colis"/>
        <s v="commande"/>
        <s v="30j Myriam K entre chaque mois"/>
        <s v="cross post IG TT"/>
        <s v="mediat"/>
        <s v="ajouter lien en bio"/>
        <s v="Cross post IG + story swipe"/>
        <s v="rajouter code + 23% par contre impossible de refaire video modifs"/>
        <s v="mais ajouter ingrédient"/>
        <s v="facture faite"/>
        <s v="boost"/>
        <s v="preview"/>
        <s v="attente reception colis"/>
        <s v="facture au 3/03 à faire et envoyer"/>
        <s v="voir pour ajouter Ad"/>
        <s v=" "/>
        <s v="TT + Médiat"/>
        <s v="script idée creat TT médiat : du 1er au 27 avril !"/>
        <s v="médiat de 100€ en plus validée?"/>
        <s v="IGS à partager      IGs+ TIKTOK"/>
        <s v="1 TT"/>
        <s v="Pendant le repas"/>
        <s v="IG Reel médiat 01/03 au 27/03"/>
        <s v="02/03=&gt; idée creative ///// 10/03/2025 brouillon"/>
        <s v="1 IG reel + 1 IGs (3sets) AD CODE⚠️"/>
        <s v="dont 250€ de mediat"/>
        <s v="contrat à faire"/>
        <s v="en attente retour de la marque pour feu vert post"/>
        <s v="poster et partager ad code avant 12h"/>
        <s v="TT"/>
        <s v="x3 videos "/>
        <s v="pas besoin de valider preview 2 stories (10/04 et 11/04)"/>
        <s v="link in bio"/>
        <s v="avec ad code"/>
        <s v="⚠️changement facture - se referer au mail"/>
        <s v="médiatisation"/>
        <s v="dont 250€ mediat"/>
        <s v="integration produit"/>
        <s v="IG reel"/>
        <s v="350€ au lieu de 195 pour la derniere"/>
        <s v="IGS  "/>
        <s v="23/04/2025 preview et 16/04 idée creative"/>
        <s v="script  et preview le 01/05/2025"/>
        <s v="script"/>
        <s v="TT IGreel SNAP"/>
        <s v="poster sur TT"/>
        <s v="81€ en option?"/>
        <s v=": https://amzn.to/3Eubtp1"/>
        <s v="Comme beaucoup de followers lui demandent comment faire partir les taches d’acné, elle pourrait créer une vidéo sous l’un de ces formats : « J’ai trouvé un appareil magique pour éliminer les taches d’acné ! » Je présente le produit en détail.Je montre com"/>
        <s v="avec 100e d'ad code inclu"/>
        <s v="vidéo ok descritpion a modifier"/>
        <s v="TT add code a recup"/>
        <s v="GR check dates"/>
        <s v="pas besoin de revision"/>
        <s v="verifier si Lily a posté et partager lien video"/>
        <s v="Video tournée avant Script // envoyer video quand meme"/>
        <s v="partager les captions modifier repost ig"/>
        <s v="Contenu attendu par la marque"/>
        <s v="IGs ANAIS20 20% valable sur ensemble produit du site"/>
        <s v="médiat"/>
        <s v="TT ANAIS20 20% valable sur ensemble produit du site"/>
        <s v="Script 18/06 TT"/>
        <s v="One INS reel + 30 days ad &amp; organic usage rights+ link in bio"/>
        <s v="idée creative"/>
        <s v="manque HD + Sous Titres"/>
        <s v="idée creative à partager"/>
        <s v="TT + Tiktok Shop (reassort le 12/06"/>
        <s v="Script 18/06 IG + Cross Post Reel + IGs"/>
        <s v="UGC"/>
        <s v="Beach Babe Hair Waver Campaign"/>
        <s v="partager les stats dès le 18 juillet ?"/>
        <s v="Tiktok/ pas chez elle avant le 1 er juillet "/>
        <s v="Tiktok"/>
        <s v="partager dès le 24/07 les screens des statistiques de son contenu UGC aussi cession de droit partager la video en HD"/>
        <s v="4EX"/>
        <s v="TT + IGr"/>
        <s v="on a pas le brief"/>
        <s v="n'a pas le produit"/>
        <s v="avec mediat"/>
        <s v="IG + TT cross post + ad code +UGC"/>
        <s v="3 videos"/>
        <s v="Code promo perso à partager"/>
        <s v="mettre explications en anglais"/>
        <s v="⚠️ Gifting voir avec Gauthier "/>
        <s v="POUR CONTENU UGC AVANT AGENCE"/>
        <s v="TT + Tiktok Shop"/>
        <s v="partager stats"/>
        <s v="pas fait "/>
        <s v="16h30"/>
        <s v="partager à Jolt les détails pour la campagne (date, orna...)"/>
        <s v=": #Kiehlsfrance (TikTok) et @kiehlsfrance (Instagram) et le hashtag : #HYDRATATION"/>
        <s v="Fonctionnement Nice Work"/>
        <s v="3 contenus // pas d'exclu"/>
        <s v="https://docs.google.com/presentation/d/1q4NE7BfV_3-rP4IUQJmAq-Et7OVpK16CYhR5OVpmQYo/edit?usp=sharing"/>
        <s v="Fonctionnement Nice Work - Envoyer lien marque"/>
        <s v="Affiliation 10% // 2 post/mois"/>
        <s v="https://www.tiktok.com/@lavishhcam/video/7384102579849956641?lang=en"/>
        <s v="Reçu"/>
        <s v="Médiatisation "/>
        <s v="envoyer facture MÉDIA EN OPTION 250€ 4semaines 7-18 Octobre"/>
        <s v="Google Ads"/>
        <s v="La semaine du 1er avril"/>
        <s v="7 jours après reception sac"/>
        <s v="ATTENTION NOUVEAU BRIEF?"/>
        <s v="La semaine du 15 avril"/>
        <s v="VOIR MAIL POUR BRIEF"/>
        <s v="⚠️chiara_12  + Lien dans bio"/>
        <s v="Libre"/>
        <s v="Tester les produits et leur faire un retour. Si tu aimes pourquoi pas poster sur Tiktok"/>
        <s v="Photo avant/après"/>
        <s v="pas reçu"/>
        <s v="⚠️bleulividee_12 + Lien dans Bio"/>
        <s v="story juste"/>
        <s v="X2 video"/>
        <s v="en attente Micro Entreprise Jeanne"/>
        <s v="Brief dans mail Sparkle"/>
        <s v="colis pas encore reçu (30/11)"/>
        <s v="Contenu libre"/>
        <s v="laurine_12 + Lien dans bio"/>
        <s v="Post obligatoire sans brief"/>
        <s v="attendre description"/>
        <s v="Dès que possible"/>
        <s v="à poster dès que possible"/>
        <s v="retard livraison"/>
        <s v="Nice Work Fonctionnement "/>
        <s v="https://www.tiktok.com/@lilyy.nl/video/7361800761090526497"/>
        <s v="Attendre avant de facturer Médiatisation "/>
        <s v="Showroom 16h"/>
        <s v="RDV 11h Showroom"/>
        <s v="pas de preview"/>
        <s v="Nice Work"/>
        <s v="https://www.tiktok.com/@melf.fnt/video/7384078329554423073"/>
        <s v="D'ici 2 semaines après 20/03/24"/>
        <s v="https://www.tiktok.com/@melf.fnt/video/7360752268607491360"/>
        <s v="En attente date"/>
        <s v="colis confidentiel jussqu'au 08/10"/>
        <s v="Rappel"/>
        <s v="https://www.tiktok.com/@morgane.mrckk/video/7384031967643307296"/>
        <s v="10h à 18h"/>
        <s v="partager video TT"/>
        <s v="en attente validation contrat"/>
        <s v="Brief"/>
        <s v="Dès réception colis"/>
        <s v="ads big cils"/>
        <s v="RDV 12h Showroom"/>
        <s v="description"/>
        <s v="mercredi 18/09, de 19h à 21h30,"/>
        <s v="IG + TT Cross Post"/>
        <s v="n'a pas reçu les produits"/>
        <s v="demander ce qu'elle pense du produit"/>
        <s v="colis non reçu"/>
        <s v="1 mois d'utilisation? si elle a bien utiliser le produit? lui rappeler de bien mettre photo avant/après dans l video"/>
        <s v="acheter produit Script 18/06 IG + Cross Post Reel + IGs"/>
        <s v="colis recu ? "/>
        <s v="colis recu oui "/>
        <s v="colis recu ? oui "/>
        <s v="IG + Cross post TT"/>
        <s v="x5"/>
        <s v="x6"/>
      </sharedItems>
    </cacheField>
    <cacheField name="Description rapide de la demande" numFmtId="0">
      <sharedItems containsBlank="1">
        <s v="vidéo dédiée maquillage avec la marque Bell."/>
        <s v="post obligatoire avec brief"/>
        <s v="post obligatoire  "/>
        <s v="Brief à respecter"/>
        <s v="Thème du book"/>
        <m/>
        <s v="Post Obligatoire "/>
        <s v="Brief dans mail"/>
        <s v="Ne pas poster / Suivre brief"/>
        <s v="Post avec brief"/>
        <s v="Libre"/>
        <s v="Seeding"/>
        <s v="NiceWork"/>
        <s v="Nice Work"/>
        <s v="Post Obligatoire"/>
        <s v="Fonctionnement Nice Work"/>
        <s v="Pas de brief"/>
        <s v="Consignes Nice Work"/>
        <s v="Post obligatoire sans brief"/>
        <s v="1 Tiktok + 1 Reel"/>
        <s v="1 Tiktok + 1 IG story"/>
        <s v="Post non obligatoire"/>
        <s v="Libre - colis presse"/>
        <s v="Evenement"/>
        <s v="Sans obligation de post"/>
        <s v="Obligation de post"/>
        <s v="Nice Work Fonctionnement"/>
        <s v="Médiatisation"/>
        <s v="Apport D'affaire"/>
        <s v="Promouvoir les 2 produits"/>
        <s v="Voir Brief mail"/>
        <s v="Event"/>
      </sharedItems>
    </cacheField>
    <cacheField name="Format (influence vs UGC)" numFmtId="166">
      <sharedItems containsBlank="1">
        <s v="Influence"/>
        <m/>
        <s v="UGC "/>
        <s v="UGC"/>
        <s v="Evenement"/>
        <s v="Skeepers"/>
        <s v="Interview"/>
        <s v="Médiatisation"/>
      </sharedItems>
    </cacheField>
    <cacheField name="Rémunération totale">
      <sharedItems containsBlank="1" containsMixedTypes="1" containsNumber="1">
        <n v="70.0"/>
        <n v="130.0"/>
        <n v="200.0"/>
        <s v="Gifting + Médiatisation"/>
        <s v="20€/semaine de médiatisation"/>
        <n v="350.0"/>
        <s v="Comptabilisé"/>
        <n v="500.0"/>
        <n v="150.0"/>
        <s v="Gifting"/>
        <n v="100.0"/>
        <m/>
        <n v="650.0"/>
        <n v="450.0"/>
        <n v="629.92"/>
        <n v="1800.0"/>
        <n v="175.0"/>
        <n v="250.0"/>
        <n v="1000.0"/>
        <n v="230.0"/>
        <n v="300.0"/>
        <n v="80.0"/>
        <n v="531.0"/>
        <n v="400.0"/>
        <n v="241.28"/>
        <n v="75.0"/>
        <n v="275.0"/>
        <n v="137.5"/>
        <n v="600.0"/>
        <n v="526.48"/>
        <n v="625.0"/>
        <n v="1250.0"/>
        <n v="800.0"/>
        <n v="699.2"/>
        <n v="225.0"/>
        <n v="1500.0"/>
        <n v="357.935"/>
        <n v="173.0"/>
        <n v="1200.0"/>
        <n v="233.33333333333334"/>
        <n v="750.0"/>
        <n v="700.0"/>
        <n v="393.3"/>
        <n v="125.0"/>
        <n v="382.5"/>
        <n v="325.0"/>
        <n v="0.0"/>
        <n v="170.0"/>
        <n v="900.0"/>
        <n v="375.0"/>
        <n v="195.0"/>
        <n v="950.0"/>
        <n v="1012.5"/>
        <n v="2000.0"/>
        <n v="333.3333333333333"/>
        <n v="582.0"/>
        <n v="291.0"/>
        <n v="970.0"/>
        <n v="1850.0"/>
        <n v="940.0"/>
        <n v="2500.0"/>
        <n v="850.0"/>
        <n v="1100.0"/>
        <n v="810.0"/>
        <n v="552.0"/>
        <n v="550.13"/>
        <n v="1400.0"/>
        <n v="1125.0"/>
        <n v="395.09"/>
        <n v="410.72"/>
        <n v="550.0"/>
        <n v="508.3"/>
        <n v="370.0"/>
        <n v="1300.0"/>
        <n v="492.87"/>
        <n v="166.66666666666666"/>
        <n v="3298.0"/>
        <n v="666.6666666666666"/>
        <n v="620.0"/>
        <n v="112.5"/>
        <n v="217.4"/>
        <n v="3125.0"/>
        <n v="266.6666666666667"/>
        <n v="310.0"/>
        <n v="880.0"/>
        <n v="1290.0"/>
        <n v="840.0"/>
        <n v="602.0"/>
        <n v="190.0"/>
        <s v="Affiliation"/>
        <s v="10% Commission"/>
        <s v="Showroom"/>
        <s v="Evenement"/>
        <n v="235.0"/>
        <n v="144.0"/>
        <s v="Affiliate"/>
        <s v="Event"/>
        <n v="933.3333333333334"/>
        <n v="3000.0"/>
        <n v="4500.0"/>
        <n v="588.0"/>
        <n v="471.27"/>
        <s v="PR"/>
        <n v="2985.0"/>
        <n v="270.0"/>
        <n v="2100.0"/>
        <n v="2550.0"/>
        <n v="1280.0"/>
      </sharedItems>
    </cacheField>
    <cacheField name="Date Stats">
      <sharedItems containsDate="1" containsString="0" containsBlank="1" containsMixedTypes="1">
        <m/>
        <d v="2024-04-16T00:00:00Z"/>
        <d v="2024-04-29T00:00:00Z"/>
        <d v="2024-04-25T00:00:00Z"/>
        <d v="2024-05-08T00:00:00Z"/>
        <d v="2024-05-11T00:00:00Z"/>
        <d v="2024-05-31T00:00:00Z"/>
        <n v="105.0"/>
        <n v="96.25"/>
        <n v="280.0"/>
        <n v="140.0"/>
        <n v="350.0"/>
        <n v="420.0"/>
      </sharedItems>
    </cacheField>
    <cacheField name="Lien video" numFmtId="0">
      <sharedItems containsBlank="1">
        <m/>
        <s v="https://www.tiktok.com/@melf.fnt/video/7382192283279494432"/>
        <s v="https://www.tiktok.com/@lilyy.nl/video/7383728309110050080"/>
        <s v="https://www.tiktok.com/@lolatagliaferroo/video/7383998473613479201"/>
        <s v="https://www.tiktok.com/@lavishhcam/video/7390792553022442784?lang=en"/>
        <s v="https://www.tiktok.com/@chiaraaaa.bnc/video/7391058568260111649"/>
        <s v="https://www.tiktok.com/@lina.mkrn2/video/7390790437969104161"/>
        <s v="https://www.tiktok.com/@perrine.trp/video/7391590382611516705"/>
        <s v="https://www.tiktok.com/@morgane.mrckk/video/7390710366738681121"/>
        <s v="https://www.tiktok.com/@perrine.trp/video/7394891259883654433"/>
        <s v="https://www.tiktok.com/@___oraane/video/7392965105924738336"/>
        <s v="https://www.tiktok.com/@paupibeauty/video/7395224727377251617"/>
        <s v="https://www.tiktok.com/@lolatagliaferroo/video/7395519666556259616"/>
        <s v="https://www.tiktok.com/@melf.fnt/video/7393286593676660000"/>
        <s v="https://www.tiktok.com/@perrine.trp/video/7393392477878701345"/>
        <s v="https://www.tiktok.com/@morgane.mrckk/video/7394042444519591201"/>
        <s v="https://www.tiktok.com/@paupibeauty/video/7394501330364075296"/>
        <s v="https://www.tiktok.com/@paupibeauty/video/7397449808555937056?_r=1&amp;_t=8oSOvlgWeMi"/>
        <s v="https://www.tiktok.com/@lolatagliaferroo/video/7398086597721263393"/>
        <s v="https://www.tiktok.com/@___oraane/video/7398548157925248288"/>
        <s v="https://vm.tiktok.com/ZGenfd12c/"/>
        <s v="https://www.tiktok.com/@liserdg/video/7397464254451911969"/>
        <s v="https://www.tiktok.com/@liserdg/video/7401195152984870176"/>
        <s v="https://www.tiktok.com/@lilyy.nl/video/7403767696283766048"/>
        <s v="https://www.tiktok.com/@morgane.mrckk/video/7411931626252422433"/>
        <s v="https://www.tiktok.com/@___oraane/video/7403673068578688289"/>
        <s v="https://www.tiktok.com/@lavishhcam/video/7406036857340824865?lang=en"/>
        <s v="https://www.tiktok.com/@lilyy.nl/video/7407093682731502880"/>
        <s v="https://www.tiktok.com/@paupibeauty/video/7403439757415533856?_r=1&amp;_t=8otpeszl9rE"/>
        <s v="https://www.tiktok.com/@perrine.trp/video/7411953653143129376"/>
        <s v="https://www.tiktok.com/@lavishhcam/video/7407487090046389537?lang=en"/>
        <s v="https://www.tiktok.com/@melf.fnt/video/7408135764502007073"/>
        <s v="https://www.tiktok.com/@lavishhcam/video/7406708879695875360?lang=en"/>
        <s v="https://www.tiktok.com/@lavishhcam/video/7411562966337834272?lang=en"/>
        <s v="https://www.tiktok.com/@morgane.mrckk/video/7406767459749055777"/>
        <s v="https://www.tiktok.com/@lilyy.nl/video/7411947131440827681"/>
        <s v="https://www.tiktok.com/@julianebernard/video/7415999447202663713"/>
        <s v="https://www.tiktok.com/@lilyy.nl/video/7412698376162135328"/>
        <s v="https://www.tiktok.com/@melf.fnt/video/7421252203458874656"/>
        <s v="https://www.tiktok.com/@melf.fnt/video/7417119746270776609"/>
        <s v="https://www.tiktok.com/@melf.fnt/video/7422703664969616673"/>
        <s v="https://www.tiktok.com/@paupibeauty/video/7416729046316338465?_r=1&amp;_t=8psjQcSNmPA"/>
        <s v="https://www.tiktok.com/@jessicadcstr/video/7401576606319398177"/>
        <s v="https://tiktok.com/@mary.zhh/video/7416774634885926176?lang=en"/>
        <s v="https://www.tiktok.com/@chiaraaaa.bnc/video/7417486710386232609"/>
        <s v="https://www.tiktok.com/@perrine.trp/video/7420530124208016672"/>
        <s v="https://www.tiktok.com/@paupibeauty/video/7418269204975078689"/>
        <s v="https://www.tiktok.com/@jeanne_bayart/video/7425572834992344353?_r=1&amp;_t=8qXCYC0RFJY"/>
        <s v="https://www.tiktok.com/@jeanne_bayart/video/7437562970659491105?lang=en"/>
        <s v="https://www.tiktok.com/@___oraane/video/7434852783339195681?lang=en"/>
        <s v="https://www.tiktok.com/@melf.fnt/video/7430522334919822624"/>
        <s v="https://www.tiktok.com/@liserdg/video/7430136572063796513?lang=en"/>
        <s v="https://www.tiktok.com/@liserdg/video/7432768931619802401?lang=en"/>
        <s v="https://www.tiktok.com/@morgane.mrckk/video/7430757799249988896?lang=en"/>
        <s v="https://www.tiktok.com/@shaa_dl/video/7515842386795187478"/>
        <s v="https://www.tiktok.com/@___oraane/video/7419283054981664033"/>
        <s v="https://www.tiktok.com/@anaiswairyy/video/7433837110584479008?lang=en"/>
        <s v="https://www.tiktok.com/@chiaraaaa.bnc/video/7438003860733578528?lang=en"/>
        <s v="https://www.tiktok.com/@morgane.mrckk/video/7437476392905805089?lang=en"/>
        <s v="https://www.tiktok.com/@iimslma/video/7436438336383880480?lang=en"/>
        <s v="https://www.tiktok.com/@melf.fnt/video/7436438601740668192?_r=1&amp;_t=8rKy09eXARN"/>
        <s v="https://www.tiktok.com/@lavishhcam/video/7437477138430741792"/>
        <s v="https://www.tiktok.com/@julianebernard/video/7437454498747927841?lang=en"/>
        <s v="https://www.tiktok.com/@melf.fnt/video/7437532619706731809"/>
        <s v="https://www.tiktok.com/@anaiswairyy/video/7455393883908771094?lang=en"/>
        <s v="https://www.tiktok.com/@anaiswairyy/video/7469871245606030614?lang=en"/>
        <s v="https://www.tiktok.com/@___oraane/video/7450792735776296214?lang=en"/>
        <s v="https://www.tiktok.com/@___oraane/video/7449648582451350806?lang=en"/>
        <s v="https://www.tiktok.com/@melf.fnt/video/7441913953858489633"/>
        <s v="https://www.tiktok.com/@paupibeauty/video/7442018892454694176?_r=1&amp;_t=8rkWjFn0wJa"/>
        <s v="https://www.tiktok.com/@anaiswairyy?lang=en"/>
        <s v="https://www.tiktok.com/@lilyy.nl/video/7443863318730689814"/>
        <s v="https://www.tiktok.com/@jeanne_bayart/video/7442798993492479265?lang=en"/>
        <s v="https://www.tiktok.com/@iman_cvls/video/7451924438834089238?_r=1&amp;_t=8sTta62xc1u"/>
        <s v="https://www.tiktok.com/@iman_cvls/video/7452023214944947478?_r=1&amp;_t=8sWEGQqinJO"/>
        <s v="https://www.tiktok.com/@iman_cvls/video/7452403635708775702"/>
        <s v="https://www.tiktok.com/@jasmiinelife/video/7453739165205777686?lang=en"/>
        <s v="https://www.tiktok.com/@lavishhcam/video/7463441462252932374"/>
        <s v="https://www.tiktok.com/@iimslma/video/7465383468805999894?_r=1&amp;_t=ZN-8tTXg6qHkUY"/>
        <s v="https://www.tiktok.com/@iman_cvls/video/7465390038260485398?_t=ZN-8tTZG4XbMr0&amp;_r=1"/>
        <s v="https://www.tiktok.com/@liserdg/video/7465785595495763222?lang=en"/>
        <s v="https://www.tiktok.com/@la_gur/video/7467998009230363926?lang=en"/>
        <s v="75 de media"/>
        <s v="https://www.tiktok.com/@dounsbnl/video/7471295610063310102"/>
        <s v="https://www.tiktok.com/@lolatagliaferroo?lang=en"/>
        <s v="https://www.tiktok.com/@___oraane/video/7471294678306934038?lang=en"/>
        <s v="https://www.tiktok.com/@shaa_dl/video/7471336075559046422"/>
        <s v="https://www.tiktok.com/@dounsbnl/video/7451645404535442710"/>
        <s v="https://www.tiktok.com/@anaiswairyy/video/7471353868702502166?lang=en"/>
        <s v="https://www.tiktok.com/@dounsbnl/video/7473150812873788674?_t=ZN-8u36zKwjrx0&amp;_r=1"/>
        <s v="https://www.tiktok.com/@lolatagliaferroo/video/7473819808870534422?lang=en"/>
        <s v="https://www.tiktok.com/@paupibeauty/video/7473538347969875222?_r=1&amp;_t=ZN-8u4tYDuW4wQ"/>
        <s v="https://www.tiktok.com/@perrine.trp/video/7476172058406194454?lang=en"/>
        <s v="https://www.tiktok.com/@eloiseaubeneauu/video/7482020827924401451"/>
        <s v="https://www.tiktok.com/@julianebernard/video/7496568197135486230?_r=1&amp;_t=ZN-8vmOTilRwgg"/>
        <s v="https://www.tiktok.com/@iimslma/video/7485792482345618710?_r=1&amp;_t=ZN-8uz1T2hjhy6"/>
        <s v="https://www.tiktok.com/@dounsbnl/video/7476794031935147286"/>
        <s v="https://www.tiktok.com/@eloiseaubeneauu/video/7495738839487581470?_t=ZP-8viaG7wegWt&amp;_r=1"/>
        <s v="https://www.tiktok.com/@lilyy.nl/video/7493984160173034774"/>
        <s v="https://www.tiktok.com/@ttemarine/video/7495056234014379266"/>
        <s v="https://www.tiktok.com/@ttemarine/video/7494670749865757974"/>
        <s v="https://www.tiktok.com/@julianebernard/video/7493986086654315798?lang=en"/>
        <s v="https://www.tiktok.com/@paupibeauty/video/7493948630144011542"/>
        <s v="https://www.tiktok.com/@lavishhcam/video/7495428391882198295"/>
        <s v="https://www.tiktok.com/@la_gur/video/7499405044245204246?lang=en"/>
        <s v="https://www.tiktok.com/@sarah.bdii/video/7499149208293788950"/>
        <s v="https://www.tiktok.com/@jasmiinelife/video/7499164614366645526?lang=en"/>
        <s v="https://www.tiktok.com/@ttemarine/video/7499519504368569622"/>
        <s v="https://www.tiktok.com/@lovelymorgane/video/7499894490853821718?_r=1&amp;_t=8kth38xkh3x"/>
        <s v="https://www.tiktok.com/@arwen.arwen1/video/7506934371669101846?lang=en"/>
        <s v="https://www.tiktok.com/@farahdisiaque/video/7505057972834372886"/>
        <s v="https://www.tiktok.com/@paupibeauty/video/7506557930817277206?_t=ZN-8wW7MsM3mNy&amp;_r=1"/>
        <s v="https://www.tiktok.com/@lavishhcam/video/7505069359010794774"/>
        <s v="https://www.tiktok.com/@paupibeauty/video/7507679880100810007?_r=1&amp;_t=ZN-8wbG54dkxtO"/>
        <s v="https://www.tiktok.com/@iam.sissou/video/7526589360469265686?is_from_webapp=1&amp;sender_device=pc&amp;web_id=7504317976587437590"/>
        <s v="https://www.tiktok.com/@mary.zhh/video/7462430581402520854"/>
        <s v="https://www.tiktok.com/@mary.zhh/video/7460561651675303190"/>
        <s v="https://www.tiktok.com/@paupibeauty/video/7439768252269546785?_r=1&amp;_t=8raH38QLVtG"/>
        <s v="https://www.tiktok.com/@amani_mee/video/7494728696528522518"/>
        <s v="https://vm.tiktok.com/ZNdPeJgF7/"/>
        <s v="https://www.tiktok.com/@ttemarine/video/7522142648207936790?_t=ZN-8xfVHZaTphe&amp;_r=1"/>
        <s v="https://www.tiktok.com/@iam.sissou/video/7513475563936369942"/>
        <s v="https://www.tiktok.com/@iimslma/video/7522888104374701335"/>
        <s v="https://drive.google.com/drive/folders/19ToYFCpY-wQNqLL1X6hkS610Je7ZJWpH?usp=sharing"/>
        <s v="https://drive.google.com/drive/folders/1cqb0DvHrI2AEf5Y1mODPl-Wb-x2ZpIBF?usp=sharing"/>
        <s v="https://www.tiktok.com/@shaa_dl/video/7525111945536523542?_r=1&amp;_t=ZN-8xwa2XIbgXO"/>
        <s v="https://www.instagram.com/p/DL9s1T-ucxx/?hl=fr"/>
        <s v="https://www.tiktok.com/@___oraane/video/7525503490924416279"/>
        <s v="https://www.tiktok.com/@julianebernard/video/7522838166227864854?lang=en"/>
        <s v="https://www.tiktok.com/@laudewit/video/7519192074919365920"/>
        <s v="https://www.tiktok.com/@asmaenel/video/7526542702301826326?is_from_webapp=1&amp;sender_device=pc&amp;web_id=7504317976587437590"/>
        <s v="https://www.tiktok.com/@shaa_dl/video/7525111987638979862?_r=1&amp;_t=ZN-8xwa1oeBxCQ"/>
        <s v="https://www.tiktok.com/@juliette.pn/video/7525473712418622742?is_from_webapp=1&amp;sender_device=pc&amp;web_id=7504317976587437590"/>
        <s v="https://www.tiktok.com/@laudewit/video/7525483945366998305"/>
        <s v="https://www.tiktok.com/@julianebernard/video/7526982773156924694?_r=1&amp;_t=ZN-8y1f4d2rh1K"/>
        <s v="https://www.tiktok.com/@la_gur/video/7528400374802173206"/>
        <s v="https://www.tiktok.com/@paupibeauty/video/7529220565756857622"/>
        <s v="https://vm.tiktok.com/ZNHp1gFdSuU6L-Orqzs/"/>
        <s v="https://www.tiktok.com/@melissa.pndd/video/7526574135296773398?is_from_webapp=1&amp;sender_device=pc&amp;web_id=7504317976587437590"/>
        <s v="https://www.tiktok.com/@laudewit/video/7529089646714735905"/>
        <s v="https://www.tiktok.com/@guenaire/video/7532570588146076950"/>
        <s v="https://www.tiktok.com/@laudewit/video/7525765188893674784"/>
        <s v="https://www.tiktok.com/@sarah.bdii/video/7516951979084598550"/>
        <s v="https://www.tiktok.com/@anaiswairyy/video/7466167514402229526?lang=en"/>
        <s v="https://www.tiktok.com/@melissa.pndd/video/7514352561562946838"/>
        <s v="https://vm.tiktok.com/ZNdyXTXHb/"/>
        <s v="https://www.instagram.com/reel/DLc5EB4ogna/?utm_source=ig_web_copy_link"/>
        <s v="https://www.tiktok.com/@glennwolff/video/7517353745353559318?is_from_webapp=1&amp;sender_device=pc&amp;web_id=7504317976587437590"/>
        <s v="https://www.instagram.com/reel/DLXs9HIijUX/?utm_source=ig_web_copy_link&amp;igsh=MzEyc2ZyNmFwZTMw"/>
        <s v="https://www.tiktok.com/@lolatagliaferroo/video/7520567485473492246?is_from_webapp=1&amp;sender_device=pc&amp;web_id=7504317976587437590"/>
        <s v="https://www.tiktok.com/@melissa.pndd/video/7519911199744494850?is_from_webapp=1&amp;sender_device=pc&amp;web_id=7504317976587437590"/>
        <s v="https://www.tiktok.com/@___oraane/video/7518063433611480343?_t=ZN-8xMoEPKM08s&amp;_r=1"/>
        <s v="https://www.tiktok.com/@paupibeauty/video/7521283052488641814?is_from_webapp=1&amp;sender_device=pc&amp;web_id=7504317976587437590"/>
        <s v="https://www.tiktok.com/@sarah.bdii/video/7532173540204891414"/>
        <s v="https://www.tiktok.com/@shaa_dl/video/7414067609177476384"/>
        <s v="https://www.tiktok.com/@shaa_dl/video/7430530285852167457"/>
        <s v="https://www.tiktok.com/@shaa_dl/video/7456916860278295830?_t=ZN-8sqlAIVsOJS&amp;_r=1"/>
        <s v="https://www.tiktok.com/@amandambt_/video/7483639690327788822?lang=en"/>
        <s v="La première à 1 min 17 https://vm.tiktok.com/ZNdMWypK4/ La seconde à 1 min 32 https://vm.tiktok.com/ZNdMWUM5e/"/>
        <s v="https://www.instagram.com/reel/DFqvAlCNUMN/"/>
        <s v="https://www.tiktok.com/@arwen.arwen1/video/7453509821812280598?lang=en"/>
        <s v="https://www.tiktok.com/@arwen.arwen1/video/7453509775200980246?lang=en"/>
        <s v="https://www.tiktok.com/@arwen.arwen1/video/7453530509163973910?lang=en"/>
        <s v="https://www.tiktok.com/@lavishhcam/video/7372599354646957344"/>
        <s v="https://www.tiktok.com/@lavishhcam/video/7370721490632772896?lang=en"/>
        <s v="https://www.tiktok.com/@lavishhcam/video/7374120668813659425"/>
        <s v="https://vm.tiktok.com/ZGeGrsEfX/"/>
        <s v="https://www.tiktok.com/@lavishhcam/video/7392636437163773217"/>
        <s v="https://www.tiktok.com/@lavishhcam/video/7401082023797902625?lang=en"/>
        <s v="https://www.tiktok.com/@lavishhcam/video/7401156666479119649?lang=en"/>
        <s v="https://www.tiktok.com/@lavishhcam/video/7415270528665046305?lang=en"/>
        <s v="https://www.tiktok.com/@lavishhcam/video/7414065973084359968?lang=en"/>
        <s v="https://www.tiktok.com/@lavishhcam/video/7421861704159464736?lang=en"/>
        <s v="https://www.tiktok.com/@lavishhcam/video/7421578850808646944"/>
        <s v="https://www.tiktok.com/@lavishhcam/video/7424528927714020641"/>
        <s v="https://tiktok.com/@lavishhcam/video/7428536491384638753"/>
        <s v="https://www.tiktok.com/@lavishhcam/video/7431968536773299489"/>
        <s v="https://www.tiktok.com/@lavishhcam/video/7431640311199255840"/>
        <s v="https://www.tiktok.com/@lavishhcam/video/7442372621200575776"/>
        <s v="https://www.tiktok.com/@lavishhcam/video/7451273510346820886"/>
        <s v="https://www.tiktok.com/@lavishhcam/video/7465046952749616406"/>
        <s v="https://www.tiktok.com/@lavishhcam/video/7462439461763157270"/>
        <s v="https://www.tiktok.com/@lavishhcam/video/7467602307832745238?_r=1&amp;_t=ZN-8tpZSV3gUPG"/>
        <s v="https://www.tiktok.com/@lavishhcam/video/7481621153107217686?_t=ZN-8ufuB4coZpW&amp;_r=1"/>
        <s v="https://www.tiktok.com/@lavishhcam/video/7480248461112216854?_t=ZN-8uksUX9QNRG&amp;_r=1"/>
        <s v="https://www.tiktok.com/@lavishhcam/video/7395231761887759649?lang=en"/>
        <s v="https://www.tiktok.com/@lavishhcam/video/7398186484789988641?lang=en"/>
        <s v="https://www.tiktok.com/@lavishhcam/video/7365759408892103969?lang=en"/>
        <s v="https://www.tiktok.com/@lavishhcam/video/7401530328214441248?lang=en"/>
        <s v="https://www.tiktok.com/@lavishhcam/video/7394844935842778400?lang=en"/>
        <s v="https://www.tiktok.com/@chiaraaaa.bnc/video/7391983750164319520?_r=1&amp;_t=8o3MXv1mvZJ"/>
        <s v="https://www.tiktok.com/@chiaraaaa.bnc/video/7394423173132913952"/>
        <s v="https://www.tiktok.com/@chiaraaaa.bnc/video/7405297473117310240"/>
        <s v="https://www.tiktok.com/@chiaraaaa.bnc/video/7404583889974480161"/>
        <s v="https://www.tiktok.com/@chiaraaaa.bnc/video/7416745525149584673"/>
        <s v="https://www.tiktok.com/@chiaraaaa.bnc/video/7415682356973014305?_r=1&amp;_t=8pnu1Dc4LKK"/>
        <s v="https://www.tiktok.com/@chiaraaaa.bnc/video/7426062687051713824?lang=en"/>
        <s v="https://www.tiktok.com/@chiaraaaa.bnc/video/7429003433572715809?lang=en"/>
        <s v="https://www.tiktok.com/@dounsbnl/video/7431205107913493793"/>
        <s v="https://www.tiktok.com/@dounsbnl/video/7474747644808613142"/>
        <s v="https://www.instagram.com/p/DHT2-JnIB-6/"/>
        <s v="https://www.instagram.com/reel/DJMIRWMoL9E/?igsh=MTY5bnFnZW5mZGI2dA=="/>
        <s v="https://www.tiktok.com/@eloiseaubeneauu/video/7483491441663036718?_t=ZT-8uoTJcOEruw&amp;_r=1"/>
        <s v="https://www.tiktok.com/@eloiseaubeneauu/video/7507226915682389279"/>
        <s v="https://www.instagram.com/reel/DJPcuR3Idt7/?igsh=OW9lOXZyc2hucGI="/>
        <s v="https://www.tiktok.com/@farahdisiaque/video/7483922941864955158?_t=ZN-8uqT7rbpmb8&amp;_r=1"/>
        <s v="c"/>
        <s v="https://www.tiktok.com/@bleulividee/video/7372251599776877856"/>
        <s v="https://vm.tiktok.com/ZGepDFE5y/"/>
        <s v="https://www.tiktok.com/@bleulividee/video/7391910299361709344"/>
        <s v="https://www.tiktok.com/@bleulividee/video/7392682253026970912"/>
        <s v="https://www.tiktok.com/@bleulividee/video/7410370727486049568"/>
        <s v="https://www.tiktok.com/@bleulividee/video/7375559768552770849"/>
        <s v="https://www.tiktok.com/@bleulividee/video/7393388652753194273"/>
        <s v="https://www.tiktok.com/@bleulividee/video/7397487380388744480"/>
        <s v="https://www.tiktok.com/@bleulividee/video/7365539403646651680"/>
        <s v="https://www.tiktok.com/@la_gur/photo/7457999858377428246?lang=en"/>
        <s v="https://www.tiktok.com/@la_gur/video/7485089693206433046?lang=en"/>
        <s v="https://www.tiktok.com/@la_gur/video/7495733948685815062?lang=en"/>
        <s v="https://drive.google.com/drive/folders/1bllXfbrb3bUB07wpoG2Ebl0SK0IzuWTC?usp=sharing"/>
        <s v="https://www.tiktok.com/@hidaya_bl/video/7484394919600213270"/>
        <s v="https://www.tiktok.com/@iman_cvls/video/7397858754177551649"/>
        <s v="https://www.tiktok.com/@iman_cvls/video/7404463230673849633"/>
        <s v="https://www.tiktok.com/@iman_cvls/video/7414564750392184096"/>
        <s v="https://www.tiktok.com/@iman_cvls/video/7430007298031930656?lang=en"/>
        <s v="https://www.tiktok.com/@iman_cvls/video/7442289270481636640?lang=en"/>
        <s v="https://www.tiktok.com/@iman_cvls/video/7458583066676710678?_t=ZN-8syYtKZMQGF&amp;_r=1"/>
        <s v="https://vm.tiktok.com/ZNdrMWKU9/   https://vm.tiktok.com/ZNdrMbUmK/&#10;"/>
        <s v="https://www.tiktok.com/@iman_cvls/video/7405646497515113761"/>
        <s v="https://www.tiktok.com/@jasmiinelife/video/7402157667159969057"/>
        <s v="https://www.tiktok.com/@jasmiinelife/video/7398942773430308128"/>
        <s v="https://www.tiktok.com/@jasmiinelife/video/7411133691189071137"/>
        <s v="https://www.tiktok.com/@jasmiinelife/video/7431849329335209249?_t=8qzxJsLvUuH&amp;_r=1"/>
        <s v="https://www.tiktok.com/@jasmiinelife/video/7481342810977881366?_r=1&amp;_t=ZN-8ued6vIUIJa"/>
        <s v="https://www.tiktok.com/@jasmiinelife/video/7478010649835064598?_t=ZN-8uksMc15EkI&amp;_r=1"/>
        <s v="https://vm.tiktok.com/ZNdr6BsyX/"/>
        <s v="https://www.tiktok.com/@jasmiinelife/video/7406012010816638240"/>
        <s v="https://www.instagram.com/reel/DAEGiSUicZy/"/>
        <s v="https://www.tiktok.com/@jeanne_bayart/video/7405111060274924832"/>
        <s v="https://www.tiktok.com/@jeanne_bayart/video/7401629838697565472"/>
        <s v="https://www.instagram.com/reel/DHYZokMIocA/?igsh=MXJmNGNqYzdlNjZ6eg%3D%3D"/>
        <s v="https://www.tiktok.com/@jessicadcstr/video/7374052571708771616"/>
        <s v="https://www.tiktok.com/@jessicadcstr/video/7375545597094464801"/>
        <s v="https://www.tiktok.com/@jessicadcstr/video/7388534640631450913"/>
        <s v="https://www.tiktok.com/@jessicadcstr/video/7389326468137995552"/>
        <s v="https://www.tiktok.com/@jessicadcstr/video/7402283442785766688"/>
        <s v="https://www.tiktok.com/@jessicadcstr/video/7400003750661819681"/>
        <s v="https://www.tiktok.com/@jessicadcstr/video/7401184127703108897"/>
        <s v="https://www.tiktok.com/@jessicadcstr/video/7379634512625487137"/>
        <s v="https://www.tiktok.com/@jessicadcstr/video/7370005908706921761?q=jessicadcstr%20aromazone&amp;t=1716383408647"/>
        <s v="https://www.tiktok.com/@julianebernard/video/7375950922876194080"/>
        <s v="https://www.tiktok.com/@julianebernard/video/7394526025591409952"/>
        <s v="https://www.tiktok.com/@julianebernard/video/7415662953526988065"/>
        <s v="https://www.tiktok.com/@julianebernard/video/7422201837324979489"/>
        <s v="https://www.tiktok.com/@julianebernard/video/7423819976387218720?lang=en"/>
        <s v="https://www.tiktok.com/@julianebernard/video/7428654055754353952?lang=en"/>
        <s v="https://www.tiktok.com/@julianebernard/video/7431227139405466912?lang=en"/>
        <s v="https://www.tiktok.com/@julianebernard/video/7470566844924005654?lang=en"/>
        <s v="https://www.tiktok.com/@julianebernard/video/7480957956545203478?_t=ZN-8uflzHw9hd0&amp;_r=1"/>
        <s v="https://www.tiktok.com/@julianebernard/video/7483144981474053398?_r=1&amp;_t=ZN-8umtSsTCOtq"/>
        <s v="https://www.tiktok.com/@julianebernard/video/7505188044769611030?_r=1&amp;_t=ZN-8wUPhwBCpra"/>
        <s v="https://www.tiktok.com/@julianebernard/video/7387355316817612064"/>
        <s v="https://www.tiktok.com/@laurieespamm/video/7373977897394048289"/>
        <s v="https://www.tiktok.com/@laurieespamm/video/7372894690884029729"/>
        <s v="https://www.tiktok.com/@laurieespamm/video/7385220213458980129"/>
        <s v="https://www.tiktok.com/@laurieespamm/video/7403685503830084896?_r=1&amp;_t=8ouxXOOFEH3"/>
        <s v="https://www.tiktok.com/@laurieespamm/video/7385584137039596833"/>
        <s v="https://www.tiktok.com/@lilyy.nl/video/7372250529398836512"/>
        <s v="https://www.tiktok.com/@lilyy.nl/video/7374127349601701153"/>
        <s v="https://www.tiktok.com/@lilyy.nl/video/7377465554560453921"/>
        <s v="https://www.tiktok.com/@lilyy.nl/video/7382595650866662688"/>
        <s v="https://www.tiktok.com/@lilyy.nl/video/7387413713944333601"/>
        <s v="https://www.tiktok.com/@lilyy.nl/video/7398197901182111008"/>
        <s v="https://www.tiktok.com/@lilyy.nl/video/7400071344089533728"/>
        <s v="https://www.tiktok.com/@lilyy.nl/video/7401181475330198816"/>
        <s v="https://www.tiktok.com/@lilyy.nl/video/7416387740951956768"/>
        <s v="https://www.tiktok.com/@lilyy.nl/video/7414163405205982497"/>
        <s v="https://www.tiktok.com/@lilyy.nl/video/7424229467951729953"/>
        <s v="https://www.tiktok.com/@lilyy.nl/video/7421229015719103776"/>
        <s v="https://www.tiktok.com/@lilyy.nl/video/7432644019890539808"/>
        <s v="https://www.tiktok.com/@lilyy.nl/video/7467121622500003094"/>
        <s v="https://www.tiktok.com/@lilyy.nl/video/7465615921470557462"/>
        <s v="https://www.tiktok.com/@lilyy.nl/video/7473378357531397398?_t=ZN-8uecd1X7Rby&amp;_r=1"/>
        <s v="https://www.tiktok.com/@lilyy.nl/video/7381865050685934881"/>
        <s v="https://www.tiktok.com/@lilyy.nl/video/7397468947290918176"/>
        <s v="https://www.tiktok.com/@lilyy.nl/video/7355571660520426784?q=lilyy.nl%20aromazone&amp;t=1716382679417"/>
        <s v="https://www.tiktok.com/@lilyy.nl/video/7407474534565154081"/>
        <s v="www.tiktok.com/@lilyy.nl/video/7402233435932216608?cid=NzQwMjIzNDY4NzAzMDE5OTA3Mg"/>
        <s v="https://www.tiktok.com/@lina.mkrn2/video/7384054300869217569?browserMode=1"/>
        <s v="https://www.tiktok.com/@liserdg/video/7399262478896614689"/>
        <s v="https://www.tiktok.com/@liserdg/video/7399698677285014817"/>
        <s v="https://www.tiktok.com/@liserdg/video/7404521868960501024"/>
        <s v="https://www.tiktok.com/@liserdg/video/7407523195101728033"/>
        <s v="https://www.tiktok.com/@liserdg/video/7418260695130623264"/>
        <s v="https://www.tiktok.com/@liserdg/video/7420486871957998880"/>
        <s v="https://www.tiktok.com/@liserdg/video/7431256738801667360?lang=en"/>
        <s v="https://www.tiktok.com/@liserdg/video/7441653570472135969?_t=8riqrKU7tr6&amp;_r=1"/>
        <s v="https://www.tiktok.com/@liserdg/video/7408641991967378720"/>
        <s v="https://www.tiktok.com/@liserdg/video/7381070326211317025"/>
        <s v="https://tiktok.com/@liserdg/video/7422323883673423136"/>
        <s v="https://www.tiktok.com/@lolatagliaferroo/video/7388560111800749345"/>
        <s v="https://www.tiktok.com/@lolatagliaferroo/video/7417167690537717024"/>
        <s v="https://www.tiktok.com/@lolatagliaferroo/video/7417539584071830816"/>
        <s v="https://www.tiktok.com/@lolatagliaferroo/video/7428671047366348065?lang=en"/>
        <s v="https://www.tiktok.com/@lolatagliaferroo/video/7445278458680266006?lang=en"/>
        <s v="https://www.tiktok.com/@melf.fnt/video/7372218331379666209"/>
        <s v="https://www.tiktok.com/@melf.fnt/video/7370750286744292641"/>
        <s v="https://www.tiktok.com/@melf.fnt/video/7383665768757579041"/>
        <s v="https://www.tiktok.com/@melf.fnt/video/7384078329554423073"/>
        <s v="https://www.tiktok.com/@melf.fnt/video/7388460088819797280"/>
        <s v="https://www.tiktok.com/@melf.fnt/video/7391885588057656609"/>
        <s v="https://www.tiktok.com/@melf.fnt/video/7399939773575613728"/>
        <s v="https://www.tiktok.com/@melf.fnt/video/7416390437692280096"/>
        <s v="https://www.tiktok.com/@melf.fnt/video/7415636160636013856"/>
        <s v="https://www.tiktok.com/@melf.fnt/video/7417407814903057697"/>
        <s v="https://www.tiktok.com/@melf.fnt/video/7422664116545801504"/>
        <s v="https://www.tiktok.com/@melf.fnt/video/7431619697042296096"/>
        <s v="https://www.tiktok.com/@melf.fnt/video/7428571977918500128"/>
        <s v="https://www.tiktok.com/@melf.fnt/video/7375924184494476577"/>
        <s v="https://www.tiktok.com/@melf.fnt/video/7395873680867233057"/>
        <s v="https://www.tiktok.com/@melf.fnt/video/7364824274315529505"/>
        <s v="https://www.tiktok.com/@melf.fnt/video/7400756804549971232"/>
        <s v="https://www.tiktok.com/@morgane.mrckk/video/7384031967643307296"/>
        <s v="https://www.tiktok.com/@morgane.mrckk/video/7402654625314196769"/>
        <s v="https://www.tiktok.com/@morgane.mrckk/video/7414534348910775584"/>
        <s v="https://www.tiktok.com/@morgane.mrckk/video/7413431476252970272"/>
        <s v="https://www.tiktok.com/@morgane.mrckk/video/7412302749104114977"/>
        <s v="https://www.tiktok.com/@morgane.mrckk/video/7423352236501241121"/>
        <s v="https://www.tiktok.com/@morgane.mrckk/video/7424156968429833504?lang=en"/>
        <s v="https://www.tiktok.com/@morgane.mrckk/video/7436771318671953185?lang=en"/>
        <s v="https://www.tiktok.com/@morgane.mrckk/video/7385545243870973216"/>
        <s v="https://www.tiktok.com/@morgane.mrckk/video/7397382935453764896"/>
        <s v="https://www.tiktok.com/@morgane.mrckk/video/7381070101392477472"/>
        <s v="https://www.tiktok.com/@morgane.mrckk/video/7416632134347033889"/>
        <s v="https://www.instagram.com/p/DF3IS0nN9_G/?img_index=1"/>
        <s v="https://www.instagram.com/p/DHTVmb9tQrc/"/>
        <s v="https://www.instagram.com/p/DJtb4I3NWCt/?img_index=1&amp;igsh=cHBsdGw3bjhsaTd2"/>
        <s v="https://www.tiktok.com/@___oraane/video/7370306532183002401"/>
        <s v="https://www.tiktok.com/@___oraane/video/7385808181940784417"/>
        <s v="https://www.tiktok.com/@___oraane/video/7396281714101734689"/>
        <s v="https://www.tiktok.com/@___oraane/video/7398824092297612576"/>
        <s v="https://www.tiktok.com/@___oraane/video/7408970007402663200"/>
        <s v="https://www.tiktok.com/@___oraane/video/7422246939724385569?lang=en"/>
        <s v="https://www.tiktok.com/@___oraane/video/7427080640987712800?lang=en"/>
        <s v="https://www.tiktok.com/@___oraane/video/7476554634371337495?_t=ZN-8uksMQy8spa&amp;_r=1"/>
        <s v="https://www.tiktok.com/@___oraane/video/7497260335687142678?_r=1&amp;_t=ZN-8wK7rhJ1GDe"/>
        <s v="https://www.tiktok.com/@___oraane/video/7375468422068571424?_r=1&amp;_t=8krP3tfqVUH"/>
        <s v="https://www.tiktok.com/@___oraane/video/7410372109068766496"/>
        <s v="https://www.tiktok.com/@paupibeauty/video/7376008068775120160"/>
        <s v="https://vm.tiktok.com/ZGeb3qMjG/"/>
        <s v="https://www.tiktok.com/@paupibeauty/video/7388913023471176993"/>
        <s v="https://www.tiktok.com/@paupibeauty/video/7391913188587048224"/>
        <s v="https://www.tiktok.com/@paupibeauty/video/7391464252877442336"/>
        <s v="https://www.tiktok.com/@paupibeauty/video/7399701843338612001?_r=1&amp;_t=8ocjkRHNArg"/>
        <s v="https://www.tiktok.com/@paupibeauty/video/7397104051248188704"/>
        <s v="https://www.tiktok.com/@paupibeauty/video/7409632617487699233?_r=1&amp;_t=8pifPT1JA5h"/>
        <s v="https://www.tiktok.com/@paupibeauty/video/7422233100345806113?_r=1&amp;_t=8qHw0Tc0W3d"/>
        <s v="https://www.tiktok.com/@paupibeauty/video/7433470283073244449"/>
        <s v="https://vm.tiktok.com/ZGdLKEWpH/"/>
        <s v="https://www.tiktok.com/@paupibeauty/video/7469447565080005910"/>
        <s v="https://www.tiktok.com/@paupibeauty/video/7483230429919677718?_r=1&amp;u_code=db2iba9fkd722g&amp;preview_pb=0&amp;sharer_language=fr&amp;_d=e50dm7j0f1glif&amp;share_item_id=7483230429919677718&amp;source=h5_m&amp;timestamp=1742383722&amp;utm_source=copy&amp;tt_from=copy&amp;enable_checksum=1&amp;ut"/>
        <s v="https://vm.tiktok.com/ZNdr6B5df/  https://vm.tiktok.com/ZNdr62oeS/"/>
        <s v="https://www.tiktok.com/@paupibeauty/video/7390429662033251617"/>
        <s v="https://www.tiktok.com/@paupibeauty/video/7364899892755565857"/>
        <s v="https://www.tiktok.com/@paupibeauty/video/7400829639158992161"/>
        <s v="https://www.tiktok.com/@paupibeauty/video/7403338641294101793?_r=1&amp;_t=8otMyM33Aq9"/>
        <s v="https://www.tiktok.com/@paupibeauty/video/7419986303070129441"/>
        <s v="https://www.tiktok.com/@perrine.trp/video/7388970033046736161"/>
        <s v="https://www.tiktok.com/@perrine.trp/video/7391934268479425825"/>
        <s v="https://www.tiktok.com/@perrine.trp/video/7388938973533490465"/>
        <s v="https://www.tiktok.com/@perrine.trp/video/7404526978864270625"/>
        <s v="https://www.tiktok.com/@perrine.trp/video/7416397579652549920"/>
        <s v="https://www.tiktok.com/@perrine.trp/video/7420481706290990368"/>
        <s v="https://www.tiktok.com/@perrine.trp/video/7432357615906082081?lang=en"/>
        <s v="https://www.tiktok.com/@perrine.trp/video/7470594564579921174?_t=ZN-8trcT1kEJTq&amp;_r=1"/>
        <s v="https://www.tiktok.com/@romlabordelaise/photo/7374826918236949793?_d=secCgYIASAHKAESPgo8q9siUnZtyE0109XMp5dx3cMmVFVIaMGy%2BlAK8UtWtglSCdVgBy%2FzSdjJmzYWsISFC9%2B%2FlyF04TxmdiBEGgA%3D&amp;_r=1&amp;checksum=76ea1d67e0b71fc0c1e121f4b86c89eead08caa18274e51cbd7e8fffc4"/>
        <s v="https://www.tiktok.com/@romlabordelaise/video/7367768975154990369"/>
        <s v="https://www.tiktok.com/@iimslma/video/7437910864826486048?_r=1&amp;_t=8rRi7SCy1Ka"/>
        <s v="https://www.tiktok.com/@iimslma/video/7396769960623738145"/>
        <s v="https://www.tiktok.com/@iimslma/video/7403774825702886688"/>
        <s v="https://www.tiktok.com/@iimslma/video/7399725613407309089"/>
        <s v="https://www.tiktok.com/@iimslma/video/7400436730320456993"/>
        <s v="https://www.tiktok.com/@iimslma/video/7407485284817882401"/>
        <s v="https://www.tiktok.com/@iimslma/video/7412021525198425376"/>
        <s v="https://www.tiktok.com/@iimslma/video/7408622473912061216"/>
        <s v="https://www.tiktok.com/@iimslma/video/7413780170781347105"/>
        <s v="https://www.tiktok.com/@iimslma/video/7431628369067838753?lang=en"/>
        <s v="https://www.tiktok.com/@iimslma/video/7435745133313805601?_r=1&amp;_t=8rleTqgb0vG"/>
        <s v="https://www.tiktok.com/@iimslma/video/7468747433061944599?lang=en"/>
        <s v="https://www.tiktok.com/@iimslma/video/7468781724462337302?lang=en"/>
        <s v="https://www.tiktok.com/@iimslma/video/7472835179187424534?lang=en"/>
        <s v="https://www.tiktok.com/@iimslma/video/7481752779980147990?_t=ZN-8ugXSybaIEw&amp;_r=1"/>
        <s v="https://www.tiktok.com/@iimslma/video/7483594182083218710?_r=1&amp;_t=ZN-8uox8rOjAzm"/>
        <s v="https://vm.tiktok.com/ZNdrrBuVK/"/>
      </sharedItems>
    </cacheField>
    <cacheField name="X">
      <sharedItems containsBlank="1" containsMixedTypes="1" containsNumber="1" containsInteger="1">
        <m/>
        <n v="350.0"/>
        <n v="420.0"/>
        <n v="320.0"/>
        <s v="https://www.instagram.com/reel/DEKlEAhCcsg/"/>
        <s v="ANAIS-10 Il offre -10% de réduction sur une commande sans minimum d’achat, hors frais de port, valable jusqu’au 30/04/2025"/>
        <s v="envoyer facture en anglais"/>
        <s v="deja facture"/>
        <s v="500 médiat"/>
        <s v="dont 150 de médiat"/>
        <s v="envoyer facture en €"/>
        <s v="médiat à confirmer 202,50€"/>
        <s v="ajouter code promo"/>
        <s v="lien en bio"/>
        <s v="rembourser Produits"/>
        <s v="facture déjà envoyée"/>
        <s v="enlever 75 media à facturer plus tard"/>
        <s v="médiat à confirmer  67,50 €"/>
      </sharedItems>
    </cacheField>
    <cacheField name="Grapper" numFmtId="0">
      <sharedItems containsBlank="1">
        <s v="Oui"/>
        <s v="Non"/>
        <m/>
        <s v="Non "/>
      </sharedItems>
    </cacheField>
    <cacheField name="Date vente" numFmtId="164">
      <sharedItems containsNonDate="0" containsDate="1" containsString="0" containsBlank="1" minDate="2024-01-14T00:00:00Z" maxDate="2025-08-01T00:00:00Z">
        <d v="2024-03-01T00:00:00Z"/>
        <d v="2024-03-15T00:00:00Z"/>
        <m/>
        <d v="2024-03-30T00:00:00Z"/>
        <d v="2024-03-25T00:00:00Z"/>
        <d v="2024-04-08T00:00:00Z"/>
        <d v="2024-04-11T00:00:00Z"/>
        <d v="2024-03-21T00:00:00Z"/>
        <d v="2024-04-25T00:00:00Z"/>
        <d v="2024-04-19T00:00:00Z"/>
        <d v="2024-05-07T00:00:00Z"/>
        <d v="2024-05-06T00:00:00Z"/>
        <d v="2024-05-02T00:00:00Z"/>
        <d v="2024-05-13T00:00:00Z"/>
        <d v="2024-05-14T00:00:00Z"/>
        <d v="2024-03-20T00:00:00Z"/>
        <d v="2024-04-10T00:00:00Z"/>
        <d v="2024-05-30T00:00:00Z"/>
        <d v="2024-05-11T00:00:00Z"/>
        <d v="2024-04-30T00:00:00Z"/>
        <d v="2024-05-23T00:00:00Z"/>
        <d v="2024-05-16T00:00:00Z"/>
        <d v="2024-06-08T00:00:00Z"/>
        <d v="2024-06-20T00:00:00Z"/>
        <d v="2024-06-18T00:00:00Z"/>
        <d v="2024-06-12T00:00:00Z"/>
        <d v="2024-06-24T00:00:00Z"/>
        <d v="2024-06-11T00:00:00Z"/>
        <d v="2024-07-16T00:00:00Z"/>
        <d v="2024-07-25T00:00:00Z"/>
        <d v="2024-07-03T00:00:00Z"/>
        <d v="2024-06-17T00:00:00Z"/>
        <d v="2024-06-27T00:00:00Z"/>
        <d v="2024-07-06T00:00:00Z"/>
        <d v="2024-06-14T00:00:00Z"/>
        <d v="2024-07-24T00:00:00Z"/>
        <d v="2024-07-10T00:00:00Z"/>
        <d v="2024-08-01T00:00:00Z"/>
        <d v="2024-07-04T00:00:00Z"/>
        <d v="2024-07-23T00:00:00Z"/>
        <d v="2024-07-21T00:00:00Z"/>
        <d v="2024-08-06T00:00:00Z"/>
        <d v="2024-07-29T00:00:00Z"/>
        <d v="2024-07-30T00:00:00Z"/>
        <d v="2024-07-17T00:00:00Z"/>
        <d v="2024-08-02T00:00:00Z"/>
        <d v="2024-07-31T00:00:00Z"/>
        <d v="2024-08-21T00:00:00Z"/>
        <d v="2024-08-19T00:00:00Z"/>
        <d v="2024-08-13T00:00:00Z"/>
        <d v="2024-09-11T00:00:00Z"/>
        <d v="2024-08-16T00:00:00Z"/>
        <d v="2024-09-12T00:00:00Z"/>
        <d v="2024-08-23T00:00:00Z"/>
        <d v="2024-09-04T00:00:00Z"/>
        <d v="2025-05-20T00:00:00Z"/>
        <d v="2024-09-09T00:00:00Z"/>
        <d v="2024-08-28T00:00:00Z"/>
        <d v="2024-09-14T00:00:00Z"/>
        <d v="2024-09-13T00:00:00Z"/>
        <d v="2024-08-20T00:00:00Z"/>
        <d v="2024-09-26T00:00:00Z"/>
        <d v="2024-08-29T00:00:00Z"/>
        <d v="2025-05-13T00:00:00Z"/>
        <d v="2024-09-03T00:00:00Z"/>
        <d v="2024-09-27T00:00:00Z"/>
        <d v="2024-10-01T00:00:00Z"/>
        <d v="2025-05-07T00:00:00Z"/>
        <d v="2024-10-28T00:00:00Z"/>
        <d v="2024-09-10T00:00:00Z"/>
        <d v="2024-10-15T00:00:00Z"/>
        <d v="2024-10-29T00:00:00Z"/>
        <d v="2024-10-24T00:00:00Z"/>
        <d v="2024-10-02T00:00:00Z"/>
        <d v="2024-10-30T00:00:00Z"/>
        <d v="2024-10-14T00:00:00Z"/>
        <d v="2024-10-25T00:00:00Z"/>
        <d v="2024-11-05T00:00:00Z"/>
        <d v="2024-11-08T00:00:00Z"/>
        <d v="2024-11-04T00:00:00Z"/>
        <d v="2024-10-23T00:00:00Z"/>
        <d v="2024-11-29T00:00:00Z"/>
        <d v="2024-11-19T00:00:00Z"/>
        <d v="2024-12-09T00:00:00Z"/>
        <d v="2024-11-26T00:00:00Z"/>
        <d v="2024-11-25T00:00:00Z"/>
        <d v="2024-12-05T00:00:00Z"/>
        <d v="2024-12-16T00:00:00Z"/>
        <d v="2024-11-11T00:00:00Z"/>
        <d v="2024-12-03T00:00:00Z"/>
        <d v="2024-12-24T00:00:00Z"/>
        <d v="2025-02-20T00:00:00Z"/>
        <d v="2024-12-23T00:00:00Z"/>
        <d v="2025-01-07T00:00:00Z"/>
        <d v="2024-12-12T00:00:00Z"/>
        <d v="2025-01-21T00:00:00Z"/>
        <d v="2025-01-24T00:00:00Z"/>
        <d v="2025-01-17T00:00:00Z"/>
        <d v="2025-01-09T00:00:00Z"/>
        <d v="2025-01-27T00:00:00Z"/>
        <d v="2025-01-23T00:00:00Z"/>
        <d v="2024-10-22T00:00:00Z"/>
        <d v="2024-10-21T00:00:00Z"/>
        <d v="2025-01-22T00:00:00Z"/>
        <d v="2025-01-16T00:00:00Z"/>
        <d v="2025-02-12T00:00:00Z"/>
        <d v="2025-02-18T00:00:00Z"/>
        <d v="2025-01-29T00:00:00Z"/>
        <d v="2025-02-14T00:00:00Z"/>
        <d v="2025-02-15T00:00:00Z"/>
        <d v="2025-02-06T00:00:00Z"/>
        <d v="2025-02-21T00:00:00Z"/>
        <d v="2025-03-31T00:00:00Z"/>
        <d v="2025-02-26T00:00:00Z"/>
        <d v="2025-02-28T00:00:00Z"/>
        <d v="2025-02-25T00:00:00Z"/>
        <d v="2025-02-19T00:00:00Z"/>
        <d v="2025-03-11T00:00:00Z"/>
        <d v="2025-03-21T00:00:00Z"/>
        <d v="2025-03-12T00:00:00Z"/>
        <d v="2025-03-17T00:00:00Z"/>
        <d v="2025-03-24T00:00:00Z"/>
        <d v="2025-03-10T00:00:00Z"/>
        <d v="2025-03-14T00:00:00Z"/>
        <d v="2025-04-17T00:00:00Z"/>
        <d v="2025-03-16T00:00:00Z"/>
        <d v="2025-04-04T00:00:00Z"/>
        <d v="2025-04-07T00:00:00Z"/>
        <d v="2025-04-15T00:00:00Z"/>
        <d v="2025-04-25T00:00:00Z"/>
        <d v="2025-05-16T00:00:00Z"/>
        <d v="2025-04-14T00:00:00Z"/>
        <d v="2025-03-28T00:00:00Z"/>
        <d v="2025-03-06T00:00:00Z"/>
        <d v="2025-03-20T00:00:00Z"/>
        <d v="2025-04-09T00:00:00Z"/>
        <d v="2025-04-11T00:00:00Z"/>
        <d v="2025-03-13T00:00:00Z"/>
        <d v="2025-04-08T00:00:00Z"/>
        <d v="2025-04-30T00:00:00Z"/>
        <d v="2025-04-21T00:00:00Z"/>
        <d v="2025-06-02T00:00:00Z"/>
        <d v="2025-06-10T00:00:00Z"/>
        <d v="2025-03-30T00:00:00Z"/>
        <d v="2025-03-26T00:00:00Z"/>
        <d v="2025-06-20T00:00:00Z"/>
        <d v="2025-02-10T00:00:00Z"/>
        <d v="2025-05-19T00:00:00Z"/>
        <d v="2025-04-24T00:00:00Z"/>
        <d v="2025-06-26T00:00:00Z"/>
        <d v="2025-05-23T00:00:00Z"/>
        <d v="2025-05-06T00:00:00Z"/>
        <d v="2025-05-24T00:00:00Z"/>
        <d v="2025-06-05T00:00:00Z"/>
        <d v="2025-05-27T00:00:00Z"/>
        <d v="2025-06-12T00:00:00Z"/>
        <d v="2025-05-28T00:00:00Z"/>
        <d v="2025-06-16T00:00:00Z"/>
        <d v="2025-06-18T00:00:00Z"/>
        <d v="2025-06-11T00:00:00Z"/>
        <d v="2025-06-23T00:00:00Z"/>
        <d v="2025-02-03T00:00:00Z"/>
        <d v="2025-06-04T00:00:00Z"/>
        <d v="2025-05-22T00:00:00Z"/>
        <d v="2025-06-22T00:00:00Z"/>
        <d v="2025-07-16T00:00:00Z"/>
        <d v="2025-06-19T00:00:00Z"/>
        <d v="2025-07-01T00:00:00Z"/>
        <d v="2025-06-17T00:00:00Z"/>
        <d v="2025-06-13T00:00:00Z"/>
        <d v="2025-07-03T00:00:00Z"/>
        <d v="2024-10-18T00:00:00Z"/>
        <d v="2025-05-29T00:00:00Z"/>
        <d v="2025-06-30T00:00:00Z"/>
        <d v="2025-03-07T00:00:00Z"/>
        <d v="2024-09-08T00:00:00Z"/>
        <d v="2024-10-08T00:00:00Z"/>
        <d v="2024-11-13T00:00:00Z"/>
        <d v="2024-12-10T00:00:00Z"/>
        <d v="2024-12-04T00:00:00Z"/>
        <d v="2024-06-07T00:00:00Z"/>
        <d v="2024-05-31T00:00:00Z"/>
        <d v="2025-02-23T00:00:00Z"/>
        <d v="2024-11-07T00:00:00Z"/>
        <d v="2024-11-28T00:00:00Z"/>
        <d v="2024-12-18T00:00:00Z"/>
        <d v="2025-02-11T00:00:00Z"/>
        <d v="2025-02-07T00:00:00Z"/>
        <d v="2024-09-05T00:00:00Z"/>
        <d v="2024-12-13T00:00:00Z"/>
        <d v="2024-03-08T00:00:00Z"/>
        <d v="2024-04-22T00:00:00Z"/>
        <d v="2024-05-17T00:00:00Z"/>
        <d v="2024-04-24T00:00:00Z"/>
        <d v="2024-05-24T00:00:00Z"/>
        <d v="2024-07-19T00:00:00Z"/>
        <d v="2024-08-09T00:00:00Z"/>
        <d v="2024-07-01T00:00:00Z"/>
        <d v="2024-08-26T00:00:00Z"/>
        <d v="2024-09-17T00:00:00Z"/>
        <d v="2024-09-25T00:00:00Z"/>
        <d v="2024-09-30T00:00:00Z"/>
        <d v="2024-10-10T00:00:00Z"/>
        <d v="2024-12-02T00:00:00Z"/>
        <d v="2025-01-06T00:00:00Z"/>
        <d v="2025-01-13T00:00:00Z"/>
        <d v="2024-06-26T00:00:00Z"/>
        <d v="2024-08-07T00:00:00Z"/>
        <d v="2024-07-11T00:00:00Z"/>
        <d v="2024-09-16T00:00:00Z"/>
        <d v="2024-11-14T00:00:00Z"/>
        <d v="2024-03-22T00:00:00Z"/>
        <d v="2024-04-06T00:00:00Z"/>
        <d v="2024-04-07T00:00:00Z"/>
        <d v="2024-06-04T00:00:00Z"/>
        <d v="2024-10-11T00:00:00Z"/>
        <d v="2024-03-23T00:00:00Z"/>
        <d v="2024-04-04T00:00:00Z"/>
        <d v="2024-04-09T00:00:00Z"/>
        <d v="2024-05-21T00:00:00Z"/>
        <d v="2024-05-27T00:00:00Z"/>
        <d v="2024-08-27T00:00:00Z"/>
        <d v="2025-04-12T00:00:00Z"/>
        <d v="2024-02-28T00:00:00Z"/>
        <d v="2024-05-28T00:00:00Z"/>
        <d v="2024-09-23T00:00:00Z"/>
        <d v="2024-06-30T00:00:00Z"/>
        <d v="2024-09-20T00:00:00Z"/>
        <d v="2024-10-07T00:00:00Z"/>
        <d v="2024-03-27T00:00:00Z"/>
        <d v="2024-04-13T00:00:00Z"/>
        <d v="2024-04-27T00:00:00Z"/>
        <d v="2024-01-15T00:00:00Z"/>
        <d v="2024-01-14T00:00:00Z"/>
        <d v="2025-03-18T00:00:00Z"/>
        <d v="2024-05-18T00:00:00Z"/>
        <d v="2024-06-19T00:00:00Z"/>
        <d v="2024-10-09T00:00:00Z"/>
        <d v="2024-11-12T00:00:00Z"/>
        <d v="2024-12-19T00:00:00Z"/>
        <d v="2025-02-22T00:00:00Z"/>
        <d v="2024-03-26T00:00:00Z"/>
        <d v="2024-05-20T00:00:00Z"/>
        <d v="2024-07-08T00:00:00Z"/>
        <d v="2024-11-22T00:00:00Z"/>
        <d v="2024-10-31T00:00:00Z"/>
        <d v="2024-07-15T00:00:00Z"/>
        <d v="2024-09-24T00:00:00Z"/>
        <d v="2024-02-15T00:00:00Z"/>
        <d v="2024-04-26T00:00:00Z"/>
        <d v="2024-06-03T00:00:00Z"/>
        <d v="2024-04-12T00:00:00Z"/>
        <d v="2024-07-09T00:00:00Z"/>
        <d v="2024-09-29T00:00:00Z"/>
        <d v="2024-10-06T00:00:00Z"/>
        <d v="2024-10-16T00:00:00Z"/>
        <d v="2024-09-19T00:00:00Z"/>
        <d v="2024-03-28T00:00:00Z"/>
        <d v="2024-10-17T00:00:00Z"/>
        <d v="2025-04-29T00:00:00Z"/>
        <d v="2024-03-18T00:00:00Z"/>
        <d v="2024-08-14T00:00:00Z"/>
        <d v="2024-09-01T00:00:00Z"/>
        <d v="2024-11-15T00:00:00Z"/>
        <d v="2025-01-03T00:00:00Z"/>
        <d v="2024-07-18T00:00:00Z"/>
        <d v="2025-07-11T00:00:00Z"/>
        <d v="2025-07-18T00:00:00Z"/>
        <d v="2025-07-21T00:00:00Z"/>
        <d v="2025-07-22T00:00:00Z"/>
        <d v="2025-07-24T00:00:00Z"/>
        <d v="2025-07-25T00:00:00Z"/>
        <d v="2025-07-28T00:00:00Z"/>
        <d v="2025-06-24T00:00:00Z"/>
        <d v="2025-06-27T00:00:00Z"/>
        <d v="2025-01-31T00:00:00Z"/>
        <d v="2025-07-07T00:00:00Z"/>
        <d v="2025-07-09T00:00:00Z"/>
        <d v="2025-07-17T00:00:00Z"/>
        <d v="2025-07-29T00:00:00Z"/>
        <d v="2025-07-31T00:00:00Z"/>
      </sharedItems>
      <fieldGroup base="16">
        <rangePr autoStart="0" autoEnd="0" groupBy="months" startDate="2024-01-14T00:00:00Z" endDate="2025-08-01T00:00:00Z"/>
        <groupItems>
          <s v="&lt;01/14/24"/>
          <s v="Jan"/>
          <s v="Feb"/>
          <s v="Mar"/>
          <s v="Apr"/>
          <s v="May"/>
          <s v="Jun"/>
          <s v="Jul"/>
          <s v="Aug"/>
          <s v="Sep"/>
          <s v="Oct"/>
          <s v="Nov"/>
          <s v="Dec"/>
          <s v="&gt;08/01/25"/>
        </groupItems>
      </fieldGroup>
    </cacheField>
    <cacheField name="Commission" numFmtId="166">
      <sharedItems containsString="0" containsBlank="1" containsNumber="1">
        <n v="14.0"/>
        <m/>
        <n v="40.0"/>
        <n v="125.0"/>
        <n v="20.0"/>
        <n v="130.0"/>
        <n v="112.5"/>
        <n v="157.48"/>
        <n v="50.0"/>
        <n v="450.0"/>
        <n v="43.75"/>
        <n v="62.5"/>
        <n v="200.0"/>
        <n v="45.0"/>
        <n v="46.0"/>
        <n v="75.0"/>
        <n v="90.0"/>
        <n v="16.0"/>
        <n v="37.5"/>
        <n v="150.0"/>
        <n v="87.5"/>
        <n v="159.29999999999998"/>
        <n v="100.0"/>
        <n v="135.0"/>
        <n v="60.32"/>
        <n v="250.0"/>
        <n v="30.0"/>
        <n v="22.5"/>
        <n v="82.5"/>
        <n v="41.25"/>
        <n v="70.0"/>
        <n v="120.0"/>
        <n v="60.0"/>
        <n v="180.0"/>
        <n v="80.0"/>
        <n v="105.0"/>
        <n v="157.944"/>
        <n v="312.5"/>
        <n v="209.76000000000002"/>
        <n v="71.587"/>
        <n v="34.6"/>
        <n v="360.0"/>
        <n v="187.5"/>
        <n v="210.0"/>
        <n v="117.99"/>
        <n v="540.0"/>
        <n v="114.75"/>
        <n v="97.5"/>
        <n v="0.0"/>
        <n v="195.0"/>
        <n v="34.0"/>
        <n v="240.0"/>
        <n v="225.0"/>
        <n v="300.0"/>
        <n v="58.5"/>
        <n v="285.0"/>
        <n v="253.125"/>
        <n v="15.0"/>
        <n v="600.0"/>
        <n v="99.99999999999999"/>
        <n v="270.0"/>
        <n v="174.6"/>
        <n v="58.2"/>
        <n v="291.0"/>
        <n v="175.0"/>
        <n v="555.0"/>
        <n v="375.0"/>
        <n v="282.0"/>
        <n v="750.0"/>
        <n v="255.0"/>
        <n v="330.0"/>
        <n v="202.5"/>
        <n v="165.6"/>
        <n v="165.039"/>
        <n v="420.0"/>
        <n v="281.25"/>
        <n v="118.52699999999999"/>
        <n v="123.21600000000001"/>
        <n v="165.0"/>
        <n v="152.49"/>
        <n v="111.0"/>
        <n v="390.0"/>
        <n v="147.861"/>
        <n v="33.333333333333336"/>
        <n v="989.4"/>
        <n v="199.99999999999997"/>
        <n v="186.0"/>
        <n v="33.75"/>
        <n v="65.22"/>
        <n v="500.0"/>
        <n v="937.5"/>
        <n v="93.0"/>
        <n v="264.0"/>
        <n v="387.0"/>
        <n v="252.0"/>
        <n v="180.6"/>
        <n v="57.0"/>
        <n v="1733.0"/>
        <n v="140.0"/>
        <n v="25.0"/>
        <n v="56.25"/>
        <n v="235.0"/>
        <n v="26.0"/>
        <n v="28.8"/>
        <n v="280.0"/>
        <n v="900.0"/>
        <n v="1350.0"/>
        <n v="176.4"/>
        <n v="117.8175"/>
        <n v="67.5"/>
        <n v="630.0"/>
        <n v="765.0"/>
        <n v="384.0"/>
      </sharedItems>
    </cacheField>
  </cacheFields>
</pivotCacheDefinition>
</file>

<file path=xl/pivotCache/pivotCacheDefinition7.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R1405" sheet="Global1"/>
  </cacheSource>
  <cacheFields>
    <cacheField name="Talent" numFmtId="0">
      <sharedItems containsBlank="1">
        <s v="Pauline"/>
        <s v="Chiara"/>
        <s v="Melissa"/>
        <s v="Camille"/>
        <s v="Lily Noël"/>
        <s v="Lina"/>
        <s v="Flavie"/>
        <s v="Jessica"/>
        <s v="Orane"/>
        <s v="Lola"/>
        <s v="Juliane"/>
        <s v="Alice"/>
        <s v="Laurie"/>
        <s v="Perrine"/>
        <s v="Morgane"/>
        <s v="Lise"/>
        <s v="Jeanne"/>
        <s v="Mary"/>
        <s v="Melissa P"/>
        <s v="Anaïs"/>
        <s v="Salma"/>
        <s v="Aïcha"/>
        <s v="Jasmine"/>
        <s v="Asmae"/>
        <s v="Rachel"/>
        <s v="Arwen"/>
        <s v="Iman"/>
        <s v="Moped"/>
        <s v="Dounia"/>
        <s v="Gurbet"/>
        <s v="Amani"/>
        <s v="Hidaya"/>
        <s v="Sirine"/>
        <s v="Eloise"/>
        <s v="Imane"/>
        <s v="Marine"/>
        <s v="Sofia"/>
        <s v="Sarah"/>
        <s v="Eiliassa"/>
        <s v="Farah"/>
        <s v="Estelle"/>
        <s v="Juliette"/>
        <s v="Nidal"/>
        <s v="Lola H."/>
        <s v="Morgane C"/>
        <s v="Chloe"/>
        <s v="Laura"/>
        <s v="Lilou"/>
        <s v="Lily"/>
        <s v="Amanda"/>
        <s v="Glenn"/>
        <s v="--"/>
        <s v="Amelle"/>
        <s v="Angie"/>
        <s v="Fanny"/>
        <s v="Laurine"/>
        <s v="Marlène"/>
        <s v="Migos Media"/>
        <s v="Romane"/>
        <s v="Maeva"/>
        <s v="Gurbet "/>
        <s v="Juliette D"/>
        <s v="Laura F"/>
        <m/>
      </sharedItems>
    </cacheField>
    <cacheField name="Date Création" numFmtId="164">
      <sharedItems containsDate="1" containsString="0" containsBlank="1">
        <d v="2024-03-01T00:00:00Z"/>
        <d v="2024-03-15T00:00:00Z"/>
        <m/>
        <d v="2024-03-30T00:00:00Z"/>
        <d v="2024-03-25T00:00:00Z"/>
        <d v="2024-04-08T00:00:00Z"/>
        <d v="2024-04-11T00:00:00Z"/>
        <d v="2024-03-21T00:00:00Z"/>
        <d v="2024-04-25T00:00:00Z"/>
        <d v="2024-04-19T00:00:00Z"/>
        <d v="2024-05-07T00:00:00Z"/>
        <d v="2024-05-06T00:00:00Z"/>
        <d v="2024-05-02T00:00:00Z"/>
        <d v="2024-05-13T00:00:00Z"/>
        <d v="2024-05-14T00:00:00Z"/>
        <d v="2024-03-20T00:00:00Z"/>
        <d v="2024-04-10T00:00:00Z"/>
        <d v="2024-05-30T00:00:00Z"/>
        <d v="2024-05-11T00:00:00Z"/>
        <d v="2024-04-30T00:00:00Z"/>
        <d v="2024-05-23T00:00:00Z"/>
        <d v="2024-05-16T00:00:00Z"/>
        <d v="2024-06-08T00:00:00Z"/>
        <d v="2024-06-20T00:00:00Z"/>
        <d v="2024-06-18T00:00:00Z"/>
        <d v="2024-06-12T00:00:00Z"/>
        <d v="2024-06-24T00:00:00Z"/>
        <d v="2024-06-11T00:00:00Z"/>
        <d v="2024-07-16T00:00:00Z"/>
        <d v="2024-07-25T00:00:00Z"/>
        <d v="2024-07-03T00:00:00Z"/>
        <d v="2024-06-17T00:00:00Z"/>
        <d v="2024-06-27T00:00:00Z"/>
        <d v="2024-07-06T00:00:00Z"/>
        <d v="2024-06-14T00:00:00Z"/>
        <d v="2024-07-24T00:00:00Z"/>
        <d v="2024-07-10T00:00:00Z"/>
        <d v="2024-08-01T00:00:00Z"/>
        <d v="2024-07-04T00:00:00Z"/>
        <d v="2024-07-23T00:00:00Z"/>
        <d v="2024-07-21T00:00:00Z"/>
        <d v="2024-08-06T00:00:00Z"/>
        <d v="2024-07-29T00:00:00Z"/>
        <d v="2024-07-30T00:00:00Z"/>
        <d v="2024-07-17T00:00:00Z"/>
        <d v="2024-08-02T00:00:00Z"/>
        <d v="2024-07-31T00:00:00Z"/>
        <d v="2024-08-21T00:00:00Z"/>
        <d v="2024-08-19T00:00:00Z"/>
        <d v="2024-08-13T00:00:00Z"/>
        <d v="2024-09-11T00:00:00Z"/>
        <d v="2024-08-16T00:00:00Z"/>
        <d v="2024-09-12T00:00:00Z"/>
        <d v="2024-08-23T00:00:00Z"/>
        <d v="2024-09-04T00:00:00Z"/>
        <d v="2025-05-20T00:00:00Z"/>
        <d v="2024-09-09T00:00:00Z"/>
        <d v="2024-08-28T00:00:00Z"/>
        <d v="2024-09-14T00:00:00Z"/>
        <d v="2024-09-13T00:00:00Z"/>
        <d v="2024-08-20T00:00:00Z"/>
        <d v="2024-09-26T00:00:00Z"/>
        <d v="2024-08-29T00:00:00Z"/>
        <d v="2025-05-13T00:00:00Z"/>
        <d v="2024-09-03T00:00:00Z"/>
        <d v="2024-09-27T00:00:00Z"/>
        <d v="2024-10-01T00:00:00Z"/>
        <d v="2025-05-07T00:00:00Z"/>
        <d v="2024-10-28T00:00:00Z"/>
        <d v="2024-09-10T00:00:00Z"/>
        <d v="2024-10-15T00:00:00Z"/>
        <d v="2024-10-29T00:00:00Z"/>
        <d v="2024-10-24T00:00:00Z"/>
        <d v="2024-10-02T00:00:00Z"/>
        <d v="2024-10-30T00:00:00Z"/>
        <d v="2024-10-14T00:00:00Z"/>
        <d v="2024-10-25T00:00:00Z"/>
        <d v="2024-11-05T00:00:00Z"/>
        <d v="2024-11-08T00:00:00Z"/>
        <d v="2024-11-04T00:00:00Z"/>
        <d v="2024-10-23T00:00:00Z"/>
        <d v="2024-11-29T00:00:00Z"/>
        <d v="2024-11-19T00:00:00Z"/>
        <d v="2024-12-09T00:00:00Z"/>
        <d v="2024-11-26T00:00:00Z"/>
        <d v="2024-11-25T00:00:00Z"/>
        <d v="2024-12-05T00:00:00Z"/>
        <d v="2024-12-16T00:00:00Z"/>
        <d v="2024-11-11T00:00:00Z"/>
        <d v="2024-12-03T00:00:00Z"/>
        <d v="2024-12-24T00:00:00Z"/>
        <d v="2025-02-20T00:00:00Z"/>
        <d v="2024-12-23T00:00:00Z"/>
        <d v="2025-01-07T00:00:00Z"/>
        <d v="2024-12-12T00:00:00Z"/>
        <d v="2025-01-21T00:00:00Z"/>
        <d v="2025-01-24T00:00:00Z"/>
        <d v="2025-01-17T00:00:00Z"/>
        <d v="2025-01-09T00:00:00Z"/>
        <d v="2025-01-27T00:00:00Z"/>
        <d v="2025-01-23T00:00:00Z"/>
        <d v="2024-10-22T00:00:00Z"/>
        <d v="2024-10-21T00:00:00Z"/>
        <d v="2025-01-22T00:00:00Z"/>
        <d v="2025-01-16T00:00:00Z"/>
        <d v="2025-02-12T00:00:00Z"/>
        <d v="2025-02-18T00:00:00Z"/>
        <d v="2025-01-29T00:00:00Z"/>
        <d v="2025-02-14T00:00:00Z"/>
        <d v="2025-02-15T00:00:00Z"/>
        <d v="2025-02-06T00:00:00Z"/>
        <d v="2025-02-21T00:00:00Z"/>
        <d v="2025-03-31T00:00:00Z"/>
        <d v="2025-02-26T00:00:00Z"/>
        <d v="2025-02-28T00:00:00Z"/>
        <d v="2025-02-25T00:00:00Z"/>
        <d v="2025-02-19T00:00:00Z"/>
        <d v="2025-03-11T00:00:00Z"/>
        <d v="2025-03-21T00:00:00Z"/>
        <d v="2025-03-12T00:00:00Z"/>
        <d v="2025-03-17T00:00:00Z"/>
        <d v="2025-03-24T00:00:00Z"/>
        <d v="2025-03-10T00:00:00Z"/>
        <d v="2025-03-14T00:00:00Z"/>
        <d v="2025-04-17T00:00:00Z"/>
        <d v="2025-03-16T00:00:00Z"/>
        <d v="2025-04-04T00:00:00Z"/>
        <d v="2025-04-07T00:00:00Z"/>
        <d v="2025-04-15T00:00:00Z"/>
        <d v="2025-04-25T00:00:00Z"/>
        <d v="2025-05-16T00:00:00Z"/>
        <d v="2025-04-14T00:00:00Z"/>
        <d v="2025-03-28T00:00:00Z"/>
        <d v="2025-03-06T00:00:00Z"/>
        <d v="2025-03-20T00:00:00Z"/>
        <d v="2025-04-09T00:00:00Z"/>
        <d v="2025-04-11T00:00:00Z"/>
        <d v="2025-03-13T00:00:00Z"/>
        <d v="2025-04-08T00:00:00Z"/>
        <d v="2025-04-30T00:00:00Z"/>
        <d v="2025-04-21T00:00:00Z"/>
        <d v="2025-06-02T00:00:00Z"/>
        <d v="2025-06-10T00:00:00Z"/>
        <d v="2025-03-30T00:00:00Z"/>
        <d v="2025-03-26T00:00:00Z"/>
        <d v="2025-06-20T00:00:00Z"/>
        <d v="2025-02-10T00:00:00Z"/>
        <d v="2025-05-19T00:00:00Z"/>
        <d v="2025-04-24T00:00:00Z"/>
        <d v="2025-06-26T00:00:00Z"/>
        <d v="2025-05-23T00:00:00Z"/>
        <d v="2025-05-06T00:00:00Z"/>
        <d v="2025-05-24T00:00:00Z"/>
        <d v="2025-06-05T00:00:00Z"/>
        <d v="2025-05-27T00:00:00Z"/>
        <d v="2025-06-12T00:00:00Z"/>
        <d v="2025-05-28T00:00:00Z"/>
        <d v="2025-06-16T00:00:00Z"/>
        <d v="2025-06-18T00:00:00Z"/>
        <d v="2025-06-11T00:00:00Z"/>
        <d v="2025-06-23T00:00:00Z"/>
        <d v="2025-02-03T00:00:00Z"/>
        <d v="2025-06-04T00:00:00Z"/>
        <d v="2025-05-22T00:00:00Z"/>
        <d v="2025-06-22T00:00:00Z"/>
        <d v="2025-07-16T00:00:00Z"/>
        <d v="2025-06-19T00:00:00Z"/>
        <d v="2025-07-01T00:00:00Z"/>
        <d v="2025-06-17T00:00:00Z"/>
        <d v="2025-06-13T00:00:00Z"/>
        <d v="2025-07-03T00:00:00Z"/>
        <d v="2024-10-18T00:00:00Z"/>
        <d v="2025-05-29T00:00:00Z"/>
        <d v="2025-06-30T00:00:00Z"/>
        <d v="2025-03-07T00:00:00Z"/>
        <d v="2024-09-08T00:00:00Z"/>
        <d v="2024-10-08T00:00:00Z"/>
        <d v="2024-11-13T00:00:00Z"/>
        <d v="2024-12-10T00:00:00Z"/>
        <d v="2024-12-04T00:00:00Z"/>
        <d v="2024-06-07T00:00:00Z"/>
        <d v="2024-05-31T00:00:00Z"/>
        <d v="2025-02-23T00:00:00Z"/>
        <d v="2024-11-07T00:00:00Z"/>
        <d v="2024-11-28T00:00:00Z"/>
        <d v="2024-12-18T00:00:00Z"/>
        <d v="2025-02-11T00:00:00Z"/>
        <d v="2025-02-07T00:00:00Z"/>
        <d v="2024-09-05T00:00:00Z"/>
        <d v="2024-12-13T00:00:00Z"/>
        <d v="2024-03-08T00:00:00Z"/>
        <d v="2024-04-22T00:00:00Z"/>
        <d v="2024-05-17T00:00:00Z"/>
        <d v="2024-04-24T00:00:00Z"/>
        <d v="2024-05-24T00:00:00Z"/>
        <d v="2024-07-19T00:00:00Z"/>
        <d v="2024-08-09T00:00:00Z"/>
        <d v="2024-07-01T00:00:00Z"/>
        <d v="2024-08-26T00:00:00Z"/>
        <d v="2024-09-17T00:00:00Z"/>
        <d v="2024-09-25T00:00:00Z"/>
        <d v="2024-09-30T00:00:00Z"/>
        <d v="2024-10-10T00:00:00Z"/>
        <d v="2024-12-02T00:00:00Z"/>
        <d v="2025-01-06T00:00:00Z"/>
        <d v="2025-01-13T00:00:00Z"/>
        <d v="2024-06-26T00:00:00Z"/>
        <d v="2024-08-07T00:00:00Z"/>
        <d v="2024-07-11T00:00:00Z"/>
        <d v="2024-09-16T00:00:00Z"/>
        <d v="2024-11-14T00:00:00Z"/>
        <d v="2024-03-22T00:00:00Z"/>
        <d v="2024-04-06T00:00:00Z"/>
        <d v="2024-04-07T00:00:00Z"/>
        <d v="2024-06-04T00:00:00Z"/>
        <d v="2024-10-11T00:00:00Z"/>
        <d v="2024-03-23T00:00:00Z"/>
        <d v="2024-04-04T00:00:00Z"/>
        <d v="2024-04-09T00:00:00Z"/>
        <d v="2024-05-21T00:00:00Z"/>
        <d v="2024-05-27T00:00:00Z"/>
        <d v="2024-08-27T00:00:00Z"/>
        <d v="2025-04-12T00:00:00Z"/>
        <d v="2024-02-28T00:00:00Z"/>
        <d v="2024-05-28T00:00:00Z"/>
        <d v="2024-09-23T00:00:00Z"/>
        <d v="2024-06-30T00:00:00Z"/>
        <d v="2024-09-20T00:00:00Z"/>
        <d v="2024-10-07T00:00:00Z"/>
        <d v="2024-03-27T00:00:00Z"/>
        <d v="2024-04-13T00:00:00Z"/>
        <d v="2024-04-27T00:00:00Z"/>
        <d v="2024-01-15T00:00:00Z"/>
        <d v="2024-01-14T00:00:00Z"/>
        <d v="2025-03-18T00:00:00Z"/>
        <d v="2024-05-18T00:00:00Z"/>
        <d v="2024-06-19T00:00:00Z"/>
        <d v="2024-10-09T00:00:00Z"/>
        <d v="2024-11-12T00:00:00Z"/>
        <d v="2024-12-19T00:00:00Z"/>
        <d v="2025-02-22T00:00:00Z"/>
        <d v="2024-03-26T00:00:00Z"/>
        <d v="2024-05-20T00:00:00Z"/>
        <d v="2024-07-08T00:00:00Z"/>
        <d v="2024-11-22T00:00:00Z"/>
        <d v="2024-10-31T00:00:00Z"/>
        <d v="2024-07-15T00:00:00Z"/>
        <d v="2024-09-24T00:00:00Z"/>
        <d v="2024-02-15T00:00:00Z"/>
        <d v="2024-04-26T00:00:00Z"/>
        <d v="2024-06-03T00:00:00Z"/>
        <d v="2024-04-12T00:00:00Z"/>
        <d v="2024-07-09T00:00:00Z"/>
        <d v="2024-09-29T00:00:00Z"/>
        <d v="2024-10-06T00:00:00Z"/>
        <d v="2024-10-16T00:00:00Z"/>
        <d v="2024-09-19T00:00:00Z"/>
        <d v="2024-03-28T00:00:00Z"/>
        <d v="2024-10-17T00:00:00Z"/>
        <d v="2025-04-29T00:00:00Z"/>
        <d v="2024-03-18T00:00:00Z"/>
        <d v="2024-08-14T00:00:00Z"/>
        <d v="2024-09-01T00:00:00Z"/>
        <d v="2024-11-15T00:00:00Z"/>
        <d v="2025-01-03T00:00:00Z"/>
        <d v="2024-07-18T00:00:00Z"/>
        <d v="2025-07-11T00:00:00Z"/>
        <d v="2025-07-18T00:00:00Z"/>
        <d v="2025-07-21T00:00:00Z"/>
        <d v="2025-07-22T00:00:00Z"/>
        <d v="2025-07-24T00:00:00Z"/>
        <d v="2025-07-25T00:00:00Z"/>
        <d v="2025-07-28T00:00:00Z"/>
        <d v="2025-06-24T00:00:00Z"/>
        <d v="2025-07-14T00:00:00Z"/>
        <d v="2025-06-27T00:00:00Z"/>
        <d v="2025-01-31T00:00:00Z"/>
        <d v="2025-07-07T00:00:00Z"/>
        <d v="2025-07-09T00:00:00Z"/>
        <d v="2025-07-17T00:00:00Z"/>
        <d v="2025-07-29T00:00:00Z"/>
        <d v="2025-07-31T00:00:00Z"/>
      </sharedItems>
    </cacheField>
    <cacheField name="Marque" numFmtId="3">
      <sharedItems containsBlank="1">
        <s v="BYS Maquillage"/>
        <s v="Yepoda"/>
        <s v="Rimmel London"/>
        <s v="SHEIN"/>
        <s v="Yves Rocher"/>
        <s v="Temu"/>
        <s v="Anua"/>
        <s v="SOS Beauty"/>
        <s v="Haru Haru Wonder"/>
        <s v="Maybelline"/>
        <s v="Koru"/>
        <s v="PINKO PAZZESCO"/>
        <s v="GHD"/>
        <s v="SKIN1004"/>
        <s v="Les Pistolets en Plastique"/>
        <s v="Rose Skin Co."/>
        <s v="Skin &amp; Out"/>
        <s v="Dyson"/>
        <s v="Satinée"/>
        <s v="BodyCross"/>
        <s v="Garnier"/>
        <s v="Eau Thermale Jonzac"/>
        <s v="So Bio Etic"/>
        <s v="Terre de Mars"/>
        <s v="Commonlabs"/>
        <s v="BENEFIT"/>
        <s v="Anastasia Beverly Hills"/>
        <s v="Grande Cosmetics"/>
        <s v="Mixa"/>
        <s v="My House of Jewels"/>
        <s v="Uriage"/>
        <s v="Erborian"/>
        <s v="Lancôme "/>
        <s v="Nocibé"/>
        <s v="Crocs"/>
        <s v="JOLT"/>
        <s v="Ducray"/>
        <s v="Bioré"/>
        <s v="La Roche Posay"/>
        <s v="Yesstyle"/>
        <s v="Sheglam"/>
        <s v="Abib"/>
        <s v="Bershka"/>
        <s v="Dr.Althea"/>
        <s v="Stylevana"/>
        <s v="Dreame"/>
        <s v="Lancôme"/>
        <s v="Wandernana"/>
        <s v="Essence"/>
        <s v="Monopoly Go"/>
        <s v="Frank Provost"/>
        <s v="Myriam K Paris"/>
        <s v="Sol De Janeiro"/>
        <s v="Mixsoon"/>
        <s v="Current Body"/>
        <s v="Aïa Curl"/>
        <s v="Aromazone"/>
        <s v="iHerb"/>
        <s v="Mova"/>
        <s v="L'Oréal"/>
        <s v="Hacoo"/>
        <s v="Biocyte"/>
        <s v="Musc Intime"/>
        <s v="NYX"/>
        <s v="L'Oreal"/>
        <s v="Remington"/>
        <s v="Dynveo"/>
        <s v="Vitavea"/>
        <s v="Uberliss"/>
        <s v="Luxéol"/>
        <s v="Darry Ring"/>
        <s v="Capcut"/>
        <s v="Redken"/>
        <s v="Naali"/>
        <s v="Cerave"/>
        <s v="Paalm Cosmetics"/>
        <s v="Shavest"/>
        <s v="Inava"/>
        <s v="Cellublue"/>
        <s v="Caudalie"/>
        <s v="Voghion"/>
        <s v="BeReal"/>
        <s v="Current Body "/>
        <s v="Ali Express"/>
        <s v="Keracare"/>
        <s v="ZIIP"/>
        <s v="Feel My Skin"/>
        <s v="BYD"/>
        <s v="ISIS Pharma"/>
        <s v="Sanytol"/>
        <s v="Mavatys"/>
        <s v="Sanex"/>
        <s v="My Little Box "/>
        <s v="Lazartigue"/>
        <s v="Solinotes"/>
        <s v="It Fruit"/>
        <s v="TORRAS"/>
        <s v="Medicube"/>
        <s v="H&amp;S"/>
        <s v="Perroy Parfum"/>
        <s v="Nike"/>
        <s v="Bella Barrnett"/>
        <s v="Passion Marine"/>
        <s v="Avene"/>
        <s v="Beauty Of Joseon"/>
        <s v="Etiaxil"/>
        <s v="Just Spin"/>
        <s v="PlanJoy"/>
        <s v="YTTP"/>
        <s v="Sanytol "/>
        <s v="Dior"/>
        <s v="Pretty Little Things"/>
        <s v="L'Univers de Baya"/>
        <s v="Bob Oré"/>
        <s v="YSL"/>
        <s v="Ouvéa"/>
        <s v="Cider"/>
        <s v="Milk Make Up"/>
        <s v="SPA &amp; BIEN ÊTRE - GRAVITI"/>
        <s v="Ole Henriksen"/>
        <s v="Rare Beauty"/>
        <s v="Lancôme #MWL"/>
        <s v="Clarine"/>
        <s v="SHU UEMURA"/>
        <s v="Aveda"/>
        <s v="Clinique"/>
        <s v="KIEHLS"/>
        <s v="Embryolisse"/>
        <s v="Focus Skincare"/>
        <s v="MILK"/>
        <s v="Superdry"/>
        <s v="Prada"/>
        <s v="YSL Stylo Touche Éclat"/>
        <s v="R.E.M Beauty"/>
        <s v="IT Cosmetics"/>
        <s v="Lancôme - HYPNOSE DRAMA 🖤"/>
        <s v="Charlotte Tilburry (Nice Work)"/>
        <s v="YSL Beauty Summer Box"/>
        <s v="Fenty"/>
        <s v="Dr. Dennis Gross (Nice Work)"/>
        <s v="YSL Blushs "/>
        <s v="Valentino"/>
        <s v="Huda Beauty"/>
        <s v="Sephora"/>
        <s v="Charlotte Tilburry"/>
        <s v="The Inkey List"/>
        <s v="Cecotec"/>
        <s v="Vichy"/>
        <s v="Flower Knows"/>
        <s v="Rituals"/>
        <s v="Respire"/>
        <s v="LANEIGE"/>
        <s v="Glow Recipe"/>
        <s v="Franck Provost"/>
        <s v="MAC Cosmetics"/>
        <s v="Milk Makeup (Nice Work)"/>
        <s v="Typology"/>
        <s v="Kiehl's"/>
        <s v="JW PEI"/>
        <s v="Bloom"/>
        <s v="Nars"/>
        <s v="The Commense"/>
        <s v="Bijoux Divins"/>
        <s v="Biotherm"/>
        <s v="Courrèges (Nice Work)"/>
        <s v="Pulpe de Vie"/>
        <s v="Dieti Natura"/>
        <s v="Make Up For Ever"/>
        <s v="Jimmy Fairly"/>
        <s v="Lili Sidonio"/>
        <s v="Dr Jart +"/>
        <s v="Gallinée"/>
        <s v="Evoluderm"/>
        <s v="Drunk Elephant"/>
        <s v="Shokz"/>
        <s v="Fresh"/>
        <s v="Bourjois"/>
        <s v="Too Faced"/>
        <s v="L'Oréal Professionnel"/>
        <s v="NARS (Nice Work)"/>
        <s v="Fenty (Nice Work)"/>
        <s v="Black &amp; White Burger"/>
        <s v="Daylo"/>
        <s v="Maria Nila"/>
        <s v="The Inkey List (Nice Work)"/>
        <s v="Wonderskin"/>
        <s v="Olaplex (Nice Work)"/>
        <s v="Kurku-ma"/>
        <s v="Origins"/>
        <s v="Kielh's"/>
        <s v="SAYANA"/>
        <s v="Havaianas"/>
        <s v="Réelle"/>
        <s v="Rare Beauty (Nice Work)"/>
        <s v="Boohoo"/>
        <s v="Kylie"/>
        <s v="Eau Thermale Jonzac "/>
        <s v="Hawkers"/>
        <s v="The Ordinary"/>
        <s v="Myrimimi"/>
        <s v="Fenty Skin"/>
        <s v="L'Oreal Luxe"/>
        <s v="Maybelline Concours"/>
        <s v="Sol de Janeiro (Nice Work)"/>
        <s v="TOMO"/>
        <s v="TABASQUISHY"/>
        <s v="Armani Beauty"/>
        <s v="Summer Fridays"/>
        <s v="Lanolips"/>
        <s v="Kiko Milano"/>
        <s v="Halal Nutrition"/>
        <s v="Kylie Cosmetics"/>
        <s v="My Little Box"/>
        <s v="Cuure"/>
        <s v="Interview"/>
        <s v="Le Petit Lunetier"/>
        <s v="Maybelline "/>
        <s v="Kalista"/>
        <s v="Neutrogena"/>
        <s v="Néonail"/>
        <s v="Milk Make Up (Nice Work)"/>
        <s v="Ongle24"/>
        <s v="Bobbi Brown"/>
        <s v="Axis-Y"/>
        <s v="Filorga"/>
        <s v="YSL Beauty Summer Box (Nice Work)"/>
        <s v="Estée Lauder"/>
        <s v="ULIKE"/>
        <s v="La Boutique du Coiffeur"/>
        <s v="Weleda"/>
        <s v="Seasonly"/>
        <s v="YSL "/>
        <s v="Air Up"/>
        <s v="Saforelle"/>
        <s v="Chantelle"/>
        <s v="Lancôme Event"/>
        <s v="Hourglass"/>
        <s v="Celimax"/>
        <s v="Dexeryl"/>
        <s v="Steam One "/>
        <s v="Talisma"/>
        <s v="Owari"/>
        <s v="No More Beauty"/>
        <s v="EA Pharma"/>
        <s v="Mymosa"/>
        <s v="Nuxe"/>
        <s v="Coco &amp; Eve"/>
        <s v="Divine Vanille"/>
        <s v="Arencia"/>
        <s v="Axis Y"/>
        <m/>
      </sharedItems>
    </cacheField>
    <cacheField name="Complément">
      <sharedItems containsBlank="1" containsMixedTypes="1" containsNumber="1" containsInteger="1">
        <m/>
        <s v="CA"/>
        <s v="BOURS"/>
        <s v="Lancôme #MWL"/>
        <n v="2.0"/>
        <s v="GRWM for bed"/>
        <s v="Whats in my bag"/>
        <n v="1.0"/>
        <s v="Woo Juicy Tubes"/>
        <s v="Army"/>
        <s v="Shein deals "/>
        <s v="nov"/>
        <s v="janv"/>
        <s v="AMZ"/>
        <s v="Juicy"/>
        <s v="Sun Serum"/>
        <s v="Poremizing"/>
        <s v="PM Clay Stick"/>
        <s v="Relief"/>
        <s v="2-Double Cleansing"/>
        <s v="3-Sun Serum Hyalu"/>
        <s v="4-Tone Brightening"/>
        <s v="Tiktok"/>
        <s v="Mega Haul + Full Face Campaign"/>
        <s v="5- Glow Project"/>
        <s v="Black Friday et du Cyber Monday de SHEIN"/>
        <s v=" 💎SHEGLAM Partnership: SHEGLAM Liquid Fam Festival Glow Set"/>
        <s v="déc"/>
        <s v="👐️ SHEGLAM: Partnership Opportunity"/>
        <s v="1-PM Clay Stick"/>
        <s v="TT"/>
        <s v="Revitalift"/>
        <s v="poremizing quick clay stick mask "/>
        <s v="Poremizing Clay Stick Mask "/>
        <s v="hello kitty"/>
        <s v="février"/>
        <s v="Bold Booster Lip Combo Campaign"/>
        <s v="Big Cil mars"/>
        <s v="Blowdry"/>
        <s v="mars"/>
        <s v="THE Adventure Time X SHEGLAM COLLECTION"/>
        <s v="avril"/>
        <s v="Full SkinCare Routine in 1 Box"/>
        <s v="Double Cleansing"/>
        <s v="Big Cil avril"/>
        <s v="Lissage avril "/>
        <s v="Compléments alimentaire mai"/>
        <s v="Big Cil juin"/>
        <s v="Big Cil mai"/>
        <s v="Hyalu-Cica Sunserum "/>
        <s v="mai"/>
        <s v="Glow project "/>
        <s v="#1Bean Essence + Bean Cream + Centella Sun Cream routine "/>
        <s v="Tone-Brightening Ampoule"/>
        <s v="Glow Project"/>
        <s v="PM Stick "/>
        <s v="Lissage juin"/>
        <s v="skin care routine for beginners "/>
        <s v="Stick Mask"/>
        <s v="Beginner Routine"/>
        <s v="SKIN MASK CLAY"/>
        <s v="Tone Brightening"/>
        <s v="ad"/>
        <s v="UGC Trousse"/>
        <s v="Essentials home"/>
        <s v="UGC"/>
        <s v="Beach day "/>
        <s v="Festival outfitxtravel"/>
        <s v="Essentials home "/>
        <s v="#2 Bean Essence"/>
        <s v="Beach day"/>
        <s v="Bean Essence + Bean Cream + Centella Sun Cream routine"/>
        <s v="Bean Collagen Hydrogel Mask Pack"/>
        <s v="#3 Bean Collagen Hydrogel Mask Pack"/>
        <s v="Festival outfit "/>
        <s v="Collagen Cleansing Balm"/>
        <s v="Centella Sun Cream"/>
        <s v="Bean Cleansing Oil + Centella Cleansing Foam routine"/>
        <s v="Sunscreen Comparison"/>
        <s v="Soondy Centella Asiatica Essnece, Glacier Waster Hyaluronic Acid Serum, Bean Essence Layering"/>
        <s v="#4 Centella Sun Cream"/>
        <s v="Temps forts "/>
        <s v="skin care for beginners "/>
        <s v="sun serum real"/>
        <s v="lash idole"/>
        <s v="Masque"/>
        <s v="Tone brightening "/>
        <s v="PAS REÇU"/>
        <s v="Bean Essence"/>
        <s v=" Precision Sculpt"/>
        <s v="GLOW Project (Hyalu-Cica sun Serum + Probio-cica ampoule)"/>
        <s v="Halloween"/>
        <n v="3.0"/>
        <s v="SPF"/>
        <s v="LIP IDÔLE 💄"/>
        <s v="Juicy Tubes"/>
        <s v="Apres Collection Calendrier"/>
        <s v="Candy Glow"/>
        <s v="LASH IDÔLE"/>
        <s v="Saint Valentin"/>
        <s v="Produits Cultes"/>
        <s v="Best sellers"/>
        <s v="Loveshin &amp; Candy Glaze "/>
        <s v="2024 Black Friday Product Review"/>
        <s v="fev"/>
        <s v="creme solaire"/>
        <s v="Nice Work"/>
        <s v="Calendrier"/>
        <s v="Mascara Flutter Extension"/>
        <s v="Loveshine Plumping Lip Gloss"/>
        <s v="SHEIN Grosses Remises Day ! 🔥 Réglez votre rappel maintenant !"/>
        <s v="Fenty (Nice Work)"/>
        <s v="Hydra Jelly Pocket Lip Jam Campaign"/>
        <s v="Brumes"/>
        <s v="Pimple Patch"/>
        <s v="sérum + gel crème hyalu B5"/>
        <s v="Bell Hypoallergenique"/>
        <s v="CandyGlow"/>
        <s v="Patch"/>
        <s v="Revitalift IG"/>
        <s v="Noël"/>
        <s v="Sélection"/>
        <s v="Lissage mars"/>
        <s v="Mascara"/>
        <s v="Poremizing Light Gel Cream"/>
        <s v="Skincare Routine for Beginners"/>
        <s v="Collagen Glass Skin Mask"/>
        <s v="GLOW Project (Hyalu-Cica sun Serum + Probio-cica ampoule) "/>
        <s v="Cica-Hyal Sun Stick"/>
        <s v="#5 Bean Cleansing Oil + Centella Cleansing Foam routine"/>
        <s v="Centella Clenasing Foam + Centella Toner Pad + Soondy Centella Asiatica Essnece + Bean Cream + Centella Sun Cream Routine"/>
        <s v="Tone-Brightening Ampoule "/>
        <s v="#6 Soondy Centella Asiatica Essnece, Glacier Waster Hyaluronic Acid Serum, Bean Essence Layering"/>
        <s v="#7 Bean Cream"/>
        <s v="#8 Soybean Milk Serum"/>
        <s v="#9 Cica-Hyal Sun Stick"/>
        <s v="#10 Centella Clenasing Foam + Centella Toner Pad + Soondy Centella Asiatica Essnece + Bean Cream + Centella Sun Cream Routine"/>
        <s v="Complement juillet"/>
        <s v="Complement aout"/>
        <s v="Reel"/>
        <s v="Programmé en septembre "/>
      </sharedItems>
    </cacheField>
    <cacheField name=" Brouillon draft">
      <sharedItems containsDate="1" containsBlank="1" containsMixedTypes="1">
        <d v="2024-02-29T00:00:00Z"/>
        <d v="2024-03-14T00:00:00Z"/>
        <d v="2024-04-03T00:00:00Z"/>
        <d v="2024-04-05T00:00:00Z"/>
        <d v="2024-04-15T00:00:00Z"/>
        <d v="2024-04-19T00:00:00Z"/>
        <d v="2024-04-22T00:00:00Z"/>
        <d v="2024-04-26T00:00:00Z"/>
        <d v="2024-04-27T00:00:00Z"/>
        <d v="2024-04-28T00:00:00Z"/>
        <d v="2024-04-29T00:00:00Z"/>
        <d v="2024-05-06T00:00:00Z"/>
        <d v="2024-05-07T00:00:00Z"/>
        <d v="2024-05-08T00:00:00Z"/>
        <d v="2024-05-09T00:00:00Z"/>
        <d v="2024-05-12T00:00:00Z"/>
        <d v="2024-05-13T00:00:00Z"/>
        <d v="2024-05-15T00:00:00Z"/>
        <d v="2024-05-19T00:00:00Z"/>
        <d v="2024-05-24T00:00:00Z"/>
        <d v="2024-05-25T00:00:00Z"/>
        <d v="2024-05-26T00:00:00Z"/>
        <d v="2024-05-30T00:00:00Z"/>
        <d v="2024-06-12T00:00:00Z"/>
        <d v="2024-06-13T00:00:00Z"/>
        <d v="2024-06-14T00:00:00Z"/>
        <d v="2024-06-15T00:00:00Z"/>
        <d v="2024-06-18T00:00:00Z"/>
        <d v="2024-06-16T00:00:00Z"/>
        <d v="2024-06-17T00:00:00Z"/>
        <d v="2024-06-19T00:00:00Z"/>
        <d v="2024-06-20T00:00:00Z"/>
        <d v="2024-06-22T00:00:00Z"/>
        <d v="2024-06-23T00:00:00Z"/>
        <d v="2024-06-24T00:00:00Z"/>
        <d v="2024-06-25T00:00:00Z"/>
        <d v="2024-06-29T00:00:00Z"/>
        <d v="2024-07-02T00:00:00Z"/>
        <d v="2024-07-06T00:00:00Z"/>
        <d v="2024-07-07T00:00:00Z"/>
        <d v="2024-07-08T00:00:00Z"/>
        <d v="2024-07-10T00:00:00Z"/>
        <d v="2024-07-13T00:00:00Z"/>
        <d v="2024-07-17T00:00:00Z"/>
        <d v="2024-07-18T00:00:00Z"/>
        <d v="2024-07-19T00:00:00Z"/>
        <d v="2024-07-21T00:00:00Z"/>
        <d v="2024-07-22T00:00:00Z"/>
        <d v="2024-07-27T00:00:00Z"/>
        <d v="2024-07-29T00:00:00Z"/>
        <d v="2024-07-28T00:00:00Z"/>
        <d v="2024-07-30T00:00:00Z"/>
        <m/>
        <d v="2024-08-02T00:00:00Z"/>
        <d v="2024-08-07T00:00:00Z"/>
        <d v="2024-08-08T00:00:00Z"/>
        <d v="2024-08-11T00:00:00Z"/>
        <d v="2024-08-13T00:00:00Z"/>
        <d v="2024-08-14T00:00:00Z"/>
        <d v="2024-08-16T00:00:00Z"/>
        <d v="2024-08-18T00:00:00Z"/>
        <d v="2024-08-19T00:00:00Z"/>
        <d v="2024-08-20T00:00:00Z"/>
        <d v="2024-08-21T00:00:00Z"/>
        <d v="2024-08-22T00:00:00Z"/>
        <d v="2024-08-25T00:00:00Z"/>
        <d v="2024-08-28T00:00:00Z"/>
        <d v="2024-08-29T00:00:00Z"/>
        <d v="2024-08-30T00:00:00Z"/>
        <d v="2024-09-01T00:00:00Z"/>
        <d v="2024-09-02T00:00:00Z"/>
        <d v="2024-09-04T00:00:00Z"/>
        <d v="2024-09-08T00:00:00Z"/>
        <d v="2024-09-10T00:00:00Z"/>
        <d v="2024-09-12T00:00:00Z"/>
        <d v="2024-08-23T00:00:00Z"/>
        <d v="2024-09-13T00:00:00Z"/>
        <d v="2024-09-14T00:00:00Z"/>
        <d v="2024-09-16T00:00:00Z"/>
        <d v="2024-09-19T00:00:00Z"/>
        <d v="2024-09-22T00:00:00Z"/>
        <d v="2025-06-10T00:00:00Z"/>
        <d v="2024-09-23T00:00:00Z"/>
        <d v="2024-09-24T00:00:00Z"/>
        <d v="2024-09-28T00:00:00Z"/>
        <d v="2024-09-29T00:00:00Z"/>
        <d v="2024-10-06T00:00:00Z"/>
        <d v="2024-10-09T00:00:00Z"/>
        <d v="2024-10-07T00:00:00Z"/>
        <d v="2024-10-11T00:00:00Z"/>
        <d v="2024-10-16T00:00:00Z"/>
        <d v="2024-10-15T00:00:00Z"/>
        <d v="2024-09-21T00:00:00Z"/>
        <d v="2024-10-17T00:00:00Z"/>
        <d v="2024-10-18T00:00:00Z"/>
        <d v="2024-10-23T00:00:00Z"/>
        <d v="2025-06-11T00:00:00Z"/>
        <d v="2024-10-25T00:00:00Z"/>
        <d v="2024-10-27T00:00:00Z"/>
        <d v="2024-11-02T00:00:00Z"/>
        <d v="2024-11-03T00:00:00Z"/>
        <d v="2024-10-28T00:00:00Z"/>
        <d v="2024-10-30T00:00:00Z"/>
        <d v="2024-11-04T00:00:00Z"/>
        <d v="2024-11-05T00:00:00Z"/>
        <d v="2025-06-15T00:00:00Z"/>
        <d v="2024-10-24T00:00:00Z"/>
        <d v="2024-11-07T00:00:00Z"/>
        <d v="2024-11-10T00:00:00Z"/>
        <d v="2024-11-12T00:00:00Z"/>
        <d v="2024-11-06T00:00:00Z"/>
        <d v="2024-11-17T00:00:00Z"/>
        <d v="2024-11-11T00:00:00Z"/>
        <d v="2024-11-18T00:00:00Z"/>
        <d v="2024-11-14T00:00:00Z"/>
        <d v="2024-11-15T00:00:00Z"/>
        <d v="2024-11-19T00:00:00Z"/>
        <d v="2024-11-22T00:00:00Z"/>
        <d v="2024-11-20T00:00:00Z"/>
        <d v="2024-11-21T00:00:00Z"/>
        <d v="2024-11-24T00:00:00Z"/>
        <d v="2024-11-25T00:00:00Z"/>
        <d v="2024-11-28T00:00:00Z"/>
        <d v="2024-11-26T00:00:00Z"/>
        <d v="2024-11-27T00:00:00Z"/>
        <d v="2024-12-11T00:00:00Z"/>
        <s v="ANNULÉ NE PAS SUPP"/>
        <d v="2024-12-14T00:00:00Z"/>
        <d v="2024-12-15T00:00:00Z"/>
        <d v="2024-11-29T00:00:00Z"/>
        <d v="2024-12-03T00:00:00Z"/>
        <d v="2024-12-16T00:00:00Z"/>
        <d v="2025-02-11T00:00:00Z"/>
        <d v="2024-12-19T00:00:00Z"/>
        <d v="2024-12-20T00:00:00Z"/>
        <d v="2024-12-22T00:00:00Z"/>
        <d v="2025-01-03T00:00:00Z"/>
        <d v="2024-12-25T00:00:00Z"/>
        <d v="2024-12-27T00:00:00Z"/>
        <d v="2025-01-20T00:00:00Z"/>
        <d v="2024-12-12T00:00:00Z"/>
        <d v="2025-01-02T00:00:00Z"/>
        <d v="2025-01-10T00:00:00Z"/>
        <d v="2025-03-07T00:00:00Z"/>
        <d v="2025-01-21T00:00:00Z"/>
        <d v="2025-01-24T00:00:00Z"/>
        <d v="2025-01-26T00:00:00Z"/>
        <d v="2025-01-28T00:00:00Z"/>
        <d v="2025-01-30T00:00:00Z"/>
        <d v="2025-01-29T00:00:00Z"/>
        <d v="2025-02-05T00:00:00Z"/>
        <d v="2025-01-31T00:00:00Z"/>
        <d v="2025-02-03T00:00:00Z"/>
        <d v="2025-02-06T00:00:00Z"/>
        <d v="2025-02-13T00:00:00Z"/>
        <d v="2025-02-12T00:00:00Z"/>
        <d v="2025-02-14T00:00:00Z"/>
        <d v="2025-02-15T00:00:00Z"/>
        <d v="2025-02-16T00:00:00Z"/>
        <d v="2025-02-20T00:00:00Z"/>
        <d v="2025-02-19T00:00:00Z"/>
        <d v="2025-02-21T00:00:00Z"/>
        <d v="2025-02-23T00:00:00Z"/>
        <d v="2025-02-27T00:00:00Z"/>
        <d v="2025-02-24T00:00:00Z"/>
        <d v="2025-03-01T00:00:00Z"/>
        <d v="2025-02-25T00:00:00Z"/>
        <d v="2025-03-12T00:00:00Z"/>
        <d v="2025-03-02T00:00:00Z"/>
        <d v="2025-02-28T00:00:00Z"/>
        <d v="2025-03-05T00:00:00Z"/>
        <d v="2025-03-08T00:00:00Z"/>
        <d v="2025-04-16T00:00:00Z"/>
        <d v="2025-03-09T00:00:00Z"/>
        <d v="2025-03-10T00:00:00Z"/>
        <d v="2025-03-11T00:00:00Z"/>
        <d v="2025-03-14T00:00:00Z"/>
        <d v="2025-04-22T00:00:00Z"/>
        <d v="2025-03-16T00:00:00Z"/>
        <d v="2025-03-17T00:00:00Z"/>
        <d v="2025-03-13T00:00:00Z"/>
        <d v="2025-03-18T00:00:00Z"/>
        <d v="2025-03-23T00:00:00Z"/>
        <d v="2025-03-24T00:00:00Z"/>
        <d v="2025-04-20T00:00:00Z"/>
        <d v="2025-03-26T00:00:00Z"/>
        <d v="2025-03-19T00:00:00Z"/>
        <d v="2025-03-20T00:00:00Z"/>
        <d v="2025-04-01T00:00:00Z"/>
        <d v="2025-03-27T00:00:00Z"/>
        <d v="2025-03-30T00:00:00Z"/>
        <d v="2025-04-02T00:00:00Z"/>
        <d v="2025-04-04T00:00:00Z"/>
        <d v="2025-04-03T00:00:00Z"/>
        <d v="2025-04-10T00:00:00Z"/>
        <d v="2025-04-11T00:00:00Z"/>
        <d v="2025-04-14T00:00:00Z"/>
        <d v="2025-05-08T00:00:00Z"/>
        <d v="2025-04-13T00:00:00Z"/>
        <d v="2025-04-15T00:00:00Z"/>
        <d v="2025-04-17T00:00:00Z"/>
        <d v="2025-04-18T00:00:00Z"/>
        <d v="2025-04-19T00:00:00Z"/>
        <d v="2025-05-26T00:00:00Z"/>
        <d v="2025-04-23T00:00:00Z"/>
        <d v="2025-04-24T00:00:00Z"/>
        <d v="2025-04-26T00:00:00Z"/>
        <d v="2025-04-27T00:00:00Z"/>
        <d v="2025-04-28T00:00:00Z"/>
        <d v="2025-04-29T00:00:00Z"/>
        <d v="2025-05-04T00:00:00Z"/>
        <d v="2025-04-30T00:00:00Z"/>
        <d v="2025-05-01T00:00:00Z"/>
        <d v="2025-05-06T00:00:00Z"/>
        <d v="2025-05-07T00:00:00Z"/>
        <d v="2025-05-03T00:00:00Z"/>
        <d v="2025-05-05T00:00:00Z"/>
        <d v="2025-06-29T00:00:00Z"/>
        <d v="2025-06-30T00:00:00Z"/>
        <d v="2025-05-14T00:00:00Z"/>
        <d v="2025-05-09T00:00:00Z"/>
        <d v="2025-05-13T00:00:00Z"/>
        <d v="2025-07-03T00:00:00Z"/>
        <d v="2025-05-17T00:00:00Z"/>
        <d v="2025-05-15T00:00:00Z"/>
        <d v="2025-05-16T00:00:00Z"/>
        <d v="2025-05-21T00:00:00Z"/>
        <d v="2025-05-22T00:00:00Z"/>
        <d v="2025-05-24T00:00:00Z"/>
        <d v="2025-07-07T00:00:00Z"/>
        <d v="2025-07-15T00:00:00Z"/>
        <d v="2025-06-01T00:00:00Z"/>
        <d v="2025-06-02T00:00:00Z"/>
        <d v="2025-05-28T00:00:00Z"/>
        <d v="2025-05-30T00:00:00Z"/>
        <d v="2025-06-05T00:00:00Z"/>
        <d v="2025-06-08T00:00:00Z"/>
        <d v="2025-06-12T00:00:00Z"/>
        <d v="2024-12-04T00:00:00Z"/>
        <d v="2025-06-13T00:00:00Z"/>
        <d v="2025-06-24T00:00:00Z"/>
        <d v="2025-06-17T00:00:00Z"/>
        <d v="2025-06-19T00:00:00Z"/>
        <d v="2025-06-20T00:00:00Z"/>
        <d v="2025-06-22T00:00:00Z"/>
        <d v="2025-06-25T00:00:00Z"/>
        <d v="2025-05-27T00:00:00Z"/>
        <d v="2025-06-07T00:00:00Z"/>
        <d v="2025-06-27T00:00:00Z"/>
        <d v="2025-07-02T00:00:00Z"/>
        <d v="2025-07-01T00:00:00Z"/>
        <d v="2025-07-24T00:00:00Z"/>
        <d v="2025-02-26T00:00:00Z"/>
        <d v="2025-01-11T00:00:00Z"/>
        <d v="2025-06-21T00:00:00Z"/>
        <d v="2025-07-19T00:00:00Z"/>
        <d v="2025-06-04T00:00:00Z"/>
        <d v="2025-07-08T00:00:00Z"/>
        <d v="2025-07-05T00:00:00Z"/>
        <d v="2025-07-06T00:00:00Z"/>
        <d v="2025-07-10T00:00:00Z"/>
        <d v="2025-07-04T00:00:00Z"/>
        <d v="2025-07-09T00:00:00Z"/>
        <d v="2025-07-14T00:00:00Z"/>
        <d v="2025-07-11T00:00:00Z"/>
        <d v="2025-07-13T00:00:00Z"/>
        <d v="2025-07-17T00:00:00Z"/>
        <d v="2025-07-23T00:00:00Z"/>
        <d v="2025-07-18T00:00:00Z"/>
        <d v="2025-07-20T00:00:00Z"/>
        <d v="2025-07-22T00:00:00Z"/>
        <d v="2025-07-25T00:00:00Z"/>
        <d v="2025-08-03T00:00:00Z"/>
        <s v=" "/>
        <d v="2025-07-26T00:00:00Z"/>
        <d v="2025-07-27T00:00:00Z"/>
        <d v="2025-07-28T00:00:00Z"/>
        <d v="2025-07-29T00:00:00Z"/>
        <d v="2025-06-26T00:00:00Z"/>
        <d v="2025-07-30T00:00:00Z"/>
        <d v="2025-07-31T00:00:00Z"/>
        <d v="2025-08-04T00:00:00Z"/>
        <d v="2025-08-05T00:00:00Z"/>
        <d v="2025-08-10T00:00:00Z"/>
        <d v="2025-08-14T00:00:00Z"/>
        <d v="2025-08-18T00:00:00Z"/>
        <d v="2025-08-19T00:00:00Z"/>
        <d v="2025-08-20T00:00:00Z"/>
        <d v="2025-08-25T00:00:00Z"/>
        <d v="2025-09-01T00:00:00Z"/>
        <d v="2025-09-02T00:00:00Z"/>
        <d v="2025-09-14T00:00:00Z"/>
        <d v="2025-09-28T00:00:00Z"/>
        <d v="2025-10-10T00:00:00Z"/>
      </sharedItems>
    </cacheField>
    <cacheField name="Date Début">
      <sharedItems containsDate="1" containsBlank="1" containsMixedTypes="1">
        <m/>
        <d v="2024-03-19T00:00:00Z"/>
        <d v="2024-05-14T00:00:00Z"/>
        <d v="2024-05-25T00:00:00Z"/>
        <d v="2024-05-27T00:00:00Z"/>
        <d v="2024-06-10T00:00:00Z"/>
        <d v="2024-06-18T00:00:00Z"/>
        <d v="2024-06-19T00:00:00Z"/>
        <d v="2024-06-16T00:00:00Z"/>
        <d v="2024-06-24T00:00:00Z"/>
        <d v="2024-07-06T00:00:00Z"/>
        <d v="2024-06-17T00:00:00Z"/>
        <d v="2024-07-01T00:00:00Z"/>
        <d v="2024-07-10T00:00:00Z"/>
        <d v="2024-06-25T00:00:00Z"/>
        <d v="2024-07-19T00:00:00Z"/>
        <d v="2024-08-18T00:00:00Z"/>
        <d v="2024-09-02T00:00:00Z"/>
        <d v="2024-09-16T00:00:00Z"/>
        <d v="2024-10-20T00:00:00Z"/>
        <d v="2025-05-01T00:00:00Z"/>
        <d v="2024-11-01T00:00:00Z"/>
        <d v="2024-11-13T00:00:00Z"/>
        <d v="2024-11-10T00:00:00Z"/>
        <d v="2024-12-10T00:00:00Z"/>
        <d v="2025-01-31T00:00:00Z"/>
        <d v="2025-02-03T00:00:00Z"/>
        <d v="2025-02-13T00:00:00Z"/>
        <d v="2025-01-23T00:00:00Z"/>
        <d v="2025-03-01T00:00:00Z"/>
        <d v="2025-02-28T00:00:00Z"/>
        <d v="2025-02-15T00:00:00Z"/>
        <d v="2025-05-21T00:00:00Z"/>
        <d v="2025-06-05T00:00:00Z"/>
        <d v="2025-07-16T00:00:00Z"/>
        <d v="2025-06-22T00:00:00Z"/>
        <d v="2025-07-01T00:00:00Z"/>
        <s v=" "/>
        <d v="2025-01-09T00:00:00Z"/>
        <d v="2024-09-13T00:00:00Z"/>
        <d v="2024-10-16T00:00:00Z"/>
        <d v="2024-11-18T00:00:00Z"/>
        <d v="2024-01-11T00:00:00Z"/>
        <d v="2024-12-06T00:00:00Z"/>
        <d v="2025-02-27T00:00:00Z"/>
        <d v="2025-04-08T00:00:00Z"/>
        <d v="2025-01-27T00:00:00Z"/>
        <d v="2024-11-11T00:00:00Z"/>
        <d v="2024-11-28T00:00:00Z"/>
        <d v="2024-12-21T00:00:00Z"/>
        <d v="2025-01-13T00:00:00Z"/>
        <d v="2025-02-11T00:00:00Z"/>
        <d v="2025-03-06T00:00:00Z"/>
        <d v="2024-04-01T00:00:00Z"/>
        <d v="2024-04-08T00:00:00Z"/>
        <d v="2024-02-29T00:00:00Z"/>
        <d v="2024-04-18T00:00:00Z"/>
        <d v="2024-06-07T00:00:00Z"/>
        <d v="2024-03-21T00:00:00Z"/>
        <d v="2024-06-20T00:00:00Z"/>
        <d v="2024-07-08T00:00:00Z"/>
        <d v="2024-07-29T00:00:00Z"/>
        <d v="2024-09-01T00:00:00Z"/>
        <d v="2024-09-12T00:00:00Z"/>
        <d v="2024-09-23T00:00:00Z"/>
        <d v="2024-09-28T00:00:00Z"/>
        <d v="2024-09-30T00:00:00Z"/>
        <d v="2024-10-01T00:00:00Z"/>
        <d v="2024-10-12T00:00:00Z"/>
        <d v="2024-11-06T00:00:00Z"/>
        <d v="2024-12-04T00:00:00Z"/>
        <d v="2025-01-16T00:00:00Z"/>
        <d v="2025-01-20T00:00:00Z"/>
        <d v="2024-04-15T00:00:00Z"/>
        <d v="2024-03-26T00:00:00Z"/>
        <d v="2024-04-20T00:00:00Z"/>
        <d v="2024-08-26T00:00:00Z"/>
        <d v="2024-02-28T00:00:00Z"/>
        <d v="2024-04-05T00:00:00Z"/>
        <d v="2024-09-26T00:00:00Z"/>
        <d v="2024-03-01T00:00:00Z"/>
        <d v="2024-10-24T00:00:00Z"/>
        <d v="2024-08-29T00:00:00Z"/>
        <d v="2024-11-15T00:00:00Z"/>
        <d v="2025-02-25T00:00:00Z"/>
        <d v="2024-09-25T00:00:00Z"/>
        <d v="2024-08-06T00:00:00Z"/>
        <d v="2024-08-09T00:00:00Z"/>
        <d v="2024-12-12T00:00:00Z"/>
        <d v="2025-03-25T00:00:00Z"/>
        <d v="2024-07-27T00:00:00Z"/>
        <d v="2024-04-13T00:00:00Z"/>
        <d v="2023-03-23T00:00:00Z"/>
        <d v="2024-08-16T00:00:00Z"/>
        <d v="2024-11-04T00:00:00Z"/>
        <d v="2024-10-29T00:00:00Z"/>
        <d v="2024-01-06T00:00:00Z"/>
        <d v="2025-01-24T00:00:00Z"/>
        <d v="2025-01-29T00:00:00Z"/>
        <d v="2025-02-05T00:00:00Z"/>
        <d v="2024-03-20T00:00:00Z"/>
        <d v="2024-09-14T00:00:00Z"/>
        <d v="2024-10-10T00:00:00Z"/>
        <d v="2024-10-02T00:00:00Z"/>
        <d v="2024-06-14T00:00:00Z"/>
        <d v="2025-01-28T00:00:00Z"/>
        <d v="2024-06-01T00:00:00Z"/>
        <d v="2024-06-11T00:00:00Z"/>
        <d v="2024-12-03T00:00:00Z"/>
        <d v="2024-04-04T00:00:00Z"/>
        <d v="2024-06-27T00:00:00Z"/>
        <d v="2024-07-18T00:00:00Z"/>
        <d v="2024-10-28T00:00:00Z"/>
        <n v="-619148.0"/>
        <d v="2024-10-30T00:00:00Z"/>
        <d v="2024-12-11T00:00:00Z"/>
        <d v="2024-12-02T00:00:00Z"/>
        <d v="2025-01-25T00:00:00Z"/>
        <d v="2024-06-08T00:00:00Z"/>
        <d v="2024-10-25T00:00:00Z"/>
        <d v="2024-03-22T00:00:00Z"/>
        <d v="2024-07-26T00:00:00Z"/>
        <d v="2024-11-08T00:00:00Z"/>
        <d v="2025-09-08T00:00:00Z"/>
        <d v="2025-03-26T00:00:00Z"/>
        <d v="2025-08-10T00:00:00Z"/>
      </sharedItems>
    </cacheField>
    <cacheField name="Date Fin">
      <sharedItems containsDate="1" containsBlank="1" containsMixedTypes="1">
        <d v="2024-03-08T00:00:00Z"/>
        <d v="2024-03-19T00:00:00Z"/>
        <m/>
        <d v="2024-04-06T00:00:00Z"/>
        <d v="2024-04-09T00:00:00Z"/>
        <d v="2024-04-19T00:00:00Z"/>
        <d v="2024-04-22T00:00:00Z"/>
        <d v="2024-04-18T00:00:00Z"/>
        <d v="2024-04-26T00:00:00Z"/>
        <d v="2024-05-02T00:00:00Z"/>
        <d v="2024-05-01T00:00:00Z"/>
        <d v="2024-05-04T00:00:00Z"/>
        <d v="2024-05-08T00:00:00Z"/>
        <d v="2024-05-07T00:00:00Z"/>
        <d v="2024-05-10T00:00:00Z"/>
        <d v="2024-05-13T00:00:00Z"/>
        <d v="2024-05-18T00:00:00Z"/>
        <d v="2024-05-14T00:00:00Z"/>
        <d v="2024-05-17T00:00:00Z"/>
        <d v="2024-05-23T00:00:00Z"/>
        <d v="2024-05-27T00:00:00Z"/>
        <d v="2024-05-29T00:00:00Z"/>
        <d v="2024-05-30T00:00:00Z"/>
        <d v="2024-05-31T00:00:00Z"/>
        <d v="2024-06-16T00:00:00Z"/>
        <d v="2024-06-17T00:00:00Z"/>
        <d v="2024-06-20T00:00:00Z"/>
        <d v="2024-06-22T00:00:00Z"/>
        <d v="2024-06-19T00:00:00Z"/>
        <d v="2024-06-23T00:00:00Z"/>
        <d v="2024-06-25T00:00:00Z"/>
        <d v="2024-06-24T00:00:00Z"/>
        <d v="2024-06-29T00:00:00Z"/>
        <d v="2024-07-06T00:00:00Z"/>
        <d v="2024-06-28T00:00:00Z"/>
        <d v="2024-07-01T00:00:00Z"/>
        <d v="2024-06-26T00:00:00Z"/>
        <d v="2024-06-30T00:00:00Z"/>
        <d v="2024-07-10T00:00:00Z"/>
        <d v="2024-07-07T00:00:00Z"/>
        <d v="2024-07-14T00:00:00Z"/>
        <d v="2024-07-12T00:00:00Z"/>
        <d v="2024-07-23T00:00:00Z"/>
        <d v="2024-07-24T00:00:00Z"/>
        <d v="2024-07-22T00:00:00Z"/>
        <d v="2024-07-21T00:00:00Z"/>
        <d v="2024-07-25T00:00:00Z"/>
        <d v="2024-09-06T00:00:00Z"/>
        <d v="2024-07-26T00:00:00Z"/>
        <d v="2024-08-01T00:00:00Z"/>
        <d v="2024-09-08T00:00:00Z"/>
        <d v="2024-08-06T00:00:00Z"/>
        <d v="2024-08-03T00:00:00Z"/>
        <d v="2024-08-02T00:00:00Z"/>
        <d v="2024-07-20T00:00:00Z"/>
        <d v="2024-07-30T00:00:00Z"/>
        <d v="2024-08-09T00:00:00Z"/>
        <d v="2024-08-16T00:00:00Z"/>
        <d v="2024-08-08T00:00:00Z"/>
        <d v="2024-08-15T00:00:00Z"/>
        <d v="2024-09-07T00:00:00Z"/>
        <d v="2024-08-22T00:00:00Z"/>
        <d v="2024-08-25T00:00:00Z"/>
        <d v="2024-08-18T00:00:00Z"/>
        <d v="2024-08-21T00:00:00Z"/>
        <d v="2024-08-20T00:00:00Z"/>
        <d v="2024-08-23T00:00:00Z"/>
        <d v="2024-09-02T00:00:00Z"/>
        <d v="2024-08-28T00:00:00Z"/>
        <d v="2024-08-24T00:00:00Z"/>
        <d v="2024-08-30T00:00:00Z"/>
        <d v="2024-09-13T00:00:00Z"/>
        <d v="2024-09-18T00:00:00Z"/>
        <d v="2024-09-19T00:00:00Z"/>
        <d v="2024-09-09T00:00:00Z"/>
        <d v="2024-10-02T00:00:00Z"/>
        <d v="2024-10-11T00:00:00Z"/>
        <d v="2024-09-23T00:00:00Z"/>
        <d v="2024-09-21T00:00:00Z"/>
        <d v="2024-10-06T00:00:00Z"/>
        <d v="2024-09-20T00:00:00Z"/>
        <d v="2024-08-10T00:00:00Z"/>
        <d v="2024-09-25T00:00:00Z"/>
        <d v="2025-06-15T00:00:00Z"/>
        <d v="2024-09-30T00:00:00Z"/>
        <d v="2024-09-26T00:00:00Z"/>
        <d v="2024-10-03T00:00:00Z"/>
        <d v="2024-11-02T00:00:00Z"/>
        <d v="2024-11-15T00:00:00Z"/>
        <d v="2024-11-01T00:00:00Z"/>
        <d v="2024-11-08T00:00:00Z"/>
        <d v="2024-10-27T00:00:00Z"/>
        <d v="2024-10-26T00:00:00Z"/>
        <d v="2024-10-28T00:00:00Z"/>
        <d v="2025-06-14T00:00:00Z"/>
        <d v="2024-11-05T00:00:00Z"/>
        <d v="2024-11-16T00:00:00Z"/>
        <d v="2024-11-10T00:00:00Z"/>
        <d v="2024-11-12T00:00:00Z"/>
        <d v="2024-11-11T00:00:00Z"/>
        <d v="2025-06-17T00:00:00Z"/>
        <d v="2024-10-22T00:00:00Z"/>
        <d v="2024-11-07T00:00:00Z"/>
        <d v="2025-02-10T00:00:00Z"/>
        <d v="2024-11-09T00:00:00Z"/>
        <d v="2024-11-29T00:00:00Z"/>
        <d v="2024-12-03T00:00:00Z"/>
        <d v="2024-11-19T00:00:00Z"/>
        <d v="2024-11-30T00:00:00Z"/>
        <d v="2024-11-20T00:00:00Z"/>
        <d v="2024-11-27T00:00:00Z"/>
        <d v="2024-11-22T00:00:00Z"/>
        <d v="2024-11-26T00:00:00Z"/>
        <d v="2024-12-02T00:00:00Z"/>
        <d v="2024-12-09T00:00:00Z"/>
        <d v="2024-11-28T00:00:00Z"/>
        <d v="2024-12-15T00:00:00Z"/>
        <d v="2024-12-17T00:00:00Z"/>
        <d v="2024-12-01T00:00:00Z"/>
        <d v="2024-12-10T00:00:00Z"/>
        <d v="2025-03-05T00:00:00Z"/>
        <d v="2024-12-25T00:00:00Z"/>
        <d v="2024-12-19T00:00:00Z"/>
        <d v="2024-12-29T00:00:00Z"/>
        <d v="2025-01-03T00:00:00Z"/>
        <d v="2025-01-09T00:00:00Z"/>
        <d v="2025-01-10T00:00:00Z"/>
        <d v="2025-01-23T00:00:00Z"/>
        <d v="2025-01-24T00:00:00Z"/>
        <d v="2025-01-25T00:00:00Z"/>
        <d v="2025-01-05T00:00:00Z"/>
        <d v="2025-01-20T00:00:00Z"/>
        <d v="2025-01-13T00:00:00Z"/>
        <d v="2025-03-10T00:00:00Z"/>
        <d v="2025-01-29T00:00:00Z"/>
        <d v="2025-01-15T00:00:00Z"/>
        <d v="2025-01-30T00:00:00Z"/>
        <d v="2025-01-22T00:00:00Z"/>
        <d v="2025-02-07T00:00:00Z"/>
        <d v="2025-02-19T00:00:00Z"/>
        <d v="2025-01-31T00:00:00Z"/>
        <d v="2025-02-04T00:00:00Z"/>
        <d v="2025-02-05T00:00:00Z"/>
        <d v="2025-02-14T00:00:00Z"/>
        <d v="2025-02-08T00:00:00Z"/>
        <d v="2025-02-16T00:00:00Z"/>
        <d v="2025-02-20T00:00:00Z"/>
        <d v="2025-02-21T00:00:00Z"/>
        <d v="2025-02-26T00:00:00Z"/>
        <d v="2025-02-27T00:00:00Z"/>
        <d v="2025-02-22T00:00:00Z"/>
        <d v="2025-02-25T00:00:00Z"/>
        <d v="2025-02-13T00:00:00Z"/>
        <d v="2025-03-31T00:00:00Z"/>
        <d v="2025-03-04T00:00:00Z"/>
        <d v="2025-03-15T00:00:00Z"/>
        <d v="2025-03-12T00:00:00Z"/>
        <d v="2025-04-21T00:00:00Z"/>
        <d v="2025-03-13T00:00:00Z"/>
        <d v="2025-03-16T00:00:00Z"/>
        <d v="2025-03-18T00:00:00Z"/>
        <d v="2025-03-22T00:00:00Z"/>
        <d v="2025-04-23T00:00:00Z"/>
        <d v="2025-03-29T00:00:00Z"/>
        <d v="2025-03-24T00:00:00Z"/>
        <d v="2025-03-14T00:00:00Z"/>
        <d v="2025-03-19T00:00:00Z"/>
        <d v="2025-03-30T00:00:00Z"/>
        <d v="2025-04-26T00:00:00Z"/>
        <d v="2025-03-21T00:00:00Z"/>
        <d v="2025-05-24T00:00:00Z"/>
        <d v="2025-04-01T00:00:00Z"/>
        <d v="2025-04-04T00:00:00Z"/>
        <d v="2025-03-28T00:00:00Z"/>
        <d v="2025-04-06T00:00:00Z"/>
        <d v="2025-04-07T00:00:00Z"/>
        <d v="2025-02-28T00:00:00Z"/>
        <d v="2025-01-14T00:00:00Z"/>
        <d v="2025-04-10T00:00:00Z"/>
        <d v="2025-03-26T00:00:00Z"/>
        <d v="2025-04-09T00:00:00Z"/>
        <d v="2025-04-12T00:00:00Z"/>
        <d v="2025-04-16T00:00:00Z"/>
        <d v="2025-04-19T00:00:00Z"/>
        <d v="2025-05-09T00:00:00Z"/>
        <d v="2025-04-18T00:00:00Z"/>
        <d v="2025-04-25T00:00:00Z"/>
        <d v="2025-04-24T00:00:00Z"/>
        <d v="2025-04-27T00:00:00Z"/>
        <d v="2025-05-19T00:00:00Z"/>
        <d v="2025-05-30T00:00:00Z"/>
        <d v="2025-04-29T00:00:00Z"/>
        <d v="2025-05-01T00:00:00Z"/>
        <d v="2025-04-30T00:00:00Z"/>
        <d v="2025-05-31T00:00:00Z"/>
        <s v="31/04/2025"/>
        <d v="2025-03-06T00:00:00Z"/>
        <d v="2025-05-04T00:00:00Z"/>
        <d v="2025-05-05T00:00:00Z"/>
        <d v="2025-05-02T00:00:00Z"/>
        <d v="2025-05-14T00:00:00Z"/>
        <d v="2025-05-23T00:00:00Z"/>
        <d v="2025-05-08T00:00:00Z"/>
        <d v="2025-05-21T00:00:00Z"/>
        <d v="2025-05-10T00:00:00Z"/>
        <d v="2025-05-16T00:00:00Z"/>
        <d v="2025-05-25T00:00:00Z"/>
        <d v="2025-06-22T00:00:00Z"/>
        <d v="2025-06-30T00:00:00Z"/>
        <d v="2025-05-20T00:00:00Z"/>
        <d v="2025-05-15T00:00:00Z"/>
        <d v="2025-05-17T00:00:00Z"/>
        <d v="2025-07-08T00:00:00Z"/>
        <d v="2025-05-29T00:00:00Z"/>
        <d v="2025-05-22T00:00:00Z"/>
        <d v="2025-07-13T00:00:00Z"/>
        <d v="2025-07-16T00:00:00Z"/>
        <d v="2025-01-17T00:00:00Z"/>
        <d v="2025-06-10T00:00:00Z"/>
        <d v="2025-06-04T00:00:00Z"/>
        <d v="2025-06-05T00:00:00Z"/>
        <d v="2025-02-11T00:00:00Z"/>
        <d v="2025-06-11T00:00:00Z"/>
        <d v="2025-06-13T00:00:00Z"/>
        <d v="2025-04-22T00:00:00Z"/>
        <d v="2025-06-25T00:00:00Z"/>
        <d v="2025-06-18T00:00:00Z"/>
        <d v="2025-06-26T00:00:00Z"/>
        <d v="2025-06-24T00:00:00Z"/>
        <d v="2025-06-29T00:00:00Z"/>
        <d v="2025-07-03T00:00:00Z"/>
        <d v="2025-06-20T00:00:00Z"/>
        <d v="2025-06-28T00:00:00Z"/>
        <d v="2025-07-26T00:00:00Z"/>
        <s v="31/06/2025"/>
        <d v="2025-07-07T00:00:00Z"/>
        <d v="2025-07-18T00:00:00Z"/>
        <d v="2025-06-27T00:00:00Z"/>
        <d v="2025-07-11T00:00:00Z"/>
        <d v="2025-07-04T00:00:00Z"/>
        <d v="2025-07-17T00:00:00Z"/>
        <d v="2025-07-05T00:00:00Z"/>
        <d v="2024-07-13T00:00:00Z"/>
        <d v="2025-07-10T00:00:00Z"/>
        <d v="2025-07-14T00:00:00Z"/>
        <d v="2025-07-19T00:00:00Z"/>
        <d v="2025-07-20T00:00:00Z"/>
        <d v="2025-07-22T00:00:00Z"/>
        <d v="2025-07-27T00:00:00Z"/>
        <d v="2025-07-23T00:00:00Z"/>
        <d v="2025-07-25T00:00:00Z"/>
        <d v="2025-08-15T00:00:00Z"/>
        <d v="2025-07-31T00:00:00Z"/>
        <d v="2025-07-28T00:00:00Z"/>
        <d v="2025-07-29T00:00:00Z"/>
        <d v="2025-08-10T00:00:00Z"/>
        <d v="2025-06-21T00:00:00Z"/>
        <d v="2025-01-28T00:00:00Z"/>
        <d v="2025-06-19T00:00:00Z"/>
        <d v="2024-10-04T00:00:00Z"/>
        <d v="2024-11-25T00:00:00Z"/>
        <d v="2025-08-07T00:00:00Z"/>
        <d v="2025-06-09T00:00:00Z"/>
        <d v="2024-10-10T00:00:00Z"/>
        <d v="2024-10-25T00:00:00Z"/>
        <d v="2024-10-30T00:00:00Z"/>
        <d v="2024-12-24T00:00:00Z"/>
        <d v="2024-07-08T00:00:00Z"/>
        <d v="2025-03-20T00:00:00Z"/>
        <d v="2025-04-28T00:00:00Z"/>
        <d v="2024-09-22T00:00:00Z"/>
        <d v="2024-12-22T00:00:00Z"/>
        <d v="2025-01-11T00:00:00Z"/>
        <d v="2025-03-17T00:00:00Z"/>
        <d v="2024-05-09T00:00:00Z"/>
        <d v="2024-12-28T00:00:00Z"/>
        <d v="2025-01-04T00:00:00Z"/>
        <d v="2024-04-14T00:00:00Z"/>
        <d v="2024-04-29T00:00:00Z"/>
        <d v="2024-05-11T00:00:00Z"/>
        <d v="2024-05-28T00:00:00Z"/>
        <d v="2024-06-02T00:00:00Z"/>
        <d v="2024-06-05T00:00:00Z"/>
        <d v="2024-06-07T00:00:00Z"/>
        <d v="2024-06-21T00:00:00Z"/>
        <d v="2024-07-03T00:00:00Z"/>
        <d v="2024-07-15T00:00:00Z"/>
        <d v="2024-07-28T00:00:00Z"/>
        <d v="2024-09-16T00:00:00Z"/>
        <d v="2024-09-27T00:00:00Z"/>
        <d v="2024-10-07T00:00:00Z"/>
        <d v="2024-10-20T00:00:00Z"/>
        <d v="2024-10-21T00:00:00Z"/>
        <d v="2025-02-06T00:00:00Z"/>
        <d v="2025-02-17T00:00:00Z"/>
        <d v="2025-02-23T00:00:00Z"/>
        <d v="2024-03-01T00:00:00Z"/>
        <d v="2024-12-12T00:00:00Z"/>
        <d v="2024-04-07T00:00:00Z"/>
        <d v="2024-04-11T00:00:00Z"/>
        <d v="2024-04-21T00:00:00Z"/>
        <d v="2024-05-19T00:00:00Z"/>
        <d v="2024-05-20T00:00:00Z"/>
        <d v="2024-08-11T00:00:00Z"/>
        <d v="2024-10-15T00:00:00Z"/>
        <d v="2025-02-15T00:00:00Z"/>
        <d v="2025-03-08T00:00:00Z"/>
        <d v="2024-07-16T00:00:00Z"/>
        <d v="2024-09-15T00:00:00Z"/>
        <d v="2024-10-17T00:00:00Z"/>
        <d v="2024-12-16T00:00:00Z"/>
        <d v="2024-11-14T00:00:00Z"/>
        <d v="2024-10-05T00:00:00Z"/>
        <d v="2025-03-11T00:00:00Z"/>
        <d v="2024-08-07T00:00:00Z"/>
        <d v="2024-08-26T00:00:00Z"/>
        <d v="2024-04-28T00:00:00Z"/>
        <d v="2024-05-03T00:00:00Z"/>
        <d v="2024-05-25T00:00:00Z"/>
        <d v="2025-01-02T00:00:00Z"/>
        <d v="2024-08-12T00:00:00Z"/>
        <d v="2024-04-30T00:00:00Z"/>
        <d v="2024-05-12T00:00:00Z"/>
        <d v="2024-04-10T00:00:00Z"/>
        <d v="2024-11-24T00:00:00Z"/>
        <n v="-619359.0"/>
        <d v="2024-04-15T00:00:00Z"/>
        <d v="2024-08-04T00:00:00Z"/>
        <d v="2024-09-03T00:00:00Z"/>
        <d v="2024-10-16T00:00:00Z"/>
        <d v="2024-12-13T00:00:00Z"/>
        <d v="2025-01-06T00:00:00Z"/>
        <d v="2025-02-24T00:00:00Z"/>
        <d v="2024-12-21T00:00:00Z"/>
        <d v="2024-06-27T00:00:00Z"/>
        <d v="2024-09-01T00:00:00Z"/>
        <d v="2024-10-31T00:00:00Z"/>
        <d v="2024-11-23T00:00:00Z"/>
        <d v="2024-02-15T00:00:00Z"/>
        <d v="2024-05-15T00:00:00Z"/>
        <d v="2024-06-14T00:00:00Z"/>
        <d v="2024-07-27T00:00:00Z"/>
        <d v="2024-09-14T00:00:00Z"/>
        <d v="2024-09-17T00:00:00Z"/>
        <d v="2024-10-08T00:00:00Z"/>
        <d v="2024-06-08T00:00:00Z"/>
        <d v="2024-06-11T00:00:00Z"/>
        <d v="2024-12-20T00:00:00Z"/>
        <d v="2023-02-01T00:00:00Z"/>
        <d v="2024-02-01T00:00:00Z"/>
        <d v="2024-03-28T00:00:00Z"/>
        <d v="2024-03-31T00:00:00Z"/>
        <d v="2024-08-29T00:00:00Z"/>
        <d v="2024-11-03T00:00:00Z"/>
        <d v="2024-12-06T00:00:00Z"/>
        <d v="2024-12-23T00:00:00Z"/>
        <d v="2024-07-11T00:00:00Z"/>
        <d v="2024-08-19T00:00:00Z"/>
        <d v="2025-03-27T00:00:00Z"/>
        <d v="2025-09-15T00:00:00Z"/>
        <d v="2025-08-03T00:00:00Z"/>
        <d v="2025-05-18T00:00:00Z"/>
        <d v="2025-08-14T00:00:00Z"/>
        <d v="2025-08-08T00:00:00Z"/>
        <d v="2025-08-24T00:00:00Z"/>
        <d v="2025-08-13T00:00:00Z"/>
        <d v="2025-09-03T00:00:00Z"/>
        <d v="2025-08-21T00:00:00Z"/>
        <d v="2025-09-06T00:00:00Z"/>
        <d v="2025-09-01T00:00:00Z"/>
        <d v="2025-09-08T00:00:00Z"/>
        <d v="2025-09-19T00:00:00Z"/>
        <d v="2025-09-09T00:00:00Z"/>
        <d v="2025-10-03T00:00:00Z"/>
        <d v="2025-10-15T00:00:00Z"/>
      </sharedItems>
    </cacheField>
    <cacheField name="Status" numFmtId="0">
      <sharedItems containsBlank="1">
        <s v="Fait"/>
        <s v="Facture à envoyer"/>
        <s v="Script Revision Marque"/>
        <s v="Video Validée Marque"/>
        <s v="Video Revision Marque"/>
        <m/>
        <s v="Colis Reçu?"/>
        <s v="Script Validée Marque"/>
      </sharedItems>
    </cacheField>
    <cacheField name="Commentaire" numFmtId="0">
      <sharedItems containsBlank="1">
        <m/>
        <s v="ne pas mentionner d'autres marques 7 jours avant et après @ "/>
        <s v="resultat concours"/>
        <s v="en attente validation marque"/>
        <s v="VALIDÉ"/>
        <s v="Preview Validée"/>
        <s v="⚠️⚠️ demander à Inès code promo vs lien (car code différent)"/>
        <s v="à envoyer à la marque"/>
        <s v="en attente validation"/>
        <s v="envoyer facture"/>
        <s v="en attente info facturation"/>
        <s v="Ne pas envoyer facture au client mais faire une factureEn $$ une fois reception et convertion"/>
        <s v="brief partagé"/>
        <s v="ne pas poster 24h après ⚠️ verifier date (colis reçu le 23/05 = 3S)"/>
        <s v="en attente affiliate code"/>
        <s v="video"/>
        <s v="pas d'autres collabs 3 jours avant et après"/>
        <s v="commande passée"/>
        <s v="⚠️"/>
        <s v="date post à confirmer"/>
        <s v="DESCRIPTION (changement à faire) =&gt; Nouveautés @Anastasia Beverly Hills : Beauty balm &amp; Blurring serum blush ✨ Available from xxxx at Sephora all shades online and limited assortment in store #AD #ABHBLUSH #BLUSHHACK #LIQUIDBLUSH #ABHBeautyBalm #Anastasia"/>
        <s v="DESCRIPTION (changement à faire) =&gt;Makeup After Beachhh with Beauty Balm and Blurring Serum Blush @ANASTASIABEVERLYHILLS available from xxxx at Sephora all shades online and limited assortment in store. (il faudra remplacer les xx par la date de sortie, j"/>
        <s v="brouillon"/>
        <s v="DESCRIPTION (changement à faire) =&gt;⚠️ Date sortie SEPHORA"/>
        <s v="envoyer video à jour que Lily a partagé le 13/08"/>
        <s v="SUN SERUM"/>
        <s v="Partager ad code // DESCRIPTION (changement à faire) =&gt; The perfect complexion for this summer is: Beauty Balm and Blurring Serum Blush by @ANASTASIABEVERLYHILLS vavailable from xxxx (à remplacer par la date quand nous l'aurons) at Sephora all shades onli"/>
        <s v="une fois le paiement paypal faire facture pour € exact"/>
        <s v="DESCRIPTION (changement à faire) =&gt;"/>
        <s v="ajouter avant après"/>
        <s v="attendre retour autres factures"/>
        <s v="pas poster +3/-3   // partager ad code"/>
        <s v="envoyer facture 09/09 avec médiatisation + contenu"/>
        <s v="pas possible de poster le 23"/>
        <s v="⚠️ Dates Mixa -3+3 pas de collabs // date à confirmer"/>
        <s v="à poster"/>
        <s v="médiatisation à confirmer +100€"/>
        <s v="recuperer lien tacké pour IGs"/>
        <s v="IG"/>
        <s v="à refaire (réhaussement de cils)"/>
        <s v="24h no post any // 3 weeks of use"/>
        <s v="faire valider le contenu"/>
        <s v="+code boost"/>
        <s v="pas de média"/>
        <s v="date à définir"/>
        <s v="PERSONALISATION"/>
        <s v="draft: 3 jours apres reception // 26/09/2024 au plus tard // pas de post 12h apres poster"/>
        <s v="modif sur caption"/>
        <s v="Woo Juicy Tubes"/>
        <s v="facture à envoyer mais attendre ad code JEANNE"/>
        <s v="attendre Code boost"/>
        <s v="Facture à faire"/>
        <s v="Tracking Link 72h BIO https://testsgz.app.link/4hqEOX8xbNb"/>
        <s v="modifier caption  / pas de post 24h"/>
        <s v="en attente colis"/>
        <s v="18h"/>
        <s v="(+ usage rights + TikTok spark ads + IG ad codes"/>
        <s v="Reception Colis"/>
        <s v="video+ description"/>
        <s v="activer la fonctionnalité &quot;collaboration commercial&quot;"/>
        <s v="j'ai envoyé une facture en € mais c'est en dollar"/>
        <s v="125 de media à confimer "/>
        <s v="date à confirmer (7jours apres réception colis"/>
        <s v="commande"/>
        <s v="30j Myriam K entre chaque mois"/>
        <s v="cross post IG TT"/>
        <s v="mediat"/>
        <s v="ajouter lien en bio"/>
        <s v="Cross post IG + story swipe"/>
        <s v="rajouter code + 23% par contre impossible de refaire video modifs"/>
        <s v="mais ajouter ingrédient"/>
        <s v="facture faite"/>
        <s v="boost"/>
        <s v="preview"/>
        <s v="attente reception colis"/>
        <s v="facture au 3/03 à faire et envoyer"/>
        <s v="voir pour ajouter Ad"/>
        <s v=" "/>
        <s v="TT + Médiat"/>
        <s v="script idée creat TT médiat : du 1er au 27 avril !"/>
        <s v="médiat de 100€ en plus validée?"/>
        <s v="IGS à partager      IGs+ TIKTOK"/>
        <s v="1 TT"/>
        <s v="Pendant le repas"/>
        <s v="IG Reel médiat 01/03 au 27/03"/>
        <s v="02/03=&gt; idée creative ///// 10/03/2025 brouillon"/>
        <s v="1 IG reel + 1 IGs (3sets) AD CODE⚠️"/>
        <s v="dont 250€ de mediat"/>
        <s v="contrat à faire"/>
        <s v="en attente retour de la marque pour feu vert post"/>
        <s v="poster et partager ad code avant 12h"/>
        <s v="TT"/>
        <s v="x3 videos "/>
        <s v="pas besoin de valider preview 2 stories (10/04 et 11/04)"/>
        <s v="link in bio"/>
        <s v="avec ad code"/>
        <s v="⚠️changement facture - se referer au mail"/>
        <s v="médiatisation"/>
        <s v="dont 250€ mediat"/>
        <s v="integration produit"/>
        <s v="IG reel"/>
        <s v="350€ au lieu de 195 pour la derniere"/>
        <s v="IGS  "/>
        <s v="23/04/2025 preview et 16/04 idée creative"/>
        <s v="script  et preview le 01/05/2025"/>
        <s v="script"/>
        <s v="TT IGreel SNAP"/>
        <s v="poster sur TT"/>
        <s v="81€ en option?"/>
        <s v=": https://amzn.to/3Eubtp1"/>
        <s v="Comme beaucoup de followers lui demandent comment faire partir les taches d’acné, elle pourrait créer une vidéo sous l’un de ces formats : « J’ai trouvé un appareil magique pour éliminer les taches d’acné ! » Je présente le produit en détail.Je montre com"/>
        <s v="avec 100e d'ad code inclu"/>
        <s v="vidéo ok descritpion a modifier"/>
        <s v="TT add code a recup"/>
        <s v="GR check dates"/>
        <s v="pas besoin de revision"/>
        <s v="verifier si Lily a posté et partager lien video"/>
        <s v="Video tournée avant Script // envoyer video quand meme"/>
        <s v="partager les captions modifier repost ig"/>
        <s v="Contenu attendu par la marque"/>
        <s v="IGs ANAIS20 20% valable sur ensemble produit du site"/>
        <s v="médiat"/>
        <s v="TT ANAIS20 20% valable sur ensemble produit du site"/>
        <s v="Script 18/06 TT"/>
        <s v="One INS reel + 30 days ad &amp; organic usage rights+ link in bio"/>
        <s v="idée creative"/>
        <s v="manque HD + Sous Titres"/>
        <s v="idée creative à partager"/>
        <s v="TT + Tiktok Shop (reassort le 12/06"/>
        <s v="Script 18/06 IG + Cross Post Reel + IGs"/>
        <s v="UGC"/>
        <s v="Beach Babe Hair Waver Campaign"/>
        <s v="partager les stats dès le 18 juillet ?"/>
        <s v="Tiktok/ pas chez elle avant le 1 er juillet "/>
        <s v="Tiktok"/>
        <s v="partager dès le 24/07 les screens des statistiques de son contenu UGC aussi cession de droit partager la video en HD"/>
        <s v="4EX"/>
        <s v="TT + IGr"/>
        <s v="on a pas le brief"/>
        <s v="n'a pas le produit"/>
        <s v="avec mediat"/>
        <s v="IG + TT cross post + ad code +UGC"/>
        <s v="3 videos"/>
        <s v="Code promo perso à partager"/>
        <s v="mettre explications en anglais"/>
        <s v="⚠️ Gifting voir avec Gauthier "/>
        <s v="POUR CONTENU UGC AVANT AGENCE"/>
        <s v="TT + Tiktok Shop"/>
        <s v="partager stats"/>
        <s v="pas fait "/>
        <s v="16h30"/>
        <s v="partager à Jolt les détails pour la campagne (date, orna...)"/>
        <s v=": #Kiehlsfrance (TikTok) et @kiehlsfrance (Instagram) et le hashtag : #HYDRATATION"/>
        <s v="Fonctionnement Nice Work"/>
        <s v="3 contenus // pas d'exclu"/>
        <s v="https://docs.google.com/presentation/d/1q4NE7BfV_3-rP4IUQJmAq-Et7OVpK16CYhR5OVpmQYo/edit?usp=sharing"/>
        <s v="Fonctionnement Nice Work - Envoyer lien marque"/>
        <s v="Affiliation 10% // 2 post/mois"/>
        <s v="https://www.tiktok.com/@lavishhcam/video/7384102579849956641?lang=en"/>
        <s v="Reçu"/>
        <s v="Médiatisation "/>
        <s v="envoyer facture MÉDIA EN OPTION 250€ 4semaines 7-18 Octobre"/>
        <s v="Google Ads"/>
        <s v="La semaine du 1er avril"/>
        <s v="7 jours après reception sac"/>
        <s v="ATTENTION NOUVEAU BRIEF?"/>
        <s v="La semaine du 15 avril"/>
        <s v="VOIR MAIL POUR BRIEF"/>
        <s v="⚠️chiara_12  + Lien dans bio"/>
        <s v="Libre"/>
        <s v="Tester les produits et leur faire un retour. Si tu aimes pourquoi pas poster sur Tiktok"/>
        <s v="Photo avant/après"/>
        <s v="pas reçu"/>
        <s v="⚠️bleulividee_12 + Lien dans Bio"/>
        <s v="story juste"/>
        <s v="X2 video"/>
        <s v="en attente Micro Entreprise Jeanne"/>
        <s v="Brief dans mail Sparkle"/>
        <s v="colis pas encore reçu (30/11)"/>
        <s v="Contenu libre"/>
        <s v="laurine_12 + Lien dans bio"/>
        <s v="Post obligatoire sans brief"/>
        <s v="attendre description"/>
        <s v="Dès que possible"/>
        <s v="à poster dès que possible"/>
        <s v="retard livraison"/>
        <s v="Nice Work Fonctionnement "/>
        <s v="https://www.tiktok.com/@lilyy.nl/video/7361800761090526497"/>
        <s v="Attendre avant de facturer Médiatisation "/>
        <s v="Showroom 16h"/>
        <s v="RDV 11h Showroom"/>
        <s v="pas de preview"/>
        <s v="Nice Work"/>
        <s v="https://www.tiktok.com/@melf.fnt/video/7384078329554423073"/>
        <s v="D'ici 2 semaines après 20/03/24"/>
        <s v="https://www.tiktok.com/@melf.fnt/video/7360752268607491360"/>
        <s v="En attente date"/>
        <s v="colis confidentiel jussqu'au 08/10"/>
        <s v="Rappel"/>
        <s v="https://www.tiktok.com/@morgane.mrckk/video/7384031967643307296"/>
        <s v="10h à 18h"/>
        <s v="partager video TT"/>
        <s v="en attente validation contrat"/>
        <s v="Brief"/>
        <s v="Dès réception colis"/>
        <s v="ads big cils"/>
        <s v="RDV 12h Showroom"/>
        <s v="description"/>
        <s v="mercredi 18/09, de 19h à 21h30,"/>
        <s v="IG + TT Cross Post"/>
        <s v="n'a pas reçu les produits"/>
        <s v="demander ce qu'elle pense du produit"/>
        <s v="colis non reçu"/>
        <s v="1 mois d'utilisation? si elle a bien utiliser le produit? lui rappeler de bien mettre photo avant/après dans l video"/>
        <s v="acheter produit Script 18/06 IG + Cross Post Reel + IGs"/>
        <s v="colis recu ? "/>
        <s v="colis recu oui "/>
        <s v="colis recu ? oui "/>
        <s v="IG + Cross post TT"/>
        <s v="x5"/>
        <s v="x6"/>
      </sharedItems>
    </cacheField>
    <cacheField name="Description rapide de la demande" numFmtId="0">
      <sharedItems containsBlank="1">
        <s v="vidéo dédiée maquillage avec la marque Bell."/>
        <s v="post obligatoire avec brief"/>
        <s v="post obligatoire  "/>
        <s v="Brief à respecter"/>
        <s v="Thème du book"/>
        <m/>
        <s v="Post Obligatoire "/>
        <s v="Brief dans mail"/>
        <s v="Ne pas poster / Suivre brief"/>
        <s v="Post avec brief"/>
        <s v="Libre"/>
        <s v="Seeding"/>
        <s v="NiceWork"/>
        <s v="Nice Work"/>
        <s v="Post Obligatoire"/>
        <s v="Fonctionnement Nice Work"/>
        <s v="Pas de brief"/>
        <s v="Consignes Nice Work"/>
        <s v="Post obligatoire sans brief"/>
        <s v="1 Tiktok + 1 Reel"/>
        <s v="1 Tiktok + 1 IG story"/>
        <s v="Post non obligatoire"/>
        <s v="Libre - colis presse"/>
        <s v="Evenement"/>
        <s v="Sans obligation de post"/>
        <s v="Obligation de post"/>
        <s v="Nice Work Fonctionnement"/>
        <s v="Médiatisation"/>
        <s v="Apport D'affaire"/>
        <s v="Promouvoir les 2 produits"/>
        <s v="Voir Brief mail"/>
        <s v="Event"/>
      </sharedItems>
    </cacheField>
    <cacheField name="Format (influence vs UGC)" numFmtId="166">
      <sharedItems containsBlank="1">
        <s v="Influence"/>
        <m/>
        <s v="UGC "/>
        <s v="UGC"/>
        <s v="Evenement"/>
        <s v="Skeepers"/>
        <s v="Interview"/>
        <s v="Médiatisation"/>
      </sharedItems>
    </cacheField>
    <cacheField name="Rémunération totale">
      <sharedItems containsBlank="1" containsMixedTypes="1" containsNumber="1">
        <n v="70.0"/>
        <n v="130.0"/>
        <n v="200.0"/>
        <s v="Gifting + Médiatisation"/>
        <s v="20€/semaine de médiatisation"/>
        <n v="350.0"/>
        <s v="Comptabilisé"/>
        <n v="500.0"/>
        <n v="150.0"/>
        <s v="Gifting"/>
        <n v="100.0"/>
        <m/>
        <n v="650.0"/>
        <n v="450.0"/>
        <n v="629.92"/>
        <n v="1800.0"/>
        <n v="175.0"/>
        <n v="250.0"/>
        <n v="1000.0"/>
        <n v="230.0"/>
        <n v="300.0"/>
        <n v="80.0"/>
        <n v="531.0"/>
        <n v="400.0"/>
        <n v="241.28"/>
        <n v="75.0"/>
        <n v="275.0"/>
        <n v="137.5"/>
        <n v="600.0"/>
        <n v="526.48"/>
        <n v="625.0"/>
        <n v="1250.0"/>
        <n v="800.0"/>
        <n v="699.2"/>
        <n v="225.0"/>
        <n v="1500.0"/>
        <n v="357.935"/>
        <n v="173.0"/>
        <n v="1200.0"/>
        <n v="233.33333333333334"/>
        <n v="750.0"/>
        <n v="700.0"/>
        <n v="393.3"/>
        <n v="125.0"/>
        <n v="382.5"/>
        <n v="325.0"/>
        <n v="0.0"/>
        <n v="170.0"/>
        <n v="900.0"/>
        <n v="375.0"/>
        <n v="195.0"/>
        <n v="950.0"/>
        <n v="1012.5"/>
        <n v="2000.0"/>
        <n v="333.3333333333333"/>
        <n v="582.0"/>
        <n v="291.0"/>
        <n v="970.0"/>
        <n v="1850.0"/>
        <n v="940.0"/>
        <n v="2500.0"/>
        <n v="850.0"/>
        <n v="1100.0"/>
        <n v="810.0"/>
        <n v="552.0"/>
        <n v="550.13"/>
        <n v="1400.0"/>
        <n v="1125.0"/>
        <n v="395.09"/>
        <n v="410.72"/>
        <n v="550.0"/>
        <n v="508.3"/>
        <n v="370.0"/>
        <n v="1300.0"/>
        <n v="492.87"/>
        <n v="166.66666666666666"/>
        <n v="3298.0"/>
        <n v="666.6666666666666"/>
        <n v="620.0"/>
        <n v="112.5"/>
        <n v="217.4"/>
        <n v="3125.0"/>
        <n v="266.6666666666667"/>
        <n v="310.0"/>
        <n v="880.0"/>
        <n v="1290.0"/>
        <n v="840.0"/>
        <n v="602.0"/>
        <n v="190.0"/>
        <s v="Affiliation"/>
        <s v="10% Commission"/>
        <s v="Showroom"/>
        <s v="Evenement"/>
        <n v="235.0"/>
        <n v="144.0"/>
        <s v="Affiliate"/>
        <s v="Event"/>
        <n v="933.3333333333334"/>
        <n v="3000.0"/>
        <n v="4500.0"/>
        <n v="588.0"/>
        <n v="471.27"/>
        <s v="PR"/>
        <n v="2985.0"/>
        <n v="270.0"/>
        <n v="2100.0"/>
        <n v="2550.0"/>
        <n v="1280.0"/>
      </sharedItems>
    </cacheField>
    <cacheField name="Date Stats">
      <sharedItems containsDate="1" containsString="0" containsBlank="1" containsMixedTypes="1">
        <m/>
        <d v="2024-04-16T00:00:00Z"/>
        <d v="2024-04-29T00:00:00Z"/>
        <d v="2024-04-25T00:00:00Z"/>
        <d v="2024-05-08T00:00:00Z"/>
        <d v="2024-05-11T00:00:00Z"/>
        <d v="2024-05-31T00:00:00Z"/>
        <n v="105.0"/>
        <n v="96.25"/>
        <n v="280.0"/>
        <n v="140.0"/>
        <n v="350.0"/>
        <n v="420.0"/>
      </sharedItems>
    </cacheField>
    <cacheField name="Lien video" numFmtId="0">
      <sharedItems containsBlank="1">
        <m/>
        <s v="https://www.tiktok.com/@melf.fnt/video/7382192283279494432"/>
        <s v="https://www.tiktok.com/@lilyy.nl/video/7383728309110050080"/>
        <s v="https://www.tiktok.com/@lolatagliaferroo/video/7383998473613479201"/>
        <s v="https://www.tiktok.com/@lavishhcam/video/7390792553022442784?lang=en"/>
        <s v="https://www.tiktok.com/@chiaraaaa.bnc/video/7391058568260111649"/>
        <s v="https://www.tiktok.com/@lina.mkrn2/video/7390790437969104161"/>
        <s v="https://www.tiktok.com/@perrine.trp/video/7391590382611516705"/>
        <s v="https://www.tiktok.com/@morgane.mrckk/video/7390710366738681121"/>
        <s v="https://www.tiktok.com/@perrine.trp/video/7394891259883654433"/>
        <s v="https://www.tiktok.com/@___oraane/video/7392965105924738336"/>
        <s v="https://www.tiktok.com/@paupibeauty/video/7395224727377251617"/>
        <s v="https://www.tiktok.com/@lolatagliaferroo/video/7395519666556259616"/>
        <s v="https://www.tiktok.com/@melf.fnt/video/7393286593676660000"/>
        <s v="https://www.tiktok.com/@perrine.trp/video/7393392477878701345"/>
        <s v="https://www.tiktok.com/@morgane.mrckk/video/7394042444519591201"/>
        <s v="https://www.tiktok.com/@paupibeauty/video/7394501330364075296"/>
        <s v="https://www.tiktok.com/@paupibeauty/video/7397449808555937056?_r=1&amp;_t=8oSOvlgWeMi"/>
        <s v="https://www.tiktok.com/@lolatagliaferroo/video/7398086597721263393"/>
        <s v="https://www.tiktok.com/@___oraane/video/7398548157925248288"/>
        <s v="https://vm.tiktok.com/ZGenfd12c/"/>
        <s v="https://www.tiktok.com/@liserdg/video/7397464254451911969"/>
        <s v="https://www.tiktok.com/@liserdg/video/7401195152984870176"/>
        <s v="https://www.tiktok.com/@lilyy.nl/video/7403767696283766048"/>
        <s v="https://www.tiktok.com/@morgane.mrckk/video/7411931626252422433"/>
        <s v="https://www.tiktok.com/@___oraane/video/7403673068578688289"/>
        <s v="https://www.tiktok.com/@lavishhcam/video/7406036857340824865?lang=en"/>
        <s v="https://www.tiktok.com/@lilyy.nl/video/7407093682731502880"/>
        <s v="https://www.tiktok.com/@paupibeauty/video/7403439757415533856?_r=1&amp;_t=8otpeszl9rE"/>
        <s v="https://www.tiktok.com/@perrine.trp/video/7411953653143129376"/>
        <s v="https://www.tiktok.com/@lavishhcam/video/7407487090046389537?lang=en"/>
        <s v="https://www.tiktok.com/@melf.fnt/video/7408135764502007073"/>
        <s v="https://www.tiktok.com/@lavishhcam/video/7406708879695875360?lang=en"/>
        <s v="https://www.tiktok.com/@lavishhcam/video/7411562966337834272?lang=en"/>
        <s v="https://www.tiktok.com/@morgane.mrckk/video/7406767459749055777"/>
        <s v="https://www.tiktok.com/@lilyy.nl/video/7411947131440827681"/>
        <s v="https://www.tiktok.com/@julianebernard/video/7415999447202663713"/>
        <s v="https://www.tiktok.com/@lilyy.nl/video/7412698376162135328"/>
        <s v="https://www.tiktok.com/@melf.fnt/video/7421252203458874656"/>
        <s v="https://www.tiktok.com/@melf.fnt/video/7417119746270776609"/>
        <s v="https://www.tiktok.com/@melf.fnt/video/7422703664969616673"/>
        <s v="https://www.tiktok.com/@paupibeauty/video/7416729046316338465?_r=1&amp;_t=8psjQcSNmPA"/>
        <s v="https://www.tiktok.com/@jessicadcstr/video/7401576606319398177"/>
        <s v="https://tiktok.com/@mary.zhh/video/7416774634885926176?lang=en"/>
        <s v="https://www.tiktok.com/@chiaraaaa.bnc/video/7417486710386232609"/>
        <s v="https://www.tiktok.com/@perrine.trp/video/7420530124208016672"/>
        <s v="https://www.tiktok.com/@paupibeauty/video/7418269204975078689"/>
        <s v="https://www.tiktok.com/@jeanne_bayart/video/7425572834992344353?_r=1&amp;_t=8qXCYC0RFJY"/>
        <s v="https://www.tiktok.com/@jeanne_bayart/video/7437562970659491105?lang=en"/>
        <s v="https://www.tiktok.com/@___oraane/video/7434852783339195681?lang=en"/>
        <s v="https://www.tiktok.com/@melf.fnt/video/7430522334919822624"/>
        <s v="https://www.tiktok.com/@liserdg/video/7430136572063796513?lang=en"/>
        <s v="https://www.tiktok.com/@liserdg/video/7432768931619802401?lang=en"/>
        <s v="https://www.tiktok.com/@morgane.mrckk/video/7430757799249988896?lang=en"/>
        <s v="https://www.tiktok.com/@shaa_dl/video/7515842386795187478"/>
        <s v="https://www.tiktok.com/@___oraane/video/7419283054981664033"/>
        <s v="https://www.tiktok.com/@anaiswairyy/video/7433837110584479008?lang=en"/>
        <s v="https://www.tiktok.com/@chiaraaaa.bnc/video/7438003860733578528?lang=en"/>
        <s v="https://www.tiktok.com/@morgane.mrckk/video/7437476392905805089?lang=en"/>
        <s v="https://www.tiktok.com/@iimslma/video/7436438336383880480?lang=en"/>
        <s v="https://www.tiktok.com/@melf.fnt/video/7436438601740668192?_r=1&amp;_t=8rKy09eXARN"/>
        <s v="https://www.tiktok.com/@lavishhcam/video/7437477138430741792"/>
        <s v="https://www.tiktok.com/@julianebernard/video/7437454498747927841?lang=en"/>
        <s v="https://www.tiktok.com/@melf.fnt/video/7437532619706731809"/>
        <s v="https://www.tiktok.com/@anaiswairyy/video/7455393883908771094?lang=en"/>
        <s v="https://www.tiktok.com/@anaiswairyy/video/7469871245606030614?lang=en"/>
        <s v="https://www.tiktok.com/@___oraane/video/7450792735776296214?lang=en"/>
        <s v="https://www.tiktok.com/@___oraane/video/7449648582451350806?lang=en"/>
        <s v="https://www.tiktok.com/@melf.fnt/video/7441913953858489633"/>
        <s v="https://www.tiktok.com/@paupibeauty/video/7442018892454694176?_r=1&amp;_t=8rkWjFn0wJa"/>
        <s v="https://www.tiktok.com/@anaiswairyy?lang=en"/>
        <s v="https://www.tiktok.com/@lilyy.nl/video/7443863318730689814"/>
        <s v="https://www.tiktok.com/@jeanne_bayart/video/7442798993492479265?lang=en"/>
        <s v="https://www.tiktok.com/@iman_cvls/video/7451924438834089238?_r=1&amp;_t=8sTta62xc1u"/>
        <s v="https://www.tiktok.com/@iman_cvls/video/7452023214944947478?_r=1&amp;_t=8sWEGQqinJO"/>
        <s v="https://www.tiktok.com/@iman_cvls/video/7452403635708775702"/>
        <s v="https://www.tiktok.com/@jasmiinelife/video/7453739165205777686?lang=en"/>
        <s v="https://www.tiktok.com/@lavishhcam/video/7463441462252932374"/>
        <s v="https://www.tiktok.com/@iimslma/video/7465383468805999894?_r=1&amp;_t=ZN-8tTXg6qHkUY"/>
        <s v="https://www.tiktok.com/@iman_cvls/video/7465390038260485398?_t=ZN-8tTZG4XbMr0&amp;_r=1"/>
        <s v="https://www.tiktok.com/@liserdg/video/7465785595495763222?lang=en"/>
        <s v="https://www.tiktok.com/@la_gur/video/7467998009230363926?lang=en"/>
        <s v="75 de media"/>
        <s v="https://www.tiktok.com/@dounsbnl/video/7471295610063310102"/>
        <s v="https://www.tiktok.com/@lolatagliaferroo?lang=en"/>
        <s v="https://www.tiktok.com/@___oraane/video/7471294678306934038?lang=en"/>
        <s v="https://www.tiktok.com/@shaa_dl/video/7471336075559046422"/>
        <s v="https://www.tiktok.com/@dounsbnl/video/7451645404535442710"/>
        <s v="https://www.tiktok.com/@anaiswairyy/video/7471353868702502166?lang=en"/>
        <s v="https://www.tiktok.com/@dounsbnl/video/7473150812873788674?_t=ZN-8u36zKwjrx0&amp;_r=1"/>
        <s v="https://www.tiktok.com/@lolatagliaferroo/video/7473819808870534422?lang=en"/>
        <s v="https://www.tiktok.com/@paupibeauty/video/7473538347969875222?_r=1&amp;_t=ZN-8u4tYDuW4wQ"/>
        <s v="https://www.tiktok.com/@perrine.trp/video/7476172058406194454?lang=en"/>
        <s v="https://www.tiktok.com/@eloiseaubeneauu/video/7482020827924401451"/>
        <s v="https://www.tiktok.com/@julianebernard/video/7496568197135486230?_r=1&amp;_t=ZN-8vmOTilRwgg"/>
        <s v="https://www.tiktok.com/@iimslma/video/7485792482345618710?_r=1&amp;_t=ZN-8uz1T2hjhy6"/>
        <s v="https://www.tiktok.com/@dounsbnl/video/7476794031935147286"/>
        <s v="https://www.tiktok.com/@eloiseaubeneauu/video/7495738839487581470?_t=ZP-8viaG7wegWt&amp;_r=1"/>
        <s v="https://www.tiktok.com/@lilyy.nl/video/7493984160173034774"/>
        <s v="https://www.tiktok.com/@ttemarine/video/7495056234014379266"/>
        <s v="https://www.tiktok.com/@ttemarine/video/7494670749865757974"/>
        <s v="https://www.tiktok.com/@julianebernard/video/7493986086654315798?lang=en"/>
        <s v="https://www.tiktok.com/@paupibeauty/video/7493948630144011542"/>
        <s v="https://www.tiktok.com/@lavishhcam/video/7495428391882198295"/>
        <s v="https://www.tiktok.com/@la_gur/video/7499405044245204246?lang=en"/>
        <s v="https://www.tiktok.com/@sarah.bdii/video/7499149208293788950"/>
        <s v="https://www.tiktok.com/@jasmiinelife/video/7499164614366645526?lang=en"/>
        <s v="https://www.tiktok.com/@ttemarine/video/7499519504368569622"/>
        <s v="https://www.tiktok.com/@lovelymorgane/video/7499894490853821718?_r=1&amp;_t=8kth38xkh3x"/>
        <s v="https://www.tiktok.com/@arwen.arwen1/video/7506934371669101846?lang=en"/>
        <s v="https://www.tiktok.com/@farahdisiaque/video/7505057972834372886"/>
        <s v="https://www.tiktok.com/@paupibeauty/video/7506557930817277206?_t=ZN-8wW7MsM3mNy&amp;_r=1"/>
        <s v="https://www.tiktok.com/@lavishhcam/video/7505069359010794774"/>
        <s v="https://www.tiktok.com/@paupibeauty/video/7507679880100810007?_r=1&amp;_t=ZN-8wbG54dkxtO"/>
        <s v="https://www.tiktok.com/@iam.sissou/video/7526589360469265686?is_from_webapp=1&amp;sender_device=pc&amp;web_id=7504317976587437590"/>
        <s v="https://www.tiktok.com/@mary.zhh/video/7462430581402520854"/>
        <s v="https://www.tiktok.com/@mary.zhh/video/7460561651675303190"/>
        <s v="https://www.tiktok.com/@paupibeauty/video/7439768252269546785?_r=1&amp;_t=8raH38QLVtG"/>
        <s v="https://www.tiktok.com/@amani_mee/video/7494728696528522518"/>
        <s v="https://vm.tiktok.com/ZNdPeJgF7/"/>
        <s v="https://www.tiktok.com/@ttemarine/video/7522142648207936790?_t=ZN-8xfVHZaTphe&amp;_r=1"/>
        <s v="https://www.tiktok.com/@iam.sissou/video/7513475563936369942"/>
        <s v="https://www.tiktok.com/@iimslma/video/7522888104374701335"/>
        <s v="https://drive.google.com/drive/folders/19ToYFCpY-wQNqLL1X6hkS610Je7ZJWpH?usp=sharing"/>
        <s v="https://drive.google.com/drive/folders/1cqb0DvHrI2AEf5Y1mODPl-Wb-x2ZpIBF?usp=sharing"/>
        <s v="https://www.tiktok.com/@shaa_dl/video/7525111945536523542?_r=1&amp;_t=ZN-8xwa2XIbgXO"/>
        <s v="https://www.instagram.com/p/DL9s1T-ucxx/?hl=fr"/>
        <s v="https://www.tiktok.com/@___oraane/video/7525503490924416279"/>
        <s v="https://www.tiktok.com/@julianebernard/video/7522838166227864854?lang=en"/>
        <s v="https://www.tiktok.com/@laudewit/video/7519192074919365920"/>
        <s v="https://www.tiktok.com/@asmaenel/video/7526542702301826326?is_from_webapp=1&amp;sender_device=pc&amp;web_id=7504317976587437590"/>
        <s v="https://www.tiktok.com/@shaa_dl/video/7525111987638979862?_r=1&amp;_t=ZN-8xwa1oeBxCQ"/>
        <s v="https://www.tiktok.com/@juliette.pn/video/7525473712418622742?is_from_webapp=1&amp;sender_device=pc&amp;web_id=7504317976587437590"/>
        <s v="https://www.tiktok.com/@laudewit/video/7525483945366998305"/>
        <s v="https://www.tiktok.com/@julianebernard/video/7526982773156924694?_r=1&amp;_t=ZN-8y1f4d2rh1K"/>
        <s v="https://www.tiktok.com/@la_gur/video/7528400374802173206"/>
        <s v="https://www.tiktok.com/@paupibeauty/video/7529220565756857622"/>
        <s v="https://vm.tiktok.com/ZNHp1gFdSuU6L-Orqzs/"/>
        <s v="https://www.tiktok.com/@melissa.pndd/video/7526574135296773398?is_from_webapp=1&amp;sender_device=pc&amp;web_id=7504317976587437590"/>
        <s v="https://www.tiktok.com/@laudewit/video/7529089646714735905"/>
        <s v="https://www.tiktok.com/@guenaire/video/7532570588146076950"/>
        <s v="https://www.tiktok.com/@laudewit/video/7525765188893674784"/>
        <s v="https://www.tiktok.com/@sarah.bdii/video/7516951979084598550"/>
        <s v="https://www.tiktok.com/@anaiswairyy/video/7466167514402229526?lang=en"/>
        <s v="https://www.tiktok.com/@melissa.pndd/video/7514352561562946838"/>
        <s v="https://vm.tiktok.com/ZNdyXTXHb/"/>
        <s v="https://www.instagram.com/reel/DLc5EB4ogna/?utm_source=ig_web_copy_link"/>
        <s v="https://www.tiktok.com/@glennwolff/video/7517353745353559318?is_from_webapp=1&amp;sender_device=pc&amp;web_id=7504317976587437590"/>
        <s v="https://www.instagram.com/reel/DLXs9HIijUX/?utm_source=ig_web_copy_link&amp;igsh=MzEyc2ZyNmFwZTMw"/>
        <s v="https://www.tiktok.com/@lolatagliaferroo/video/7520567485473492246?is_from_webapp=1&amp;sender_device=pc&amp;web_id=7504317976587437590"/>
        <s v="https://www.tiktok.com/@melissa.pndd/video/7519911199744494850?is_from_webapp=1&amp;sender_device=pc&amp;web_id=7504317976587437590"/>
        <s v="https://www.tiktok.com/@___oraane/video/7518063433611480343?_t=ZN-8xMoEPKM08s&amp;_r=1"/>
        <s v="https://www.tiktok.com/@paupibeauty/video/7521283052488641814?is_from_webapp=1&amp;sender_device=pc&amp;web_id=7504317976587437590"/>
        <s v="https://www.tiktok.com/@sarah.bdii/video/7532173540204891414"/>
        <s v="https://www.tiktok.com/@shaa_dl/video/7414067609177476384"/>
        <s v="https://www.tiktok.com/@shaa_dl/video/7430530285852167457"/>
        <s v="https://www.tiktok.com/@shaa_dl/video/7456916860278295830?_t=ZN-8sqlAIVsOJS&amp;_r=1"/>
        <s v="https://www.tiktok.com/@amandambt_/video/7483639690327788822?lang=en"/>
        <s v="La première à 1 min 17 https://vm.tiktok.com/ZNdMWypK4/ La seconde à 1 min 32 https://vm.tiktok.com/ZNdMWUM5e/"/>
        <s v="https://www.instagram.com/reel/DFqvAlCNUMN/"/>
        <s v="https://www.tiktok.com/@arwen.arwen1/video/7453509821812280598?lang=en"/>
        <s v="https://www.tiktok.com/@arwen.arwen1/video/7453509775200980246?lang=en"/>
        <s v="https://www.tiktok.com/@arwen.arwen1/video/7453530509163973910?lang=en"/>
        <s v="https://www.tiktok.com/@lavishhcam/video/7372599354646957344"/>
        <s v="https://www.tiktok.com/@lavishhcam/video/7370721490632772896?lang=en"/>
        <s v="https://www.tiktok.com/@lavishhcam/video/7374120668813659425"/>
        <s v="https://vm.tiktok.com/ZGeGrsEfX/"/>
        <s v="https://www.tiktok.com/@lavishhcam/video/7392636437163773217"/>
        <s v="https://www.tiktok.com/@lavishhcam/video/7401082023797902625?lang=en"/>
        <s v="https://www.tiktok.com/@lavishhcam/video/7401156666479119649?lang=en"/>
        <s v="https://www.tiktok.com/@lavishhcam/video/7415270528665046305?lang=en"/>
        <s v="https://www.tiktok.com/@lavishhcam/video/7414065973084359968?lang=en"/>
        <s v="https://www.tiktok.com/@lavishhcam/video/7421861704159464736?lang=en"/>
        <s v="https://www.tiktok.com/@lavishhcam/video/7421578850808646944"/>
        <s v="https://www.tiktok.com/@lavishhcam/video/7424528927714020641"/>
        <s v="https://tiktok.com/@lavishhcam/video/7428536491384638753"/>
        <s v="https://www.tiktok.com/@lavishhcam/video/7431968536773299489"/>
        <s v="https://www.tiktok.com/@lavishhcam/video/7431640311199255840"/>
        <s v="https://www.tiktok.com/@lavishhcam/video/7442372621200575776"/>
        <s v="https://www.tiktok.com/@lavishhcam/video/7451273510346820886"/>
        <s v="https://www.tiktok.com/@lavishhcam/video/7465046952749616406"/>
        <s v="https://www.tiktok.com/@lavishhcam/video/7462439461763157270"/>
        <s v="https://www.tiktok.com/@lavishhcam/video/7467602307832745238?_r=1&amp;_t=ZN-8tpZSV3gUPG"/>
        <s v="https://www.tiktok.com/@lavishhcam/video/7481621153107217686?_t=ZN-8ufuB4coZpW&amp;_r=1"/>
        <s v="https://www.tiktok.com/@lavishhcam/video/7480248461112216854?_t=ZN-8uksUX9QNRG&amp;_r=1"/>
        <s v="https://www.tiktok.com/@lavishhcam/video/7395231761887759649?lang=en"/>
        <s v="https://www.tiktok.com/@lavishhcam/video/7398186484789988641?lang=en"/>
        <s v="https://www.tiktok.com/@lavishhcam/video/7365759408892103969?lang=en"/>
        <s v="https://www.tiktok.com/@lavishhcam/video/7401530328214441248?lang=en"/>
        <s v="https://www.tiktok.com/@lavishhcam/video/7394844935842778400?lang=en"/>
        <s v="https://www.tiktok.com/@chiaraaaa.bnc/video/7391983750164319520?_r=1&amp;_t=8o3MXv1mvZJ"/>
        <s v="https://www.tiktok.com/@chiaraaaa.bnc/video/7394423173132913952"/>
        <s v="https://www.tiktok.com/@chiaraaaa.bnc/video/7405297473117310240"/>
        <s v="https://www.tiktok.com/@chiaraaaa.bnc/video/7404583889974480161"/>
        <s v="https://www.tiktok.com/@chiaraaaa.bnc/video/7416745525149584673"/>
        <s v="https://www.tiktok.com/@chiaraaaa.bnc/video/7415682356973014305?_r=1&amp;_t=8pnu1Dc4LKK"/>
        <s v="https://www.tiktok.com/@chiaraaaa.bnc/video/7426062687051713824?lang=en"/>
        <s v="https://www.tiktok.com/@chiaraaaa.bnc/video/7429003433572715809?lang=en"/>
        <s v="https://www.tiktok.com/@dounsbnl/video/7431205107913493793"/>
        <s v="https://www.tiktok.com/@dounsbnl/video/7474747644808613142"/>
        <s v="https://www.instagram.com/p/DHT2-JnIB-6/"/>
        <s v="https://www.instagram.com/reel/DJMIRWMoL9E/?igsh=MTY5bnFnZW5mZGI2dA=="/>
        <s v="https://www.tiktok.com/@eloiseaubeneauu/video/7483491441663036718?_t=ZT-8uoTJcOEruw&amp;_r=1"/>
        <s v="https://www.tiktok.com/@eloiseaubeneauu/video/7507226915682389279"/>
        <s v="https://www.instagram.com/reel/DJPcuR3Idt7/?igsh=OW9lOXZyc2hucGI="/>
        <s v="https://www.tiktok.com/@farahdisiaque/video/7483922941864955158?_t=ZN-8uqT7rbpmb8&amp;_r=1"/>
        <s v="c"/>
        <s v="https://www.tiktok.com/@bleulividee/video/7372251599776877856"/>
        <s v="https://vm.tiktok.com/ZGepDFE5y/"/>
        <s v="https://www.tiktok.com/@bleulividee/video/7391910299361709344"/>
        <s v="https://www.tiktok.com/@bleulividee/video/7392682253026970912"/>
        <s v="https://www.tiktok.com/@bleulividee/video/7410370727486049568"/>
        <s v="https://www.tiktok.com/@bleulividee/video/7375559768552770849"/>
        <s v="https://www.tiktok.com/@bleulividee/video/7393388652753194273"/>
        <s v="https://www.tiktok.com/@bleulividee/video/7397487380388744480"/>
        <s v="https://www.tiktok.com/@bleulividee/video/7365539403646651680"/>
        <s v="https://www.tiktok.com/@la_gur/photo/7457999858377428246?lang=en"/>
        <s v="https://www.tiktok.com/@la_gur/video/7485089693206433046?lang=en"/>
        <s v="https://www.tiktok.com/@la_gur/video/7495733948685815062?lang=en"/>
        <s v="https://drive.google.com/drive/folders/1bllXfbrb3bUB07wpoG2Ebl0SK0IzuWTC?usp=sharing"/>
        <s v="https://www.tiktok.com/@hidaya_bl/video/7484394919600213270"/>
        <s v="https://www.tiktok.com/@iman_cvls/video/7397858754177551649"/>
        <s v="https://www.tiktok.com/@iman_cvls/video/7404463230673849633"/>
        <s v="https://www.tiktok.com/@iman_cvls/video/7414564750392184096"/>
        <s v="https://www.tiktok.com/@iman_cvls/video/7430007298031930656?lang=en"/>
        <s v="https://www.tiktok.com/@iman_cvls/video/7442289270481636640?lang=en"/>
        <s v="https://www.tiktok.com/@iman_cvls/video/7458583066676710678?_t=ZN-8syYtKZMQGF&amp;_r=1"/>
        <s v="https://vm.tiktok.com/ZNdrMWKU9/   https://vm.tiktok.com/ZNdrMbUmK/&#10;"/>
        <s v="https://www.tiktok.com/@iman_cvls/video/7405646497515113761"/>
        <s v="https://www.tiktok.com/@jasmiinelife/video/7402157667159969057"/>
        <s v="https://www.tiktok.com/@jasmiinelife/video/7398942773430308128"/>
        <s v="https://www.tiktok.com/@jasmiinelife/video/7411133691189071137"/>
        <s v="https://www.tiktok.com/@jasmiinelife/video/7431849329335209249?_t=8qzxJsLvUuH&amp;_r=1"/>
        <s v="https://www.tiktok.com/@jasmiinelife/video/7481342810977881366?_r=1&amp;_t=ZN-8ued6vIUIJa"/>
        <s v="https://www.tiktok.com/@jasmiinelife/video/7478010649835064598?_t=ZN-8uksMc15EkI&amp;_r=1"/>
        <s v="https://vm.tiktok.com/ZNdr6BsyX/"/>
        <s v="https://www.tiktok.com/@jasmiinelife/video/7406012010816638240"/>
        <s v="https://www.instagram.com/reel/DAEGiSUicZy/"/>
        <s v="https://www.tiktok.com/@jeanne_bayart/video/7405111060274924832"/>
        <s v="https://www.tiktok.com/@jeanne_bayart/video/7401629838697565472"/>
        <s v="https://www.instagram.com/reel/DHYZokMIocA/?igsh=MXJmNGNqYzdlNjZ6eg%3D%3D"/>
        <s v="https://www.tiktok.com/@jessicadcstr/video/7374052571708771616"/>
        <s v="https://www.tiktok.com/@jessicadcstr/video/7375545597094464801"/>
        <s v="https://www.tiktok.com/@jessicadcstr/video/7388534640631450913"/>
        <s v="https://www.tiktok.com/@jessicadcstr/video/7389326468137995552"/>
        <s v="https://www.tiktok.com/@jessicadcstr/video/7402283442785766688"/>
        <s v="https://www.tiktok.com/@jessicadcstr/video/7400003750661819681"/>
        <s v="https://www.tiktok.com/@jessicadcstr/video/7401184127703108897"/>
        <s v="https://www.tiktok.com/@jessicadcstr/video/7379634512625487137"/>
        <s v="https://www.tiktok.com/@jessicadcstr/video/7370005908706921761?q=jessicadcstr%20aromazone&amp;t=1716383408647"/>
        <s v="https://www.tiktok.com/@julianebernard/video/7375950922876194080"/>
        <s v="https://www.tiktok.com/@julianebernard/video/7394526025591409952"/>
        <s v="https://www.tiktok.com/@julianebernard/video/7415662953526988065"/>
        <s v="https://www.tiktok.com/@julianebernard/video/7422201837324979489"/>
        <s v="https://www.tiktok.com/@julianebernard/video/7423819976387218720?lang=en"/>
        <s v="https://www.tiktok.com/@julianebernard/video/7428654055754353952?lang=en"/>
        <s v="https://www.tiktok.com/@julianebernard/video/7431227139405466912?lang=en"/>
        <s v="https://www.tiktok.com/@julianebernard/video/7470566844924005654?lang=en"/>
        <s v="https://www.tiktok.com/@julianebernard/video/7480957956545203478?_t=ZN-8uflzHw9hd0&amp;_r=1"/>
        <s v="https://www.tiktok.com/@julianebernard/video/7483144981474053398?_r=1&amp;_t=ZN-8umtSsTCOtq"/>
        <s v="https://www.tiktok.com/@julianebernard/video/7505188044769611030?_r=1&amp;_t=ZN-8wUPhwBCpra"/>
        <s v="https://www.tiktok.com/@julianebernard/video/7387355316817612064"/>
        <s v="https://www.tiktok.com/@laurieespamm/video/7373977897394048289"/>
        <s v="https://www.tiktok.com/@laurieespamm/video/7372894690884029729"/>
        <s v="https://www.tiktok.com/@laurieespamm/video/7385220213458980129"/>
        <s v="https://www.tiktok.com/@laurieespamm/video/7403685503830084896?_r=1&amp;_t=8ouxXOOFEH3"/>
        <s v="https://www.tiktok.com/@laurieespamm/video/7385584137039596833"/>
        <s v="https://www.tiktok.com/@lilyy.nl/video/7372250529398836512"/>
        <s v="https://www.tiktok.com/@lilyy.nl/video/7374127349601701153"/>
        <s v="https://www.tiktok.com/@lilyy.nl/video/7377465554560453921"/>
        <s v="https://www.tiktok.com/@lilyy.nl/video/7382595650866662688"/>
        <s v="https://www.tiktok.com/@lilyy.nl/video/7387413713944333601"/>
        <s v="https://www.tiktok.com/@lilyy.nl/video/7398197901182111008"/>
        <s v="https://www.tiktok.com/@lilyy.nl/video/7400071344089533728"/>
        <s v="https://www.tiktok.com/@lilyy.nl/video/7401181475330198816"/>
        <s v="https://www.tiktok.com/@lilyy.nl/video/7416387740951956768"/>
        <s v="https://www.tiktok.com/@lilyy.nl/video/7414163405205982497"/>
        <s v="https://www.tiktok.com/@lilyy.nl/video/7424229467951729953"/>
        <s v="https://www.tiktok.com/@lilyy.nl/video/7421229015719103776"/>
        <s v="https://www.tiktok.com/@lilyy.nl/video/7432644019890539808"/>
        <s v="https://www.tiktok.com/@lilyy.nl/video/7467121622500003094"/>
        <s v="https://www.tiktok.com/@lilyy.nl/video/7465615921470557462"/>
        <s v="https://www.tiktok.com/@lilyy.nl/video/7473378357531397398?_t=ZN-8uecd1X7Rby&amp;_r=1"/>
        <s v="https://www.tiktok.com/@lilyy.nl/video/7381865050685934881"/>
        <s v="https://www.tiktok.com/@lilyy.nl/video/7397468947290918176"/>
        <s v="https://www.tiktok.com/@lilyy.nl/video/7355571660520426784?q=lilyy.nl%20aromazone&amp;t=1716382679417"/>
        <s v="https://www.tiktok.com/@lilyy.nl/video/7407474534565154081"/>
        <s v="www.tiktok.com/@lilyy.nl/video/7402233435932216608?cid=NzQwMjIzNDY4NzAzMDE5OTA3Mg"/>
        <s v="https://www.tiktok.com/@lina.mkrn2/video/7384054300869217569?browserMode=1"/>
        <s v="https://www.tiktok.com/@liserdg/video/7399262478896614689"/>
        <s v="https://www.tiktok.com/@liserdg/video/7399698677285014817"/>
        <s v="https://www.tiktok.com/@liserdg/video/7404521868960501024"/>
        <s v="https://www.tiktok.com/@liserdg/video/7407523195101728033"/>
        <s v="https://www.tiktok.com/@liserdg/video/7418260695130623264"/>
        <s v="https://www.tiktok.com/@liserdg/video/7420486871957998880"/>
        <s v="https://www.tiktok.com/@liserdg/video/7431256738801667360?lang=en"/>
        <s v="https://www.tiktok.com/@liserdg/video/7441653570472135969?_t=8riqrKU7tr6&amp;_r=1"/>
        <s v="https://www.tiktok.com/@liserdg/video/7408641991967378720"/>
        <s v="https://www.tiktok.com/@liserdg/video/7381070326211317025"/>
        <s v="https://tiktok.com/@liserdg/video/7422323883673423136"/>
        <s v="https://www.tiktok.com/@lolatagliaferroo/video/7388560111800749345"/>
        <s v="https://www.tiktok.com/@lolatagliaferroo/video/7417167690537717024"/>
        <s v="https://www.tiktok.com/@lolatagliaferroo/video/7417539584071830816"/>
        <s v="https://www.tiktok.com/@lolatagliaferroo/video/7428671047366348065?lang=en"/>
        <s v="https://www.tiktok.com/@lolatagliaferroo/video/7445278458680266006?lang=en"/>
        <s v="https://www.tiktok.com/@melf.fnt/video/7372218331379666209"/>
        <s v="https://www.tiktok.com/@melf.fnt/video/7370750286744292641"/>
        <s v="https://www.tiktok.com/@melf.fnt/video/7383665768757579041"/>
        <s v="https://www.tiktok.com/@melf.fnt/video/7384078329554423073"/>
        <s v="https://www.tiktok.com/@melf.fnt/video/7388460088819797280"/>
        <s v="https://www.tiktok.com/@melf.fnt/video/7391885588057656609"/>
        <s v="https://www.tiktok.com/@melf.fnt/video/7399939773575613728"/>
        <s v="https://www.tiktok.com/@melf.fnt/video/7416390437692280096"/>
        <s v="https://www.tiktok.com/@melf.fnt/video/7415636160636013856"/>
        <s v="https://www.tiktok.com/@melf.fnt/video/7417407814903057697"/>
        <s v="https://www.tiktok.com/@melf.fnt/video/7422664116545801504"/>
        <s v="https://www.tiktok.com/@melf.fnt/video/7431619697042296096"/>
        <s v="https://www.tiktok.com/@melf.fnt/video/7428571977918500128"/>
        <s v="https://www.tiktok.com/@melf.fnt/video/7375924184494476577"/>
        <s v="https://www.tiktok.com/@melf.fnt/video/7395873680867233057"/>
        <s v="https://www.tiktok.com/@melf.fnt/video/7364824274315529505"/>
        <s v="https://www.tiktok.com/@melf.fnt/video/7400756804549971232"/>
        <s v="https://www.tiktok.com/@morgane.mrckk/video/7384031967643307296"/>
        <s v="https://www.tiktok.com/@morgane.mrckk/video/7402654625314196769"/>
        <s v="https://www.tiktok.com/@morgane.mrckk/video/7414534348910775584"/>
        <s v="https://www.tiktok.com/@morgane.mrckk/video/7413431476252970272"/>
        <s v="https://www.tiktok.com/@morgane.mrckk/video/7412302749104114977"/>
        <s v="https://www.tiktok.com/@morgane.mrckk/video/7423352236501241121"/>
        <s v="https://www.tiktok.com/@morgane.mrckk/video/7424156968429833504?lang=en"/>
        <s v="https://www.tiktok.com/@morgane.mrckk/video/7436771318671953185?lang=en"/>
        <s v="https://www.tiktok.com/@morgane.mrckk/video/7385545243870973216"/>
        <s v="https://www.tiktok.com/@morgane.mrckk/video/7397382935453764896"/>
        <s v="https://www.tiktok.com/@morgane.mrckk/video/7381070101392477472"/>
        <s v="https://www.tiktok.com/@morgane.mrckk/video/7416632134347033889"/>
        <s v="https://www.instagram.com/p/DF3IS0nN9_G/?img_index=1"/>
        <s v="https://www.instagram.com/p/DHTVmb9tQrc/"/>
        <s v="https://www.instagram.com/p/DJtb4I3NWCt/?img_index=1&amp;igsh=cHBsdGw3bjhsaTd2"/>
        <s v="https://www.tiktok.com/@___oraane/video/7370306532183002401"/>
        <s v="https://www.tiktok.com/@___oraane/video/7385808181940784417"/>
        <s v="https://www.tiktok.com/@___oraane/video/7396281714101734689"/>
        <s v="https://www.tiktok.com/@___oraane/video/7398824092297612576"/>
        <s v="https://www.tiktok.com/@___oraane/video/7408970007402663200"/>
        <s v="https://www.tiktok.com/@___oraane/video/7422246939724385569?lang=en"/>
        <s v="https://www.tiktok.com/@___oraane/video/7427080640987712800?lang=en"/>
        <s v="https://www.tiktok.com/@___oraane/video/7476554634371337495?_t=ZN-8uksMQy8spa&amp;_r=1"/>
        <s v="https://www.tiktok.com/@___oraane/video/7497260335687142678?_r=1&amp;_t=ZN-8wK7rhJ1GDe"/>
        <s v="https://www.tiktok.com/@___oraane/video/7375468422068571424?_r=1&amp;_t=8krP3tfqVUH"/>
        <s v="https://www.tiktok.com/@___oraane/video/7410372109068766496"/>
        <s v="https://www.tiktok.com/@paupibeauty/video/7376008068775120160"/>
        <s v="https://vm.tiktok.com/ZGeb3qMjG/"/>
        <s v="https://www.tiktok.com/@paupibeauty/video/7388913023471176993"/>
        <s v="https://www.tiktok.com/@paupibeauty/video/7391913188587048224"/>
        <s v="https://www.tiktok.com/@paupibeauty/video/7391464252877442336"/>
        <s v="https://www.tiktok.com/@paupibeauty/video/7399701843338612001?_r=1&amp;_t=8ocjkRHNArg"/>
        <s v="https://www.tiktok.com/@paupibeauty/video/7397104051248188704"/>
        <s v="https://www.tiktok.com/@paupibeauty/video/7409632617487699233?_r=1&amp;_t=8pifPT1JA5h"/>
        <s v="https://www.tiktok.com/@paupibeauty/video/7422233100345806113?_r=1&amp;_t=8qHw0Tc0W3d"/>
        <s v="https://www.tiktok.com/@paupibeauty/video/7433470283073244449"/>
        <s v="https://vm.tiktok.com/ZGdLKEWpH/"/>
        <s v="https://www.tiktok.com/@paupibeauty/video/7469447565080005910"/>
        <s v="https://www.tiktok.com/@paupibeauty/video/7483230429919677718?_r=1&amp;u_code=db2iba9fkd722g&amp;preview_pb=0&amp;sharer_language=fr&amp;_d=e50dm7j0f1glif&amp;share_item_id=7483230429919677718&amp;source=h5_m&amp;timestamp=1742383722&amp;utm_source=copy&amp;tt_from=copy&amp;enable_checksum=1&amp;ut"/>
        <s v="https://vm.tiktok.com/ZNdr6B5df/  https://vm.tiktok.com/ZNdr62oeS/"/>
        <s v="https://www.tiktok.com/@paupibeauty/video/7390429662033251617"/>
        <s v="https://www.tiktok.com/@paupibeauty/video/7364899892755565857"/>
        <s v="https://www.tiktok.com/@paupibeauty/video/7400829639158992161"/>
        <s v="https://www.tiktok.com/@paupibeauty/video/7403338641294101793?_r=1&amp;_t=8otMyM33Aq9"/>
        <s v="https://www.tiktok.com/@paupibeauty/video/7419986303070129441"/>
        <s v="https://www.tiktok.com/@perrine.trp/video/7388970033046736161"/>
        <s v="https://www.tiktok.com/@perrine.trp/video/7391934268479425825"/>
        <s v="https://www.tiktok.com/@perrine.trp/video/7388938973533490465"/>
        <s v="https://www.tiktok.com/@perrine.trp/video/7404526978864270625"/>
        <s v="https://www.tiktok.com/@perrine.trp/video/7416397579652549920"/>
        <s v="https://www.tiktok.com/@perrine.trp/video/7420481706290990368"/>
        <s v="https://www.tiktok.com/@perrine.trp/video/7432357615906082081?lang=en"/>
        <s v="https://www.tiktok.com/@perrine.trp/video/7470594564579921174?_t=ZN-8trcT1kEJTq&amp;_r=1"/>
        <s v="https://www.tiktok.com/@romlabordelaise/photo/7374826918236949793?_d=secCgYIASAHKAESPgo8q9siUnZtyE0109XMp5dx3cMmVFVIaMGy%2BlAK8UtWtglSCdVgBy%2FzSdjJmzYWsISFC9%2B%2FlyF04TxmdiBEGgA%3D&amp;_r=1&amp;checksum=76ea1d67e0b71fc0c1e121f4b86c89eead08caa18274e51cbd7e8fffc4"/>
        <s v="https://www.tiktok.com/@romlabordelaise/video/7367768975154990369"/>
        <s v="https://www.tiktok.com/@iimslma/video/7437910864826486048?_r=1&amp;_t=8rRi7SCy1Ka"/>
        <s v="https://www.tiktok.com/@iimslma/video/7396769960623738145"/>
        <s v="https://www.tiktok.com/@iimslma/video/7403774825702886688"/>
        <s v="https://www.tiktok.com/@iimslma/video/7399725613407309089"/>
        <s v="https://www.tiktok.com/@iimslma/video/7400436730320456993"/>
        <s v="https://www.tiktok.com/@iimslma/video/7407485284817882401"/>
        <s v="https://www.tiktok.com/@iimslma/video/7412021525198425376"/>
        <s v="https://www.tiktok.com/@iimslma/video/7408622473912061216"/>
        <s v="https://www.tiktok.com/@iimslma/video/7413780170781347105"/>
        <s v="https://www.tiktok.com/@iimslma/video/7431628369067838753?lang=en"/>
        <s v="https://www.tiktok.com/@iimslma/video/7435745133313805601?_r=1&amp;_t=8rleTqgb0vG"/>
        <s v="https://www.tiktok.com/@iimslma/video/7468747433061944599?lang=en"/>
        <s v="https://www.tiktok.com/@iimslma/video/7468781724462337302?lang=en"/>
        <s v="https://www.tiktok.com/@iimslma/video/7472835179187424534?lang=en"/>
        <s v="https://www.tiktok.com/@iimslma/video/7481752779980147990?_t=ZN-8ugXSybaIEw&amp;_r=1"/>
        <s v="https://www.tiktok.com/@iimslma/video/7483594182083218710?_r=1&amp;_t=ZN-8uox8rOjAzm"/>
        <s v="https://vm.tiktok.com/ZNdrrBuVK/"/>
      </sharedItems>
    </cacheField>
    <cacheField name="X">
      <sharedItems containsBlank="1" containsMixedTypes="1" containsNumber="1" containsInteger="1">
        <m/>
        <n v="350.0"/>
        <n v="420.0"/>
        <n v="320.0"/>
        <s v="https://www.instagram.com/reel/DEKlEAhCcsg/"/>
        <s v="ANAIS-10 Il offre -10% de réduction sur une commande sans minimum d’achat, hors frais de port, valable jusqu’au 30/04/2025"/>
        <s v="envoyer facture en anglais"/>
        <s v="deja facture"/>
        <s v="500 médiat"/>
        <s v="dont 150 de médiat"/>
        <s v="envoyer facture en €"/>
        <s v="médiat à confirmer 202,50€"/>
        <s v="ajouter code promo"/>
        <s v="lien en bio"/>
        <s v="rembourser Produits"/>
        <s v="facture déjà envoyée"/>
        <s v="enlever 75 media à facturer plus tard"/>
        <s v="médiat à confirmer  67,50 €"/>
      </sharedItems>
    </cacheField>
    <cacheField name="Grapper" numFmtId="0">
      <sharedItems containsBlank="1">
        <s v="Oui"/>
        <s v="Non"/>
        <m/>
        <s v="Non "/>
      </sharedItems>
    </cacheField>
    <cacheField name="Date vente" numFmtId="164">
      <sharedItems containsNonDate="0" containsDate="1" containsString="0" containsBlank="1" minDate="2024-01-14T00:00:00Z" maxDate="2025-08-01T00:00:00Z">
        <d v="2024-03-01T00:00:00Z"/>
        <d v="2024-03-15T00:00:00Z"/>
        <m/>
        <d v="2024-03-30T00:00:00Z"/>
        <d v="2024-03-25T00:00:00Z"/>
        <d v="2024-04-08T00:00:00Z"/>
        <d v="2024-04-11T00:00:00Z"/>
        <d v="2024-03-21T00:00:00Z"/>
        <d v="2024-04-25T00:00:00Z"/>
        <d v="2024-04-19T00:00:00Z"/>
        <d v="2024-05-07T00:00:00Z"/>
        <d v="2024-05-06T00:00:00Z"/>
        <d v="2024-05-02T00:00:00Z"/>
        <d v="2024-05-13T00:00:00Z"/>
        <d v="2024-05-14T00:00:00Z"/>
        <d v="2024-03-20T00:00:00Z"/>
        <d v="2024-04-10T00:00:00Z"/>
        <d v="2024-05-30T00:00:00Z"/>
        <d v="2024-05-11T00:00:00Z"/>
        <d v="2024-04-30T00:00:00Z"/>
        <d v="2024-05-23T00:00:00Z"/>
        <d v="2024-05-16T00:00:00Z"/>
        <d v="2024-06-08T00:00:00Z"/>
        <d v="2024-06-20T00:00:00Z"/>
        <d v="2024-06-18T00:00:00Z"/>
        <d v="2024-06-12T00:00:00Z"/>
        <d v="2024-06-24T00:00:00Z"/>
        <d v="2024-06-11T00:00:00Z"/>
        <d v="2024-07-16T00:00:00Z"/>
        <d v="2024-07-25T00:00:00Z"/>
        <d v="2024-07-03T00:00:00Z"/>
        <d v="2024-06-17T00:00:00Z"/>
        <d v="2024-06-27T00:00:00Z"/>
        <d v="2024-07-06T00:00:00Z"/>
        <d v="2024-06-14T00:00:00Z"/>
        <d v="2024-07-24T00:00:00Z"/>
        <d v="2024-07-10T00:00:00Z"/>
        <d v="2024-08-01T00:00:00Z"/>
        <d v="2024-07-04T00:00:00Z"/>
        <d v="2024-07-23T00:00:00Z"/>
        <d v="2024-07-21T00:00:00Z"/>
        <d v="2024-08-06T00:00:00Z"/>
        <d v="2024-07-29T00:00:00Z"/>
        <d v="2024-07-30T00:00:00Z"/>
        <d v="2024-07-17T00:00:00Z"/>
        <d v="2024-08-02T00:00:00Z"/>
        <d v="2024-07-31T00:00:00Z"/>
        <d v="2024-08-21T00:00:00Z"/>
        <d v="2024-08-19T00:00:00Z"/>
        <d v="2024-08-13T00:00:00Z"/>
        <d v="2024-09-11T00:00:00Z"/>
        <d v="2024-08-16T00:00:00Z"/>
        <d v="2024-09-12T00:00:00Z"/>
        <d v="2024-08-23T00:00:00Z"/>
        <d v="2024-09-04T00:00:00Z"/>
        <d v="2025-05-20T00:00:00Z"/>
        <d v="2024-09-09T00:00:00Z"/>
        <d v="2024-08-28T00:00:00Z"/>
        <d v="2024-09-14T00:00:00Z"/>
        <d v="2024-09-13T00:00:00Z"/>
        <d v="2024-08-20T00:00:00Z"/>
        <d v="2024-09-26T00:00:00Z"/>
        <d v="2024-08-29T00:00:00Z"/>
        <d v="2025-05-13T00:00:00Z"/>
        <d v="2024-09-03T00:00:00Z"/>
        <d v="2024-09-27T00:00:00Z"/>
        <d v="2024-10-01T00:00:00Z"/>
        <d v="2025-05-07T00:00:00Z"/>
        <d v="2024-10-28T00:00:00Z"/>
        <d v="2024-09-10T00:00:00Z"/>
        <d v="2024-10-15T00:00:00Z"/>
        <d v="2024-10-29T00:00:00Z"/>
        <d v="2024-10-24T00:00:00Z"/>
        <d v="2024-10-02T00:00:00Z"/>
        <d v="2024-10-30T00:00:00Z"/>
        <d v="2024-10-14T00:00:00Z"/>
        <d v="2024-10-25T00:00:00Z"/>
        <d v="2024-11-05T00:00:00Z"/>
        <d v="2024-11-08T00:00:00Z"/>
        <d v="2024-11-04T00:00:00Z"/>
        <d v="2024-10-23T00:00:00Z"/>
        <d v="2024-11-29T00:00:00Z"/>
        <d v="2024-11-19T00:00:00Z"/>
        <d v="2024-12-09T00:00:00Z"/>
        <d v="2024-11-26T00:00:00Z"/>
        <d v="2024-11-25T00:00:00Z"/>
        <d v="2024-12-05T00:00:00Z"/>
        <d v="2024-12-16T00:00:00Z"/>
        <d v="2024-11-11T00:00:00Z"/>
        <d v="2024-12-03T00:00:00Z"/>
        <d v="2024-12-24T00:00:00Z"/>
        <d v="2025-02-20T00:00:00Z"/>
        <d v="2024-12-23T00:00:00Z"/>
        <d v="2025-01-07T00:00:00Z"/>
        <d v="2024-12-12T00:00:00Z"/>
        <d v="2025-01-21T00:00:00Z"/>
        <d v="2025-01-24T00:00:00Z"/>
        <d v="2025-01-17T00:00:00Z"/>
        <d v="2025-01-09T00:00:00Z"/>
        <d v="2025-01-27T00:00:00Z"/>
        <d v="2025-01-23T00:00:00Z"/>
        <d v="2024-10-22T00:00:00Z"/>
        <d v="2024-10-21T00:00:00Z"/>
        <d v="2025-01-22T00:00:00Z"/>
        <d v="2025-01-16T00:00:00Z"/>
        <d v="2025-02-12T00:00:00Z"/>
        <d v="2025-02-18T00:00:00Z"/>
        <d v="2025-01-29T00:00:00Z"/>
        <d v="2025-02-14T00:00:00Z"/>
        <d v="2025-02-15T00:00:00Z"/>
        <d v="2025-02-06T00:00:00Z"/>
        <d v="2025-02-21T00:00:00Z"/>
        <d v="2025-03-31T00:00:00Z"/>
        <d v="2025-02-26T00:00:00Z"/>
        <d v="2025-02-28T00:00:00Z"/>
        <d v="2025-02-25T00:00:00Z"/>
        <d v="2025-02-19T00:00:00Z"/>
        <d v="2025-03-11T00:00:00Z"/>
        <d v="2025-03-21T00:00:00Z"/>
        <d v="2025-03-12T00:00:00Z"/>
        <d v="2025-03-17T00:00:00Z"/>
        <d v="2025-03-24T00:00:00Z"/>
        <d v="2025-03-10T00:00:00Z"/>
        <d v="2025-03-14T00:00:00Z"/>
        <d v="2025-04-17T00:00:00Z"/>
        <d v="2025-03-16T00:00:00Z"/>
        <d v="2025-04-04T00:00:00Z"/>
        <d v="2025-04-07T00:00:00Z"/>
        <d v="2025-04-15T00:00:00Z"/>
        <d v="2025-04-25T00:00:00Z"/>
        <d v="2025-05-16T00:00:00Z"/>
        <d v="2025-04-14T00:00:00Z"/>
        <d v="2025-03-28T00:00:00Z"/>
        <d v="2025-03-06T00:00:00Z"/>
        <d v="2025-03-20T00:00:00Z"/>
        <d v="2025-04-09T00:00:00Z"/>
        <d v="2025-04-11T00:00:00Z"/>
        <d v="2025-03-13T00:00:00Z"/>
        <d v="2025-04-08T00:00:00Z"/>
        <d v="2025-04-30T00:00:00Z"/>
        <d v="2025-04-21T00:00:00Z"/>
        <d v="2025-06-02T00:00:00Z"/>
        <d v="2025-06-10T00:00:00Z"/>
        <d v="2025-03-30T00:00:00Z"/>
        <d v="2025-03-26T00:00:00Z"/>
        <d v="2025-06-20T00:00:00Z"/>
        <d v="2025-02-10T00:00:00Z"/>
        <d v="2025-05-19T00:00:00Z"/>
        <d v="2025-04-24T00:00:00Z"/>
        <d v="2025-06-26T00:00:00Z"/>
        <d v="2025-05-23T00:00:00Z"/>
        <d v="2025-05-06T00:00:00Z"/>
        <d v="2025-05-24T00:00:00Z"/>
        <d v="2025-06-05T00:00:00Z"/>
        <d v="2025-05-27T00:00:00Z"/>
        <d v="2025-06-12T00:00:00Z"/>
        <d v="2025-05-28T00:00:00Z"/>
        <d v="2025-06-16T00:00:00Z"/>
        <d v="2025-06-18T00:00:00Z"/>
        <d v="2025-06-11T00:00:00Z"/>
        <d v="2025-06-23T00:00:00Z"/>
        <d v="2025-02-03T00:00:00Z"/>
        <d v="2025-06-04T00:00:00Z"/>
        <d v="2025-05-22T00:00:00Z"/>
        <d v="2025-06-22T00:00:00Z"/>
        <d v="2025-07-16T00:00:00Z"/>
        <d v="2025-06-19T00:00:00Z"/>
        <d v="2025-07-01T00:00:00Z"/>
        <d v="2025-06-17T00:00:00Z"/>
        <d v="2025-06-13T00:00:00Z"/>
        <d v="2025-07-03T00:00:00Z"/>
        <d v="2024-10-18T00:00:00Z"/>
        <d v="2025-05-29T00:00:00Z"/>
        <d v="2025-06-30T00:00:00Z"/>
        <d v="2025-03-07T00:00:00Z"/>
        <d v="2024-09-08T00:00:00Z"/>
        <d v="2024-10-08T00:00:00Z"/>
        <d v="2024-11-13T00:00:00Z"/>
        <d v="2024-12-10T00:00:00Z"/>
        <d v="2024-12-04T00:00:00Z"/>
        <d v="2024-06-07T00:00:00Z"/>
        <d v="2024-05-31T00:00:00Z"/>
        <d v="2025-02-23T00:00:00Z"/>
        <d v="2024-11-07T00:00:00Z"/>
        <d v="2024-11-28T00:00:00Z"/>
        <d v="2024-12-18T00:00:00Z"/>
        <d v="2025-02-11T00:00:00Z"/>
        <d v="2025-02-07T00:00:00Z"/>
        <d v="2024-09-05T00:00:00Z"/>
        <d v="2024-12-13T00:00:00Z"/>
        <d v="2024-03-08T00:00:00Z"/>
        <d v="2024-04-22T00:00:00Z"/>
        <d v="2024-05-17T00:00:00Z"/>
        <d v="2024-04-24T00:00:00Z"/>
        <d v="2024-05-24T00:00:00Z"/>
        <d v="2024-07-19T00:00:00Z"/>
        <d v="2024-08-09T00:00:00Z"/>
        <d v="2024-07-01T00:00:00Z"/>
        <d v="2024-08-26T00:00:00Z"/>
        <d v="2024-09-17T00:00:00Z"/>
        <d v="2024-09-25T00:00:00Z"/>
        <d v="2024-09-30T00:00:00Z"/>
        <d v="2024-10-10T00:00:00Z"/>
        <d v="2024-12-02T00:00:00Z"/>
        <d v="2025-01-06T00:00:00Z"/>
        <d v="2025-01-13T00:00:00Z"/>
        <d v="2024-06-26T00:00:00Z"/>
        <d v="2024-08-07T00:00:00Z"/>
        <d v="2024-07-11T00:00:00Z"/>
        <d v="2024-09-16T00:00:00Z"/>
        <d v="2024-11-14T00:00:00Z"/>
        <d v="2024-03-22T00:00:00Z"/>
        <d v="2024-04-06T00:00:00Z"/>
        <d v="2024-04-07T00:00:00Z"/>
        <d v="2024-06-04T00:00:00Z"/>
        <d v="2024-10-11T00:00:00Z"/>
        <d v="2024-03-23T00:00:00Z"/>
        <d v="2024-04-04T00:00:00Z"/>
        <d v="2024-04-09T00:00:00Z"/>
        <d v="2024-05-21T00:00:00Z"/>
        <d v="2024-05-27T00:00:00Z"/>
        <d v="2024-08-27T00:00:00Z"/>
        <d v="2025-04-12T00:00:00Z"/>
        <d v="2024-02-28T00:00:00Z"/>
        <d v="2024-05-28T00:00:00Z"/>
        <d v="2024-09-23T00:00:00Z"/>
        <d v="2024-06-30T00:00:00Z"/>
        <d v="2024-09-20T00:00:00Z"/>
        <d v="2024-10-07T00:00:00Z"/>
        <d v="2024-03-27T00:00:00Z"/>
        <d v="2024-04-13T00:00:00Z"/>
        <d v="2024-04-27T00:00:00Z"/>
        <d v="2024-01-15T00:00:00Z"/>
        <d v="2024-01-14T00:00:00Z"/>
        <d v="2025-03-18T00:00:00Z"/>
        <d v="2024-05-18T00:00:00Z"/>
        <d v="2024-06-19T00:00:00Z"/>
        <d v="2024-10-09T00:00:00Z"/>
        <d v="2024-11-12T00:00:00Z"/>
        <d v="2024-12-19T00:00:00Z"/>
        <d v="2025-02-22T00:00:00Z"/>
        <d v="2024-03-26T00:00:00Z"/>
        <d v="2024-05-20T00:00:00Z"/>
        <d v="2024-07-08T00:00:00Z"/>
        <d v="2024-11-22T00:00:00Z"/>
        <d v="2024-10-31T00:00:00Z"/>
        <d v="2024-07-15T00:00:00Z"/>
        <d v="2024-09-24T00:00:00Z"/>
        <d v="2024-02-15T00:00:00Z"/>
        <d v="2024-04-26T00:00:00Z"/>
        <d v="2024-06-03T00:00:00Z"/>
        <d v="2024-04-12T00:00:00Z"/>
        <d v="2024-07-09T00:00:00Z"/>
        <d v="2024-09-29T00:00:00Z"/>
        <d v="2024-10-06T00:00:00Z"/>
        <d v="2024-10-16T00:00:00Z"/>
        <d v="2024-09-19T00:00:00Z"/>
        <d v="2024-03-28T00:00:00Z"/>
        <d v="2024-10-17T00:00:00Z"/>
        <d v="2025-04-29T00:00:00Z"/>
        <d v="2024-03-18T00:00:00Z"/>
        <d v="2024-08-14T00:00:00Z"/>
        <d v="2024-09-01T00:00:00Z"/>
        <d v="2024-11-15T00:00:00Z"/>
        <d v="2025-01-03T00:00:00Z"/>
        <d v="2024-07-18T00:00:00Z"/>
        <d v="2025-07-11T00:00:00Z"/>
        <d v="2025-07-18T00:00:00Z"/>
        <d v="2025-07-21T00:00:00Z"/>
        <d v="2025-07-22T00:00:00Z"/>
        <d v="2025-07-24T00:00:00Z"/>
        <d v="2025-07-25T00:00:00Z"/>
        <d v="2025-07-28T00:00:00Z"/>
        <d v="2025-06-24T00:00:00Z"/>
        <d v="2025-06-27T00:00:00Z"/>
        <d v="2025-01-31T00:00:00Z"/>
        <d v="2025-07-07T00:00:00Z"/>
        <d v="2025-07-09T00:00:00Z"/>
        <d v="2025-07-17T00:00:00Z"/>
        <d v="2025-07-29T00:00:00Z"/>
        <d v="2025-07-31T00:00:00Z"/>
      </sharedItems>
      <fieldGroup base="16">
        <rangePr autoStart="0" autoEnd="0" groupBy="months" startDate="2024-01-14T00:00:00Z" endDate="2025-08-01T00:00:00Z"/>
        <groupItems>
          <s v="&lt;01/14/24"/>
          <s v="Jan"/>
          <s v="Feb"/>
          <s v="Mar"/>
          <s v="Apr"/>
          <s v="May"/>
          <s v="Jun"/>
          <s v="Jul"/>
          <s v="Aug"/>
          <s v="Sep"/>
          <s v="Oct"/>
          <s v="Nov"/>
          <s v="Dec"/>
          <s v="&gt;08/01/25"/>
        </groupItems>
      </fieldGroup>
    </cacheField>
    <cacheField name="Commission" numFmtId="166">
      <sharedItems containsString="0" containsBlank="1" containsNumber="1">
        <n v="14.0"/>
        <m/>
        <n v="40.0"/>
        <n v="125.0"/>
        <n v="20.0"/>
        <n v="130.0"/>
        <n v="112.5"/>
        <n v="157.48"/>
        <n v="50.0"/>
        <n v="450.0"/>
        <n v="43.75"/>
        <n v="62.5"/>
        <n v="200.0"/>
        <n v="45.0"/>
        <n v="46.0"/>
        <n v="75.0"/>
        <n v="90.0"/>
        <n v="16.0"/>
        <n v="37.5"/>
        <n v="150.0"/>
        <n v="87.5"/>
        <n v="159.29999999999998"/>
        <n v="100.0"/>
        <n v="135.0"/>
        <n v="60.32"/>
        <n v="250.0"/>
        <n v="30.0"/>
        <n v="22.5"/>
        <n v="82.5"/>
        <n v="41.25"/>
        <n v="70.0"/>
        <n v="120.0"/>
        <n v="60.0"/>
        <n v="180.0"/>
        <n v="80.0"/>
        <n v="105.0"/>
        <n v="157.944"/>
        <n v="312.5"/>
        <n v="209.76000000000002"/>
        <n v="71.587"/>
        <n v="34.6"/>
        <n v="360.0"/>
        <n v="187.5"/>
        <n v="210.0"/>
        <n v="117.99"/>
        <n v="540.0"/>
        <n v="114.75"/>
        <n v="97.5"/>
        <n v="0.0"/>
        <n v="195.0"/>
        <n v="34.0"/>
        <n v="240.0"/>
        <n v="225.0"/>
        <n v="300.0"/>
        <n v="58.5"/>
        <n v="285.0"/>
        <n v="253.125"/>
        <n v="15.0"/>
        <n v="600.0"/>
        <n v="99.99999999999999"/>
        <n v="270.0"/>
        <n v="174.6"/>
        <n v="58.2"/>
        <n v="291.0"/>
        <n v="175.0"/>
        <n v="555.0"/>
        <n v="375.0"/>
        <n v="282.0"/>
        <n v="750.0"/>
        <n v="255.0"/>
        <n v="330.0"/>
        <n v="202.5"/>
        <n v="165.6"/>
        <n v="165.039"/>
        <n v="420.0"/>
        <n v="281.25"/>
        <n v="118.52699999999999"/>
        <n v="123.21600000000001"/>
        <n v="165.0"/>
        <n v="152.49"/>
        <n v="111.0"/>
        <n v="390.0"/>
        <n v="147.861"/>
        <n v="33.333333333333336"/>
        <n v="989.4"/>
        <n v="199.99999999999997"/>
        <n v="186.0"/>
        <n v="33.75"/>
        <n v="65.22"/>
        <n v="500.0"/>
        <n v="937.5"/>
        <n v="93.0"/>
        <n v="264.0"/>
        <n v="387.0"/>
        <n v="252.0"/>
        <n v="180.6"/>
        <n v="57.0"/>
        <n v="1733.0"/>
        <n v="140.0"/>
        <n v="25.0"/>
        <n v="56.25"/>
        <n v="235.0"/>
        <n v="26.0"/>
        <n v="28.8"/>
        <n v="280.0"/>
        <n v="900.0"/>
        <n v="1350.0"/>
        <n v="176.4"/>
        <n v="117.8175"/>
        <n v="67.5"/>
        <n v="630.0"/>
        <n v="765.0"/>
        <n v="384.0"/>
      </sharedItems>
    </cacheField>
  </cacheFields>
</pivotCacheDefinition>
</file>

<file path=xl/pivotCache/pivotCacheDefinition8.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AC1063" sheet="Global1"/>
  </cacheSource>
  <cacheFields>
    <cacheField name="Talent" numFmtId="0">
      <sharedItems>
        <s v="Pauline"/>
        <s v="Chiara"/>
        <s v="Melissa"/>
        <s v="Camille"/>
        <s v="Lily Noël"/>
        <s v="Lina"/>
        <s v="Flavie"/>
        <s v="Jessica"/>
        <s v="Orane"/>
        <s v="Lola"/>
        <s v="Juliane"/>
        <s v="Alice"/>
        <s v="Laurie"/>
        <s v="Perrine"/>
        <s v="Morgane"/>
        <s v="Lise"/>
        <s v="Jeanne"/>
        <s v="Mary"/>
        <s v="Melissa P"/>
        <s v="Anaïs"/>
        <s v="Salma"/>
        <s v="Aïcha"/>
        <s v="Jasmine"/>
        <s v="Asmae"/>
        <s v="Rachel"/>
        <s v="Arwen"/>
        <s v="Iman"/>
        <s v="Moped"/>
        <s v="Dounia"/>
        <s v="Gurbet"/>
        <s v="Amani"/>
        <s v="Hidaya"/>
        <s v="Sirine"/>
        <s v="Eloise"/>
        <s v="Imane"/>
        <s v="Marine"/>
        <s v="Sofia"/>
        <s v="Sarah"/>
        <s v="Eiliassa"/>
        <s v="Farah"/>
        <s v="Estelle"/>
        <s v="Juliette"/>
        <s v="Nidal"/>
        <s v="Lola H."/>
        <s v="Morgane C"/>
        <s v="Chloe"/>
        <s v="Laura"/>
        <s v="Lilou"/>
        <s v="Lily"/>
        <s v="Amanda"/>
        <s v="Glenn"/>
        <s v="--"/>
        <s v="Amelle"/>
        <s v="Angie"/>
        <s v="Fanny"/>
        <s v="Laurine"/>
        <s v="Marlène"/>
        <s v="Migos Media"/>
      </sharedItems>
    </cacheField>
    <cacheField name="Date Création" numFmtId="164">
      <sharedItems containsDate="1" containsString="0" containsBlank="1">
        <d v="2024-03-01T00:00:00Z"/>
        <d v="2024-03-15T00:00:00Z"/>
        <m/>
        <d v="2024-03-30T00:00:00Z"/>
        <d v="2024-03-25T00:00:00Z"/>
        <d v="2024-04-08T00:00:00Z"/>
        <d v="2024-04-11T00:00:00Z"/>
        <d v="2024-03-21T00:00:00Z"/>
        <d v="2024-04-25T00:00:00Z"/>
        <d v="2024-04-19T00:00:00Z"/>
        <d v="2024-05-07T00:00:00Z"/>
        <d v="2024-05-06T00:00:00Z"/>
        <d v="2024-05-02T00:00:00Z"/>
        <d v="2024-05-13T00:00:00Z"/>
        <d v="2024-05-14T00:00:00Z"/>
        <d v="2024-03-20T00:00:00Z"/>
        <d v="2024-04-10T00:00:00Z"/>
        <d v="2024-05-30T00:00:00Z"/>
        <d v="2024-05-11T00:00:00Z"/>
        <d v="2024-04-30T00:00:00Z"/>
        <d v="2024-05-23T00:00:00Z"/>
        <d v="2024-05-16T00:00:00Z"/>
        <d v="2024-06-08T00:00:00Z"/>
        <d v="2024-06-20T00:00:00Z"/>
        <d v="2024-06-18T00:00:00Z"/>
        <d v="2024-06-12T00:00:00Z"/>
        <d v="2024-06-24T00:00:00Z"/>
        <d v="2024-06-11T00:00:00Z"/>
        <d v="2024-07-16T00:00:00Z"/>
        <d v="2024-07-25T00:00:00Z"/>
        <d v="2024-07-03T00:00:00Z"/>
        <d v="2024-06-17T00:00:00Z"/>
        <d v="2024-06-27T00:00:00Z"/>
        <d v="2024-07-06T00:00:00Z"/>
        <d v="2024-06-14T00:00:00Z"/>
        <d v="2024-07-24T00:00:00Z"/>
        <d v="2024-07-10T00:00:00Z"/>
        <d v="2024-08-01T00:00:00Z"/>
        <d v="2024-07-04T00:00:00Z"/>
        <d v="2024-07-23T00:00:00Z"/>
        <d v="2024-07-21T00:00:00Z"/>
        <d v="2024-08-06T00:00:00Z"/>
        <d v="2024-07-29T00:00:00Z"/>
        <d v="2024-07-30T00:00:00Z"/>
        <d v="2024-07-17T00:00:00Z"/>
        <d v="2024-08-02T00:00:00Z"/>
        <d v="2024-07-31T00:00:00Z"/>
        <d v="2024-08-21T00:00:00Z"/>
        <d v="2024-08-19T00:00:00Z"/>
        <d v="2024-08-13T00:00:00Z"/>
        <d v="2024-09-11T00:00:00Z"/>
        <d v="2024-08-16T00:00:00Z"/>
        <d v="2024-09-12T00:00:00Z"/>
        <d v="2024-08-23T00:00:00Z"/>
        <d v="2024-09-04T00:00:00Z"/>
        <d v="2025-05-20T00:00:00Z"/>
        <d v="2024-09-09T00:00:00Z"/>
        <d v="2024-08-28T00:00:00Z"/>
        <d v="2024-09-14T00:00:00Z"/>
        <d v="2024-09-13T00:00:00Z"/>
        <d v="2024-08-20T00:00:00Z"/>
        <d v="2024-09-26T00:00:00Z"/>
        <d v="2024-08-29T00:00:00Z"/>
        <d v="2025-05-13T00:00:00Z"/>
        <d v="2024-09-03T00:00:00Z"/>
        <d v="2024-09-27T00:00:00Z"/>
        <d v="2024-10-01T00:00:00Z"/>
        <d v="2025-05-07T00:00:00Z"/>
        <d v="2024-10-28T00:00:00Z"/>
        <d v="2024-09-10T00:00:00Z"/>
        <d v="2024-10-15T00:00:00Z"/>
        <d v="2024-10-29T00:00:00Z"/>
        <d v="2024-10-24T00:00:00Z"/>
        <d v="2024-10-02T00:00:00Z"/>
        <d v="2024-10-30T00:00:00Z"/>
        <d v="2024-10-14T00:00:00Z"/>
        <d v="2024-10-25T00:00:00Z"/>
        <d v="2024-11-05T00:00:00Z"/>
        <d v="2024-11-08T00:00:00Z"/>
        <d v="2024-11-04T00:00:00Z"/>
        <d v="2024-10-23T00:00:00Z"/>
        <d v="2024-11-29T00:00:00Z"/>
        <d v="2024-11-19T00:00:00Z"/>
        <d v="2024-12-09T00:00:00Z"/>
        <d v="2024-11-26T00:00:00Z"/>
        <d v="2024-11-25T00:00:00Z"/>
        <d v="2024-12-05T00:00:00Z"/>
        <d v="2024-12-16T00:00:00Z"/>
        <d v="2024-11-11T00:00:00Z"/>
        <d v="2024-12-03T00:00:00Z"/>
        <d v="2024-12-24T00:00:00Z"/>
        <d v="2025-02-20T00:00:00Z"/>
        <d v="2024-12-23T00:00:00Z"/>
        <d v="2025-01-07T00:00:00Z"/>
        <d v="2024-12-12T00:00:00Z"/>
        <d v="2025-01-21T00:00:00Z"/>
        <d v="2025-01-24T00:00:00Z"/>
        <d v="2025-01-17T00:00:00Z"/>
        <d v="2025-01-09T00:00:00Z"/>
        <d v="2025-01-27T00:00:00Z"/>
        <d v="2025-01-23T00:00:00Z"/>
        <d v="2024-10-22T00:00:00Z"/>
        <d v="2024-10-21T00:00:00Z"/>
        <d v="2025-01-22T00:00:00Z"/>
        <d v="2025-01-16T00:00:00Z"/>
        <d v="2025-02-12T00:00:00Z"/>
        <d v="2025-02-18T00:00:00Z"/>
        <d v="2025-01-29T00:00:00Z"/>
        <d v="2025-02-14T00:00:00Z"/>
        <d v="2025-02-15T00:00:00Z"/>
        <d v="2025-02-06T00:00:00Z"/>
        <d v="2025-02-21T00:00:00Z"/>
        <d v="2025-03-31T00:00:00Z"/>
        <d v="2025-02-26T00:00:00Z"/>
        <d v="2025-02-28T00:00:00Z"/>
        <d v="2025-02-25T00:00:00Z"/>
        <d v="2025-02-19T00:00:00Z"/>
        <d v="2025-03-11T00:00:00Z"/>
        <d v="2025-03-21T00:00:00Z"/>
        <d v="2025-03-12T00:00:00Z"/>
        <d v="2025-03-17T00:00:00Z"/>
        <d v="2025-03-24T00:00:00Z"/>
        <d v="2025-03-10T00:00:00Z"/>
        <d v="2025-03-14T00:00:00Z"/>
        <d v="2025-04-17T00:00:00Z"/>
        <d v="2025-03-16T00:00:00Z"/>
        <d v="2025-04-04T00:00:00Z"/>
        <d v="2025-04-07T00:00:00Z"/>
        <d v="2025-04-15T00:00:00Z"/>
        <d v="2025-04-25T00:00:00Z"/>
        <d v="2025-05-16T00:00:00Z"/>
        <d v="2025-04-14T00:00:00Z"/>
        <d v="2025-03-28T00:00:00Z"/>
        <d v="2025-03-06T00:00:00Z"/>
        <d v="2025-03-20T00:00:00Z"/>
        <d v="2025-04-09T00:00:00Z"/>
        <d v="2025-04-11T00:00:00Z"/>
        <d v="2025-03-13T00:00:00Z"/>
        <d v="2025-04-08T00:00:00Z"/>
        <d v="2025-04-30T00:00:00Z"/>
        <d v="2025-04-21T00:00:00Z"/>
        <d v="2025-06-02T00:00:00Z"/>
        <d v="2025-06-10T00:00:00Z"/>
        <d v="2025-03-30T00:00:00Z"/>
        <d v="2025-03-26T00:00:00Z"/>
        <d v="2025-06-20T00:00:00Z"/>
        <d v="2025-02-10T00:00:00Z"/>
        <d v="2025-05-19T00:00:00Z"/>
        <d v="2025-04-24T00:00:00Z"/>
        <d v="2025-06-26T00:00:00Z"/>
        <d v="2025-05-23T00:00:00Z"/>
        <d v="2025-05-06T00:00:00Z"/>
        <d v="2025-05-24T00:00:00Z"/>
        <d v="2025-06-05T00:00:00Z"/>
        <d v="2025-05-27T00:00:00Z"/>
        <d v="2025-06-12T00:00:00Z"/>
        <d v="2025-05-28T00:00:00Z"/>
        <d v="2025-06-16T00:00:00Z"/>
        <d v="2025-06-18T00:00:00Z"/>
        <d v="2025-06-11T00:00:00Z"/>
        <d v="2025-06-23T00:00:00Z"/>
        <d v="2025-02-03T00:00:00Z"/>
        <d v="2025-06-04T00:00:00Z"/>
        <d v="2025-05-22T00:00:00Z"/>
        <d v="2025-06-22T00:00:00Z"/>
        <d v="2025-07-16T00:00:00Z"/>
        <d v="2025-06-19T00:00:00Z"/>
        <d v="2025-07-01T00:00:00Z"/>
        <d v="2025-06-17T00:00:00Z"/>
        <d v="2025-06-13T00:00:00Z"/>
        <d v="2025-07-03T00:00:00Z"/>
        <d v="2024-10-18T00:00:00Z"/>
        <d v="2025-05-29T00:00:00Z"/>
        <d v="2025-06-30T00:00:00Z"/>
        <d v="2025-03-07T00:00:00Z"/>
        <d v="2024-09-08T00:00:00Z"/>
        <d v="2024-10-08T00:00:00Z"/>
        <d v="2024-11-13T00:00:00Z"/>
        <d v="2024-12-10T00:00:00Z"/>
        <d v="2024-12-04T00:00:00Z"/>
        <d v="2024-06-07T00:00:00Z"/>
        <d v="2024-05-31T00:00:00Z"/>
        <d v="2025-02-23T00:00:00Z"/>
        <d v="2024-11-07T00:00:00Z"/>
        <d v="2024-11-28T00:00:00Z"/>
        <d v="2024-12-18T00:00:00Z"/>
        <d v="2025-02-11T00:00:00Z"/>
        <d v="2025-02-07T00:00:00Z"/>
        <d v="2024-09-05T00:00:00Z"/>
        <d v="2024-12-13T00:00:00Z"/>
        <d v="2024-03-08T00:00:00Z"/>
        <d v="2024-04-22T00:00:00Z"/>
        <d v="2024-05-17T00:00:00Z"/>
        <d v="2024-04-24T00:00:00Z"/>
        <d v="2024-05-24T00:00:00Z"/>
        <d v="2024-07-19T00:00:00Z"/>
        <d v="2024-08-09T00:00:00Z"/>
        <d v="2024-07-01T00:00:00Z"/>
        <d v="2024-08-26T00:00:00Z"/>
        <d v="2024-09-17T00:00:00Z"/>
        <d v="2024-09-25T00:00:00Z"/>
        <d v="2024-09-30T00:00:00Z"/>
        <d v="2024-10-10T00:00:00Z"/>
        <d v="2024-12-02T00:00:00Z"/>
        <d v="2025-01-06T00:00:00Z"/>
        <d v="2025-01-13T00:00:00Z"/>
        <d v="2024-06-26T00:00:00Z"/>
        <d v="2024-08-07T00:00:00Z"/>
        <d v="2024-07-11T00:00:00Z"/>
        <d v="2024-09-16T00:00:00Z"/>
        <d v="2024-11-14T00:00:00Z"/>
        <d v="2024-03-22T00:00:00Z"/>
        <d v="2024-04-06T00:00:00Z"/>
        <d v="2024-04-07T00:00:00Z"/>
        <d v="2024-06-04T00:00:00Z"/>
        <d v="2024-10-11T00:00:00Z"/>
        <d v="2024-03-23T00:00:00Z"/>
        <d v="2024-04-04T00:00:00Z"/>
        <d v="2024-04-09T00:00:00Z"/>
        <d v="2024-05-21T00:00:00Z"/>
        <d v="2024-05-27T00:00:00Z"/>
        <d v="2024-08-27T00:00:00Z"/>
        <d v="2025-04-12T00:00:00Z"/>
        <d v="2024-02-28T00:00:00Z"/>
        <d v="2024-05-28T00:00:00Z"/>
        <d v="2024-09-23T00:00:00Z"/>
        <d v="2024-06-30T00:00:00Z"/>
        <d v="2024-09-20T00:00:00Z"/>
        <d v="2024-10-07T00:00:00Z"/>
        <d v="2024-03-27T00:00:00Z"/>
        <d v="2024-04-13T00:00:00Z"/>
        <d v="2024-04-27T00:00:00Z"/>
        <d v="2024-01-15T00:00:00Z"/>
        <d v="2024-01-14T00:00:00Z"/>
        <d v="2025-03-18T00:00:00Z"/>
        <d v="2024-05-18T00:00:00Z"/>
        <d v="2024-06-19T00:00:00Z"/>
        <d v="2024-10-09T00:00:00Z"/>
        <d v="2024-11-12T00:00:00Z"/>
        <d v="2024-12-19T00:00:00Z"/>
        <d v="2025-02-22T00:00:00Z"/>
        <d v="2024-03-26T00:00:00Z"/>
        <d v="2024-05-20T00:00:00Z"/>
        <d v="2024-07-08T00:00:00Z"/>
        <d v="2024-11-22T00:00:00Z"/>
        <d v="2024-10-31T00:00:00Z"/>
        <d v="2024-07-15T00:00:00Z"/>
        <d v="2024-09-24T00:00:00Z"/>
        <d v="2024-02-15T00:00:00Z"/>
        <d v="2024-04-26T00:00:00Z"/>
        <d v="2024-06-03T00:00:00Z"/>
        <d v="2024-04-12T00:00:00Z"/>
        <d v="2024-07-09T00:00:00Z"/>
        <d v="2024-09-29T00:00:00Z"/>
        <d v="2024-10-06T00:00:00Z"/>
        <d v="2024-10-16T00:00:00Z"/>
      </sharedItems>
    </cacheField>
    <cacheField name="Marque" numFmtId="3">
      <sharedItems>
        <s v="BYS Maquillage"/>
        <s v="Yepoda"/>
        <s v="Rimmel London"/>
        <s v="SHEIN"/>
        <s v="Yves Rocher"/>
        <s v="Temu"/>
        <s v="Anua"/>
        <s v="SOS Beauty"/>
        <s v="Haru Haru Wonder"/>
        <s v="Maybelline"/>
        <s v="Koru"/>
        <s v="PINKO PAZZESCO"/>
        <s v="GHD"/>
        <s v="SKIN1004"/>
        <s v="Les Pistolets en Plastique"/>
        <s v="Rose Skin Co."/>
        <s v="Skin &amp; Out"/>
        <s v="Dyson"/>
        <s v="Satinée"/>
        <s v="BodyCross"/>
        <s v="Garnier"/>
        <s v="Eau Thermale Jonzac"/>
        <s v="So Bio Etic"/>
        <s v="Terre de Mars"/>
        <s v="Commonlabs"/>
        <s v="BENEFIT"/>
        <s v="Anastasia Beverly Hills"/>
        <s v="Grande Cosmetics"/>
        <s v="Mixa"/>
        <s v="My House of Jewels"/>
        <s v="Uriage"/>
        <s v="Erborian"/>
        <s v="Lancôme "/>
        <s v="Nocibé"/>
        <s v="Crocs"/>
        <s v="JOLT"/>
        <s v="Ducray"/>
        <s v="Bioré"/>
        <s v="La Roche Posay"/>
        <s v="Yesstyle"/>
        <s v="Sheglam"/>
        <s v="Abib"/>
        <s v="Bershka"/>
        <s v="Dr.Althea"/>
        <s v="Stylevana"/>
        <s v="Dreame"/>
        <s v="Lancôme"/>
        <s v="Wandernana"/>
        <s v="Essence"/>
        <s v="Monopoly Go"/>
        <s v="Frank Provost"/>
        <s v="Myriam K Paris"/>
        <s v="Sol De Janeiro"/>
        <s v="Mixsoon"/>
        <s v="Current Body"/>
        <s v="Aïa Curl"/>
        <s v="Aromazone"/>
        <s v="iHerb"/>
        <s v="Mova"/>
        <s v="L'Oréal"/>
        <s v="Hacoo"/>
        <s v="Biocyte"/>
        <s v="Musc Intime"/>
        <s v="NYX"/>
        <s v="L'Oreal"/>
        <s v="Remington"/>
        <s v="Dynveo"/>
        <s v="Vitavea"/>
        <s v="Uberliss"/>
        <s v="Luxéol"/>
        <s v="Darry Ring"/>
        <s v="Capcut"/>
        <s v="Redken"/>
        <s v="Naali"/>
        <s v="Cerave"/>
        <s v="Paalm Cosmetics"/>
        <s v="Shavest"/>
        <s v="Inava"/>
        <s v="Cellublue"/>
        <s v="Caudalie"/>
        <s v="Voghion"/>
        <s v="BeReal"/>
        <s v="Current Body "/>
        <s v="Ali Express"/>
        <s v="Keracare"/>
        <s v="ZIIP"/>
        <s v="Feel My Skin"/>
        <s v="BYD"/>
        <s v="ISIS Pharma"/>
        <s v="Sanytol"/>
        <s v="Mavatys"/>
        <s v="Sanex"/>
        <s v="My Little Box "/>
        <s v="Lazartigue"/>
        <s v="Solinotes"/>
        <s v="It Fruit"/>
        <s v="TORRAS"/>
        <s v="Medicube"/>
        <s v="H&amp;S"/>
        <s v="Perroy Parfum"/>
        <s v="Nike"/>
        <s v="Bella Barrnett"/>
        <s v="Passion Marine"/>
        <s v="Avene"/>
        <s v="Beauty Of Joseon"/>
        <s v="Etiaxil"/>
        <s v="Just Spin"/>
        <s v="PlanJoy"/>
        <s v="YTTP"/>
        <s v="Sanytol "/>
        <s v="Dior"/>
        <s v="Pretty Little Things"/>
        <s v="L'Univers de Baya"/>
        <s v="Bob Oré"/>
        <s v="YSL"/>
        <s v="Ouvéa"/>
        <s v="Cider"/>
        <s v="Milk Make Up"/>
        <s v="SPA &amp; BIEN ÊTRE - GRAVITI"/>
        <s v="Ole Henriksen"/>
        <s v="Rare Beauty"/>
        <s v="Lancôme #MWL"/>
        <s v="Clarine"/>
        <s v="SHU UEMURA"/>
        <s v="Aveda"/>
        <s v="Clinique"/>
        <s v="KIEHLS"/>
        <s v="Embryolisse"/>
        <s v="Focus Skincare"/>
        <s v="MILK"/>
        <s v="Superdry"/>
        <s v="Prada"/>
        <s v="YSL Stylo Touche Éclat"/>
        <s v="R.E.M Beauty"/>
        <s v="IT Cosmetics"/>
        <s v="Lancôme - HYPNOSE DRAMA 🖤"/>
        <s v="Charlotte Tilburry (Nice Work)"/>
        <s v="YSL Beauty Summer Box"/>
        <s v="Fenty"/>
        <s v="Dr. Dennis Gross (Nice Work)"/>
        <s v="YSL Blushs "/>
        <s v="Valentino"/>
        <s v="Huda Beauty"/>
        <s v="Sephora"/>
        <s v="Charlotte Tilburry"/>
        <s v="The Inkey List"/>
        <s v="Cecotec"/>
        <s v="Vichy"/>
        <s v="Flower Knows"/>
        <s v="Rituals"/>
        <s v="Respire"/>
        <s v="LANEIGE"/>
        <s v="Glow Recipe"/>
        <s v="Franck Provost"/>
        <s v="MAC Cosmetics"/>
        <s v="Milk Makeup (Nice Work)"/>
        <s v="Typology"/>
        <s v="Kiehl's"/>
        <s v="JW PEI"/>
        <s v="Bloom"/>
        <s v="Nars"/>
        <s v="The Commense"/>
        <s v="Bijoux Divins"/>
        <s v="Biotherm"/>
        <s v="Courrèges (Nice Work)"/>
        <s v="Pulpe de Vie"/>
        <s v="Dieti Natura"/>
        <s v="Make Up For Ever"/>
        <s v="Jimmy Fairly"/>
        <s v="Lili Sidonio"/>
        <s v="Dr Jart +"/>
        <s v="Gallinée"/>
        <s v="Evoluderm"/>
        <s v="Drunk Elephant"/>
        <s v="Shokz"/>
        <s v="Fresh"/>
        <s v="Bourjois"/>
        <s v="Too Faced"/>
        <s v="L'Oréal Professionnel"/>
        <s v="NARS (Nice Work)"/>
        <s v="Fenty (Nice Work)"/>
        <s v="Black &amp; White Burger"/>
        <s v="Daylo"/>
        <s v="Maria Nila"/>
        <s v="The Inkey List (Nice Work)"/>
        <s v="Wonderskin"/>
        <s v="Olaplex (Nice Work)"/>
        <s v="Kurku-ma"/>
        <s v="Origins"/>
        <s v="Kielh's"/>
        <s v="SAYANA"/>
        <s v="Havaianas"/>
        <s v="Réelle"/>
        <s v="Rare Beauty (Nice Work)"/>
        <s v="Boohoo"/>
        <s v="Kylie"/>
        <s v="Eau Thermale Jonzac "/>
        <s v="Hawkers"/>
        <s v="The Ordinary"/>
        <s v="Myrimimi"/>
        <s v="Fenty Skin"/>
        <s v="L'Oreal Luxe"/>
        <s v="Maybelline Concours"/>
        <s v="Sol de Janeiro (Nice Work)"/>
        <s v="TOMO"/>
        <s v="TABASQUISHY"/>
        <s v="Armani Beauty"/>
        <s v="Summer Fridays"/>
        <s v="Lanolips"/>
        <s v="Kiko Milano"/>
        <s v="Halal Nutrition"/>
        <s v="Kylie Cosmetics"/>
        <s v="My Little Box"/>
        <s v="Cuure"/>
        <s v="Interview"/>
        <s v="Le Petit Lunetier"/>
        <s v="Maybelline "/>
        <s v="Kalista"/>
        <s v="Neutrogena"/>
        <s v="Néonail"/>
        <s v="Milk Make Up (Nice Work)"/>
        <s v="Ongle24"/>
        <s v="Bobbi Brown"/>
      </sharedItems>
    </cacheField>
    <cacheField name="Complément">
      <sharedItems containsBlank="1" containsMixedTypes="1" containsNumber="1" containsInteger="1">
        <m/>
        <s v="CA"/>
        <s v="BOURS"/>
        <s v="Lancôme #MWL"/>
        <n v="2.0"/>
        <s v="GRWM for bed"/>
        <s v="Whats in my bag"/>
        <n v="1.0"/>
        <s v="Woo Juicy Tubes"/>
        <s v="Army"/>
        <s v="Shein deals "/>
        <s v="nov"/>
        <s v="janv"/>
        <s v="AMZ"/>
        <s v="Juicy"/>
        <s v="Sun Serum"/>
        <s v="Poremizing"/>
        <s v="PM Clay Stick"/>
        <s v="Relief"/>
        <s v="2-Double Cleansing"/>
        <s v="3-Sun Serum Hyalu"/>
        <s v="4-Tone Brightening"/>
        <s v="Tiktok"/>
        <s v="Mega Haul + Full Face Campaign"/>
        <s v="5- Glow Project"/>
        <s v="Black Friday et du Cyber Monday de SHEIN"/>
        <s v=" 💎SHEGLAM Partnership: SHEGLAM Liquid Fam Festival Glow Set"/>
        <s v="déc"/>
        <s v="👐️ SHEGLAM: Partnership Opportunity"/>
        <s v="1-PM Clay Stick"/>
        <s v="TT"/>
        <s v="Revitalift"/>
        <s v="poremizing quick clay stick mask "/>
        <s v="Poremizing Clay Stick Mask "/>
        <s v="hello kitty"/>
        <s v="février"/>
        <s v="Bold Booster Lip Combo Campaign"/>
        <s v="Big Cil mars"/>
        <s v="Blowdry"/>
        <s v="mars"/>
        <s v="THE Adventure Time X SHEGLAM COLLECTION"/>
        <s v="avril"/>
        <s v="Full SkinCare Routine in 1 Box"/>
        <s v="Double Cleansing"/>
        <s v="Big Cil avril"/>
        <s v="Lissage avril "/>
        <s v="Compléments alimentaire mai"/>
        <s v="Big Cil juin"/>
        <s v="Big Cil mai"/>
        <s v="Hyalu-Cica Sunserum "/>
        <s v="mai"/>
        <s v="Glow project "/>
        <s v="#1Bean Essence + Bean Cream + Centella Sun Cream routine "/>
        <s v="Tone-Brightening Ampoule"/>
        <s v="Glow Project"/>
        <s v="PM Stick "/>
        <s v="Lissage juin"/>
        <s v="skin care routine for beginners "/>
        <s v="Stick Mask"/>
        <s v="Beginner Routine"/>
        <s v="SKIN MASK CLAY"/>
        <s v="Tone Brightening"/>
        <s v="ad"/>
        <s v="UGC Trousse"/>
        <s v="Essentials home"/>
        <s v="UGC"/>
        <s v="Beach day "/>
        <s v="Festival outfitxtravel"/>
        <s v="Essentials home "/>
        <s v="#2 Bean Essence"/>
        <s v="Beach day"/>
        <s v="Bean Essence + Bean Cream + Centella Sun Cream routine"/>
        <s v="Bean Collagen Hydrogel Mask Pack"/>
        <s v="#3 Bean Collagen Hydrogel Mask Pack"/>
        <s v="Festival outfit "/>
        <s v="Collagen Cleansing Balm"/>
        <s v="Centella Sun Cream"/>
        <s v="Bean Cleansing Oil + Centella Cleansing Foam routine"/>
        <s v="Sunscreen Comparison"/>
        <s v="Soondy Centella Asiatica Essnece, Glacier Waster Hyaluronic Acid Serum, Bean Essence Layering"/>
        <s v="#4 Centella Sun Cream"/>
        <s v="Temps forts "/>
        <s v="skin care for beginners "/>
        <s v="sun serum real"/>
        <s v="lash idole"/>
        <s v="Masque"/>
        <s v="Tone brightening "/>
        <s v="PAS REÇU"/>
        <s v="Bean Essence"/>
        <s v=" Precision Sculpt"/>
        <s v="GLOW Project (Hyalu-Cica sun Serum + Probio-cica ampoule)"/>
        <s v="Halloween"/>
        <n v="3.0"/>
        <s v="SPF"/>
        <s v="LIP IDÔLE 💄"/>
        <s v="Juicy Tubes"/>
        <s v="Apres Collection Calendrier"/>
        <s v="Candy Glow"/>
        <s v="LASH IDÔLE"/>
        <s v="Saint Valentin"/>
        <s v="Produits Cultes"/>
        <s v="Best sellers"/>
        <s v="Loveshin &amp; Candy Glaze "/>
        <s v="2024 Black Friday Product Review"/>
        <s v="fev"/>
        <s v="creme solaire"/>
        <s v="Nice Work"/>
        <s v="Calendrier"/>
        <s v="Mascara Flutter Extension"/>
        <s v="Loveshine Plumping Lip Gloss"/>
        <s v="SHEIN Grosses Remises Day ! 🔥 Réglez votre rappel maintenant !"/>
        <s v="Fenty (Nice Work)"/>
        <s v="Hydra Jelly Pocket Lip Jam Campaign"/>
        <s v="Brumes"/>
        <s v="Pimple Patch"/>
      </sharedItems>
    </cacheField>
    <cacheField name=" Brouillon draft">
      <sharedItems containsDate="1" containsBlank="1" containsMixedTypes="1">
        <d v="2024-02-29T00:00:00Z"/>
        <d v="2024-03-14T00:00:00Z"/>
        <d v="2024-04-03T00:00:00Z"/>
        <d v="2024-04-05T00:00:00Z"/>
        <d v="2024-04-15T00:00:00Z"/>
        <d v="2024-04-19T00:00:00Z"/>
        <d v="2024-04-22T00:00:00Z"/>
        <d v="2024-04-26T00:00:00Z"/>
        <d v="2024-04-27T00:00:00Z"/>
        <d v="2024-04-28T00:00:00Z"/>
        <d v="2024-04-29T00:00:00Z"/>
        <d v="2024-05-06T00:00:00Z"/>
        <d v="2024-05-07T00:00:00Z"/>
        <d v="2024-05-08T00:00:00Z"/>
        <d v="2024-05-09T00:00:00Z"/>
        <d v="2024-05-12T00:00:00Z"/>
        <d v="2024-05-13T00:00:00Z"/>
        <d v="2024-05-15T00:00:00Z"/>
        <d v="2024-05-19T00:00:00Z"/>
        <d v="2024-05-24T00:00:00Z"/>
        <d v="2024-05-25T00:00:00Z"/>
        <d v="2024-05-26T00:00:00Z"/>
        <d v="2024-05-30T00:00:00Z"/>
        <d v="2024-06-12T00:00:00Z"/>
        <d v="2024-06-13T00:00:00Z"/>
        <d v="2024-06-14T00:00:00Z"/>
        <d v="2024-06-15T00:00:00Z"/>
        <d v="2024-06-18T00:00:00Z"/>
        <d v="2024-06-16T00:00:00Z"/>
        <d v="2024-06-17T00:00:00Z"/>
        <d v="2024-06-19T00:00:00Z"/>
        <d v="2024-06-20T00:00:00Z"/>
        <d v="2024-06-22T00:00:00Z"/>
        <d v="2024-06-23T00:00:00Z"/>
        <d v="2024-06-24T00:00:00Z"/>
        <d v="2024-06-25T00:00:00Z"/>
        <d v="2024-06-29T00:00:00Z"/>
        <d v="2024-07-02T00:00:00Z"/>
        <d v="2024-07-06T00:00:00Z"/>
        <d v="2024-07-07T00:00:00Z"/>
        <d v="2024-07-08T00:00:00Z"/>
        <d v="2024-07-10T00:00:00Z"/>
        <d v="2024-07-13T00:00:00Z"/>
        <d v="2024-07-17T00:00:00Z"/>
        <d v="2024-07-18T00:00:00Z"/>
        <d v="2024-07-19T00:00:00Z"/>
        <d v="2024-07-21T00:00:00Z"/>
        <d v="2024-07-22T00:00:00Z"/>
        <d v="2024-07-27T00:00:00Z"/>
        <d v="2024-07-29T00:00:00Z"/>
        <d v="2024-07-28T00:00:00Z"/>
        <d v="2024-07-30T00:00:00Z"/>
        <m/>
        <d v="2024-08-02T00:00:00Z"/>
        <d v="2024-08-07T00:00:00Z"/>
        <d v="2024-08-08T00:00:00Z"/>
        <d v="2024-08-11T00:00:00Z"/>
        <d v="2024-08-13T00:00:00Z"/>
        <d v="2024-08-14T00:00:00Z"/>
        <d v="2024-08-16T00:00:00Z"/>
        <d v="2024-08-18T00:00:00Z"/>
        <d v="2024-08-19T00:00:00Z"/>
        <d v="2024-08-20T00:00:00Z"/>
        <d v="2024-08-21T00:00:00Z"/>
        <d v="2024-08-22T00:00:00Z"/>
        <d v="2024-08-25T00:00:00Z"/>
        <d v="2024-08-28T00:00:00Z"/>
        <d v="2024-08-29T00:00:00Z"/>
        <d v="2024-08-30T00:00:00Z"/>
        <d v="2024-09-01T00:00:00Z"/>
        <d v="2024-09-02T00:00:00Z"/>
        <d v="2024-09-04T00:00:00Z"/>
        <d v="2024-09-08T00:00:00Z"/>
        <d v="2024-09-10T00:00:00Z"/>
        <d v="2024-09-12T00:00:00Z"/>
        <d v="2024-08-23T00:00:00Z"/>
        <d v="2024-09-13T00:00:00Z"/>
        <d v="2024-09-14T00:00:00Z"/>
        <d v="2024-09-16T00:00:00Z"/>
        <d v="2024-09-19T00:00:00Z"/>
        <d v="2024-09-22T00:00:00Z"/>
        <d v="2025-06-10T00:00:00Z"/>
        <d v="2024-09-23T00:00:00Z"/>
        <d v="2024-09-24T00:00:00Z"/>
        <d v="2024-09-28T00:00:00Z"/>
        <d v="2024-09-29T00:00:00Z"/>
        <d v="2024-10-06T00:00:00Z"/>
        <d v="2024-10-09T00:00:00Z"/>
        <d v="2024-10-07T00:00:00Z"/>
        <d v="2024-10-11T00:00:00Z"/>
        <d v="2024-10-16T00:00:00Z"/>
        <d v="2024-10-15T00:00:00Z"/>
        <d v="2024-09-21T00:00:00Z"/>
        <d v="2024-10-17T00:00:00Z"/>
        <d v="2024-10-18T00:00:00Z"/>
        <d v="2024-10-23T00:00:00Z"/>
        <d v="2025-06-11T00:00:00Z"/>
        <d v="2024-10-25T00:00:00Z"/>
        <d v="2024-10-27T00:00:00Z"/>
        <d v="2024-11-02T00:00:00Z"/>
        <d v="2024-11-03T00:00:00Z"/>
        <d v="2024-10-28T00:00:00Z"/>
        <d v="2024-10-30T00:00:00Z"/>
        <d v="2024-11-04T00:00:00Z"/>
        <d v="2024-11-05T00:00:00Z"/>
        <d v="2025-06-15T00:00:00Z"/>
        <d v="2024-10-24T00:00:00Z"/>
        <d v="2024-11-07T00:00:00Z"/>
        <d v="2024-11-10T00:00:00Z"/>
        <d v="2024-11-12T00:00:00Z"/>
        <d v="2024-11-06T00:00:00Z"/>
        <d v="2024-11-17T00:00:00Z"/>
        <d v="2024-11-11T00:00:00Z"/>
        <d v="2024-11-18T00:00:00Z"/>
        <d v="2024-11-14T00:00:00Z"/>
        <d v="2024-11-15T00:00:00Z"/>
        <d v="2024-11-19T00:00:00Z"/>
        <d v="2024-11-22T00:00:00Z"/>
        <d v="2024-11-20T00:00:00Z"/>
        <d v="2024-11-21T00:00:00Z"/>
        <d v="2024-11-24T00:00:00Z"/>
        <d v="2024-11-25T00:00:00Z"/>
        <d v="2024-11-28T00:00:00Z"/>
        <d v="2024-11-26T00:00:00Z"/>
        <d v="2024-11-27T00:00:00Z"/>
        <d v="2024-12-11T00:00:00Z"/>
        <s v="ANNULÉ NE PAS SUPP"/>
        <d v="2024-12-14T00:00:00Z"/>
        <d v="2024-12-15T00:00:00Z"/>
        <d v="2024-11-29T00:00:00Z"/>
        <d v="2024-12-03T00:00:00Z"/>
        <d v="2024-12-16T00:00:00Z"/>
        <d v="2025-02-11T00:00:00Z"/>
        <d v="2024-12-19T00:00:00Z"/>
        <d v="2024-12-20T00:00:00Z"/>
        <d v="2024-12-22T00:00:00Z"/>
        <d v="2025-01-03T00:00:00Z"/>
        <d v="2024-12-25T00:00:00Z"/>
        <d v="2024-12-27T00:00:00Z"/>
        <d v="2025-01-20T00:00:00Z"/>
        <d v="2024-12-12T00:00:00Z"/>
        <d v="2025-01-02T00:00:00Z"/>
        <d v="2025-01-10T00:00:00Z"/>
        <d v="2025-03-07T00:00:00Z"/>
        <d v="2025-01-21T00:00:00Z"/>
        <d v="2025-01-24T00:00:00Z"/>
        <d v="2025-01-26T00:00:00Z"/>
        <d v="2025-01-28T00:00:00Z"/>
        <d v="2025-01-30T00:00:00Z"/>
        <d v="2025-01-29T00:00:00Z"/>
        <d v="2025-02-05T00:00:00Z"/>
        <d v="2025-01-31T00:00:00Z"/>
        <d v="2025-02-03T00:00:00Z"/>
        <d v="2025-02-06T00:00:00Z"/>
        <d v="2025-02-13T00:00:00Z"/>
        <d v="2025-02-12T00:00:00Z"/>
        <d v="2025-02-14T00:00:00Z"/>
        <d v="2025-02-15T00:00:00Z"/>
        <d v="2025-02-16T00:00:00Z"/>
        <d v="2025-02-20T00:00:00Z"/>
        <d v="2025-02-19T00:00:00Z"/>
        <d v="2025-02-21T00:00:00Z"/>
        <d v="2025-02-23T00:00:00Z"/>
        <d v="2025-02-27T00:00:00Z"/>
        <d v="2025-02-24T00:00:00Z"/>
        <d v="2025-03-01T00:00:00Z"/>
        <d v="2025-02-25T00:00:00Z"/>
        <d v="2025-03-12T00:00:00Z"/>
        <d v="2025-03-02T00:00:00Z"/>
        <d v="2025-02-28T00:00:00Z"/>
        <d v="2025-03-05T00:00:00Z"/>
        <d v="2025-03-08T00:00:00Z"/>
        <d v="2025-04-16T00:00:00Z"/>
        <d v="2025-03-09T00:00:00Z"/>
        <d v="2025-03-10T00:00:00Z"/>
        <d v="2025-03-11T00:00:00Z"/>
        <d v="2025-03-14T00:00:00Z"/>
        <d v="2025-04-22T00:00:00Z"/>
        <d v="2025-03-16T00:00:00Z"/>
        <d v="2025-03-17T00:00:00Z"/>
        <d v="2025-03-13T00:00:00Z"/>
        <d v="2025-03-18T00:00:00Z"/>
        <d v="2025-03-23T00:00:00Z"/>
        <d v="2025-03-24T00:00:00Z"/>
        <d v="2025-04-20T00:00:00Z"/>
        <d v="2025-03-26T00:00:00Z"/>
        <d v="2025-03-19T00:00:00Z"/>
        <d v="2025-03-20T00:00:00Z"/>
        <d v="2025-04-01T00:00:00Z"/>
        <d v="2025-03-27T00:00:00Z"/>
        <d v="2025-03-30T00:00:00Z"/>
        <d v="2025-04-02T00:00:00Z"/>
        <d v="2025-04-04T00:00:00Z"/>
        <d v="2025-04-03T00:00:00Z"/>
        <d v="2025-04-10T00:00:00Z"/>
        <d v="2025-04-11T00:00:00Z"/>
        <d v="2025-04-14T00:00:00Z"/>
        <d v="2025-05-08T00:00:00Z"/>
        <d v="2025-04-13T00:00:00Z"/>
        <d v="2025-04-15T00:00:00Z"/>
        <d v="2025-04-17T00:00:00Z"/>
        <d v="2025-04-18T00:00:00Z"/>
        <d v="2025-04-19T00:00:00Z"/>
        <d v="2025-05-26T00:00:00Z"/>
        <d v="2025-04-23T00:00:00Z"/>
        <d v="2025-04-24T00:00:00Z"/>
        <d v="2025-04-26T00:00:00Z"/>
        <d v="2025-04-27T00:00:00Z"/>
        <d v="2025-04-28T00:00:00Z"/>
        <d v="2025-04-29T00:00:00Z"/>
        <d v="2025-05-04T00:00:00Z"/>
        <d v="2025-04-30T00:00:00Z"/>
        <d v="2025-05-01T00:00:00Z"/>
        <d v="2025-05-06T00:00:00Z"/>
        <d v="2025-05-07T00:00:00Z"/>
        <d v="2025-05-03T00:00:00Z"/>
        <d v="2025-05-05T00:00:00Z"/>
        <d v="2025-06-29T00:00:00Z"/>
        <d v="2025-06-30T00:00:00Z"/>
        <d v="2025-05-14T00:00:00Z"/>
        <d v="2025-05-09T00:00:00Z"/>
        <d v="2025-05-13T00:00:00Z"/>
        <d v="2025-07-03T00:00:00Z"/>
        <d v="2025-05-17T00:00:00Z"/>
        <d v="2025-05-15T00:00:00Z"/>
        <d v="2025-05-16T00:00:00Z"/>
        <d v="2025-05-21T00:00:00Z"/>
        <d v="2025-05-22T00:00:00Z"/>
        <d v="2025-05-24T00:00:00Z"/>
        <d v="2025-07-07T00:00:00Z"/>
        <d v="2025-07-15T00:00:00Z"/>
        <d v="2025-06-01T00:00:00Z"/>
        <d v="2025-06-02T00:00:00Z"/>
        <d v="2025-05-28T00:00:00Z"/>
        <d v="2025-05-30T00:00:00Z"/>
        <d v="2025-06-05T00:00:00Z"/>
        <d v="2025-06-08T00:00:00Z"/>
        <d v="2025-06-12T00:00:00Z"/>
        <d v="2024-12-04T00:00:00Z"/>
        <d v="2025-06-13T00:00:00Z"/>
        <d v="2025-06-24T00:00:00Z"/>
        <d v="2025-06-17T00:00:00Z"/>
        <d v="2025-06-19T00:00:00Z"/>
        <d v="2025-06-20T00:00:00Z"/>
        <d v="2025-06-22T00:00:00Z"/>
        <d v="2025-06-25T00:00:00Z"/>
        <d v="2025-05-27T00:00:00Z"/>
        <d v="2025-06-07T00:00:00Z"/>
        <d v="2025-06-27T00:00:00Z"/>
        <d v="2025-07-02T00:00:00Z"/>
        <d v="2025-07-01T00:00:00Z"/>
        <d v="2025-07-24T00:00:00Z"/>
        <d v="2025-02-26T00:00:00Z"/>
        <d v="2025-01-11T00:00:00Z"/>
        <d v="2025-06-21T00:00:00Z"/>
        <d v="2025-07-19T00:00:00Z"/>
        <d v="2025-06-04T00:00:00Z"/>
        <d v="2025-07-08T00:00:00Z"/>
        <d v="2025-07-05T00:00:00Z"/>
        <d v="2025-07-06T00:00:00Z"/>
        <d v="2025-07-10T00:00:00Z"/>
        <d v="2025-07-04T00:00:00Z"/>
        <d v="2025-07-09T00:00:00Z"/>
        <d v="2025-07-14T00:00:00Z"/>
        <d v="2025-07-11T00:00:00Z"/>
        <d v="2025-07-13T00:00:00Z"/>
        <d v="2025-07-17T00:00:00Z"/>
        <d v="2025-07-23T00:00:00Z"/>
        <d v="2025-07-18T00:00:00Z"/>
        <d v="2025-07-20T00:00:00Z"/>
        <d v="2025-07-22T00:00:00Z"/>
        <d v="2025-07-25T00:00:00Z"/>
        <d v="2025-08-03T00:00:00Z"/>
        <s v=" "/>
        <d v="2025-07-26T00:00:00Z"/>
        <d v="2025-07-27T00:00:00Z"/>
        <d v="2025-07-28T00:00:00Z"/>
        <d v="2025-07-29T00:00:00Z"/>
        <d v="2025-06-26T00:00:00Z"/>
      </sharedItems>
    </cacheField>
    <cacheField name="Date Début">
      <sharedItems containsDate="1" containsBlank="1" containsMixedTypes="1">
        <m/>
        <d v="2024-03-19T00:00:00Z"/>
        <d v="2024-05-14T00:00:00Z"/>
        <d v="2024-05-25T00:00:00Z"/>
        <d v="2024-05-27T00:00:00Z"/>
        <d v="2024-06-10T00:00:00Z"/>
        <d v="2024-06-18T00:00:00Z"/>
        <d v="2024-06-19T00:00:00Z"/>
        <d v="2024-06-16T00:00:00Z"/>
        <d v="2024-06-24T00:00:00Z"/>
        <d v="2024-07-06T00:00:00Z"/>
        <d v="2024-06-17T00:00:00Z"/>
        <d v="2024-07-01T00:00:00Z"/>
        <d v="2024-07-10T00:00:00Z"/>
        <d v="2024-06-25T00:00:00Z"/>
        <d v="2024-07-19T00:00:00Z"/>
        <d v="2024-08-18T00:00:00Z"/>
        <d v="2024-09-02T00:00:00Z"/>
        <d v="2024-09-16T00:00:00Z"/>
        <d v="2024-10-20T00:00:00Z"/>
        <d v="2025-05-01T00:00:00Z"/>
        <d v="2024-11-01T00:00:00Z"/>
        <d v="2024-11-13T00:00:00Z"/>
        <d v="2024-11-10T00:00:00Z"/>
        <d v="2024-12-10T00:00:00Z"/>
        <d v="2025-01-31T00:00:00Z"/>
        <d v="2025-02-03T00:00:00Z"/>
        <d v="2025-02-13T00:00:00Z"/>
        <d v="2025-01-23T00:00:00Z"/>
        <d v="2025-03-01T00:00:00Z"/>
        <d v="2025-02-28T00:00:00Z"/>
        <d v="2025-02-15T00:00:00Z"/>
        <d v="2025-05-21T00:00:00Z"/>
        <d v="2025-06-05T00:00:00Z"/>
        <d v="2025-07-16T00:00:00Z"/>
        <d v="2025-06-22T00:00:00Z"/>
        <d v="2025-07-01T00:00:00Z"/>
        <s v=" "/>
        <d v="2025-01-09T00:00:00Z"/>
        <d v="2024-09-13T00:00:00Z"/>
        <d v="2024-10-16T00:00:00Z"/>
        <d v="2024-11-18T00:00:00Z"/>
        <d v="2024-01-11T00:00:00Z"/>
        <d v="2024-12-06T00:00:00Z"/>
        <d v="2025-02-27T00:00:00Z"/>
        <d v="2025-04-08T00:00:00Z"/>
        <d v="2025-01-27T00:00:00Z"/>
        <d v="2024-11-11T00:00:00Z"/>
        <d v="2024-11-28T00:00:00Z"/>
        <d v="2024-12-21T00:00:00Z"/>
        <d v="2025-01-13T00:00:00Z"/>
        <d v="2025-02-11T00:00:00Z"/>
        <d v="2025-03-06T00:00:00Z"/>
        <d v="2024-04-01T00:00:00Z"/>
        <d v="2024-04-08T00:00:00Z"/>
        <d v="2024-02-29T00:00:00Z"/>
        <d v="2024-04-18T00:00:00Z"/>
        <d v="2024-06-07T00:00:00Z"/>
        <d v="2024-03-21T00:00:00Z"/>
        <d v="2024-06-20T00:00:00Z"/>
        <d v="2024-07-08T00:00:00Z"/>
        <d v="2024-07-29T00:00:00Z"/>
        <d v="2024-09-01T00:00:00Z"/>
        <d v="2024-09-12T00:00:00Z"/>
        <d v="2024-09-23T00:00:00Z"/>
        <d v="2024-09-28T00:00:00Z"/>
        <d v="2024-09-30T00:00:00Z"/>
        <d v="2024-10-01T00:00:00Z"/>
        <d v="2024-10-12T00:00:00Z"/>
        <d v="2024-11-06T00:00:00Z"/>
        <d v="2024-12-04T00:00:00Z"/>
        <d v="2025-01-16T00:00:00Z"/>
        <d v="2025-01-20T00:00:00Z"/>
        <d v="2024-04-15T00:00:00Z"/>
        <d v="2024-03-26T00:00:00Z"/>
        <d v="2024-04-20T00:00:00Z"/>
        <d v="2024-08-26T00:00:00Z"/>
        <d v="2024-02-28T00:00:00Z"/>
        <d v="2024-04-05T00:00:00Z"/>
        <d v="2024-09-26T00:00:00Z"/>
        <d v="2024-03-01T00:00:00Z"/>
        <d v="2024-10-24T00:00:00Z"/>
        <d v="2024-08-29T00:00:00Z"/>
        <d v="2024-11-15T00:00:00Z"/>
        <d v="2025-02-25T00:00:00Z"/>
        <d v="2024-09-25T00:00:00Z"/>
        <d v="2024-08-06T00:00:00Z"/>
        <d v="2024-08-09T00:00:00Z"/>
        <d v="2024-12-12T00:00:00Z"/>
        <d v="2025-03-25T00:00:00Z"/>
        <d v="2024-07-27T00:00:00Z"/>
        <d v="2024-04-13T00:00:00Z"/>
        <d v="2023-03-23T00:00:00Z"/>
        <d v="2024-08-16T00:00:00Z"/>
        <d v="2024-11-04T00:00:00Z"/>
        <d v="2024-10-29T00:00:00Z"/>
        <d v="2024-01-06T00:00:00Z"/>
        <d v="2025-01-24T00:00:00Z"/>
        <d v="2025-01-29T00:00:00Z"/>
        <d v="2025-02-05T00:00:00Z"/>
        <d v="2024-03-20T00:00:00Z"/>
        <d v="2024-09-14T00:00:00Z"/>
        <d v="2024-10-10T00:00:00Z"/>
        <d v="2024-10-02T00:00:00Z"/>
        <d v="2024-06-14T00:00:00Z"/>
      </sharedItems>
    </cacheField>
    <cacheField name="Date Fin">
      <sharedItems containsDate="1" containsBlank="1" containsMixedTypes="1">
        <d v="2024-03-08T00:00:00Z"/>
        <d v="2024-03-19T00:00:00Z"/>
        <m/>
        <d v="2024-04-06T00:00:00Z"/>
        <d v="2024-04-09T00:00:00Z"/>
        <d v="2024-04-19T00:00:00Z"/>
        <d v="2024-04-22T00:00:00Z"/>
        <d v="2024-04-18T00:00:00Z"/>
        <d v="2024-04-26T00:00:00Z"/>
        <d v="2024-05-02T00:00:00Z"/>
        <d v="2024-05-01T00:00:00Z"/>
        <d v="2024-05-04T00:00:00Z"/>
        <d v="2024-05-08T00:00:00Z"/>
        <d v="2024-05-07T00:00:00Z"/>
        <d v="2024-05-10T00:00:00Z"/>
        <d v="2024-05-13T00:00:00Z"/>
        <d v="2024-05-18T00:00:00Z"/>
        <d v="2024-05-14T00:00:00Z"/>
        <d v="2024-05-17T00:00:00Z"/>
        <d v="2024-05-23T00:00:00Z"/>
        <d v="2024-05-27T00:00:00Z"/>
        <d v="2024-05-29T00:00:00Z"/>
        <d v="2024-05-30T00:00:00Z"/>
        <d v="2024-05-31T00:00:00Z"/>
        <d v="2024-06-16T00:00:00Z"/>
        <d v="2024-06-17T00:00:00Z"/>
        <d v="2024-06-20T00:00:00Z"/>
        <d v="2024-06-22T00:00:00Z"/>
        <d v="2024-06-19T00:00:00Z"/>
        <d v="2024-06-23T00:00:00Z"/>
        <d v="2024-06-25T00:00:00Z"/>
        <d v="2024-06-24T00:00:00Z"/>
        <d v="2024-06-29T00:00:00Z"/>
        <d v="2024-07-06T00:00:00Z"/>
        <d v="2024-06-28T00:00:00Z"/>
        <d v="2024-07-01T00:00:00Z"/>
        <d v="2024-06-26T00:00:00Z"/>
        <d v="2024-06-30T00:00:00Z"/>
        <d v="2024-07-10T00:00:00Z"/>
        <d v="2024-07-07T00:00:00Z"/>
        <d v="2024-07-14T00:00:00Z"/>
        <d v="2024-07-12T00:00:00Z"/>
        <d v="2024-07-23T00:00:00Z"/>
        <d v="2024-07-24T00:00:00Z"/>
        <d v="2024-07-22T00:00:00Z"/>
        <d v="2024-07-21T00:00:00Z"/>
        <d v="2024-07-25T00:00:00Z"/>
        <d v="2024-09-06T00:00:00Z"/>
        <d v="2024-07-26T00:00:00Z"/>
        <d v="2024-08-01T00:00:00Z"/>
        <d v="2024-09-08T00:00:00Z"/>
        <d v="2024-08-06T00:00:00Z"/>
        <d v="2024-08-03T00:00:00Z"/>
        <d v="2024-08-02T00:00:00Z"/>
        <d v="2024-07-20T00:00:00Z"/>
        <d v="2024-07-30T00:00:00Z"/>
        <d v="2024-08-09T00:00:00Z"/>
        <d v="2024-08-16T00:00:00Z"/>
        <d v="2024-08-08T00:00:00Z"/>
        <d v="2024-08-15T00:00:00Z"/>
        <d v="2024-09-07T00:00:00Z"/>
        <d v="2024-08-22T00:00:00Z"/>
        <d v="2024-08-25T00:00:00Z"/>
        <d v="2024-08-18T00:00:00Z"/>
        <d v="2024-08-21T00:00:00Z"/>
        <d v="2024-08-20T00:00:00Z"/>
        <d v="2024-08-23T00:00:00Z"/>
        <d v="2024-09-02T00:00:00Z"/>
        <d v="2024-08-28T00:00:00Z"/>
        <d v="2024-08-24T00:00:00Z"/>
        <d v="2024-08-30T00:00:00Z"/>
        <d v="2024-09-13T00:00:00Z"/>
        <d v="2024-09-18T00:00:00Z"/>
        <d v="2024-09-19T00:00:00Z"/>
        <d v="2024-09-09T00:00:00Z"/>
        <d v="2024-10-02T00:00:00Z"/>
        <d v="2024-10-11T00:00:00Z"/>
        <d v="2024-09-23T00:00:00Z"/>
        <d v="2024-09-21T00:00:00Z"/>
        <d v="2024-10-06T00:00:00Z"/>
        <d v="2024-09-20T00:00:00Z"/>
        <d v="2024-08-10T00:00:00Z"/>
        <d v="2024-09-25T00:00:00Z"/>
        <d v="2025-06-15T00:00:00Z"/>
        <d v="2024-09-30T00:00:00Z"/>
        <d v="2024-09-26T00:00:00Z"/>
        <d v="2024-10-03T00:00:00Z"/>
        <d v="2024-11-02T00:00:00Z"/>
        <d v="2024-11-15T00:00:00Z"/>
        <d v="2024-11-01T00:00:00Z"/>
        <d v="2024-11-08T00:00:00Z"/>
        <d v="2024-10-27T00:00:00Z"/>
        <d v="2024-10-26T00:00:00Z"/>
        <d v="2024-10-28T00:00:00Z"/>
        <d v="2025-06-14T00:00:00Z"/>
        <d v="2024-11-05T00:00:00Z"/>
        <d v="2024-11-16T00:00:00Z"/>
        <d v="2024-11-10T00:00:00Z"/>
        <d v="2024-11-12T00:00:00Z"/>
        <d v="2024-11-11T00:00:00Z"/>
        <d v="2025-06-17T00:00:00Z"/>
        <d v="2024-10-22T00:00:00Z"/>
        <d v="2024-11-07T00:00:00Z"/>
        <d v="2025-02-10T00:00:00Z"/>
        <d v="2024-11-09T00:00:00Z"/>
        <d v="2024-11-29T00:00:00Z"/>
        <d v="2024-12-03T00:00:00Z"/>
        <d v="2024-11-19T00:00:00Z"/>
        <d v="2024-11-30T00:00:00Z"/>
        <d v="2024-11-20T00:00:00Z"/>
        <d v="2024-11-27T00:00:00Z"/>
        <d v="2024-11-22T00:00:00Z"/>
        <d v="2024-11-26T00:00:00Z"/>
        <d v="2024-12-02T00:00:00Z"/>
        <d v="2024-12-09T00:00:00Z"/>
        <d v="2024-11-28T00:00:00Z"/>
        <d v="2024-12-15T00:00:00Z"/>
        <d v="2024-12-17T00:00:00Z"/>
        <d v="2024-12-01T00:00:00Z"/>
        <d v="2024-12-10T00:00:00Z"/>
        <d v="2025-03-05T00:00:00Z"/>
        <d v="2024-12-25T00:00:00Z"/>
        <d v="2024-12-19T00:00:00Z"/>
        <d v="2024-12-29T00:00:00Z"/>
        <d v="2025-01-03T00:00:00Z"/>
        <d v="2025-01-09T00:00:00Z"/>
        <d v="2025-01-10T00:00:00Z"/>
        <d v="2025-01-23T00:00:00Z"/>
        <d v="2025-01-24T00:00:00Z"/>
        <d v="2025-01-25T00:00:00Z"/>
        <d v="2025-01-05T00:00:00Z"/>
        <d v="2025-01-20T00:00:00Z"/>
        <d v="2025-01-13T00:00:00Z"/>
        <d v="2025-03-10T00:00:00Z"/>
        <d v="2025-01-29T00:00:00Z"/>
        <d v="2025-01-15T00:00:00Z"/>
        <d v="2025-01-30T00:00:00Z"/>
        <d v="2025-01-22T00:00:00Z"/>
        <d v="2025-02-07T00:00:00Z"/>
        <d v="2025-02-19T00:00:00Z"/>
        <d v="2025-01-31T00:00:00Z"/>
        <d v="2025-02-04T00:00:00Z"/>
        <d v="2025-02-05T00:00:00Z"/>
        <d v="2025-02-14T00:00:00Z"/>
        <d v="2025-02-08T00:00:00Z"/>
        <d v="2025-02-16T00:00:00Z"/>
        <d v="2025-02-20T00:00:00Z"/>
        <d v="2025-02-21T00:00:00Z"/>
        <d v="2025-02-26T00:00:00Z"/>
        <d v="2025-02-27T00:00:00Z"/>
        <d v="2025-02-22T00:00:00Z"/>
        <d v="2025-02-25T00:00:00Z"/>
        <d v="2025-02-13T00:00:00Z"/>
        <d v="2025-03-31T00:00:00Z"/>
        <d v="2025-03-04T00:00:00Z"/>
        <d v="2025-03-15T00:00:00Z"/>
        <d v="2025-03-12T00:00:00Z"/>
        <d v="2025-04-21T00:00:00Z"/>
        <d v="2025-03-13T00:00:00Z"/>
        <d v="2025-03-16T00:00:00Z"/>
        <d v="2025-03-18T00:00:00Z"/>
        <d v="2025-03-22T00:00:00Z"/>
        <d v="2025-04-23T00:00:00Z"/>
        <d v="2025-03-29T00:00:00Z"/>
        <d v="2025-03-24T00:00:00Z"/>
        <d v="2025-03-14T00:00:00Z"/>
        <d v="2025-03-19T00:00:00Z"/>
        <d v="2025-03-30T00:00:00Z"/>
        <d v="2025-04-26T00:00:00Z"/>
        <d v="2025-03-21T00:00:00Z"/>
        <d v="2025-05-24T00:00:00Z"/>
        <d v="2025-04-01T00:00:00Z"/>
        <d v="2025-04-04T00:00:00Z"/>
        <d v="2025-03-28T00:00:00Z"/>
        <d v="2025-04-06T00:00:00Z"/>
        <d v="2025-04-07T00:00:00Z"/>
        <d v="2025-02-28T00:00:00Z"/>
        <d v="2025-01-14T00:00:00Z"/>
        <d v="2025-04-10T00:00:00Z"/>
        <d v="2025-03-26T00:00:00Z"/>
        <d v="2025-04-09T00:00:00Z"/>
        <d v="2025-04-12T00:00:00Z"/>
        <d v="2025-04-16T00:00:00Z"/>
        <d v="2025-04-19T00:00:00Z"/>
        <d v="2025-05-09T00:00:00Z"/>
        <d v="2025-04-18T00:00:00Z"/>
        <d v="2025-04-25T00:00:00Z"/>
        <d v="2025-04-24T00:00:00Z"/>
        <d v="2025-04-27T00:00:00Z"/>
        <d v="2025-05-19T00:00:00Z"/>
        <d v="2025-05-30T00:00:00Z"/>
        <d v="2025-04-29T00:00:00Z"/>
        <d v="2025-05-01T00:00:00Z"/>
        <d v="2025-04-30T00:00:00Z"/>
        <d v="2025-05-31T00:00:00Z"/>
        <s v="31/04/2025"/>
        <d v="2025-03-06T00:00:00Z"/>
        <d v="2025-05-04T00:00:00Z"/>
        <d v="2025-05-05T00:00:00Z"/>
        <d v="2025-05-02T00:00:00Z"/>
        <d v="2025-05-14T00:00:00Z"/>
        <d v="2025-05-23T00:00:00Z"/>
        <d v="2025-05-08T00:00:00Z"/>
        <d v="2025-05-21T00:00:00Z"/>
        <d v="2025-05-10T00:00:00Z"/>
        <d v="2025-05-16T00:00:00Z"/>
        <d v="2025-05-25T00:00:00Z"/>
        <d v="2025-06-22T00:00:00Z"/>
        <d v="2025-06-30T00:00:00Z"/>
        <d v="2025-05-20T00:00:00Z"/>
        <d v="2025-05-15T00:00:00Z"/>
        <d v="2025-05-17T00:00:00Z"/>
        <d v="2025-07-08T00:00:00Z"/>
        <d v="2025-05-29T00:00:00Z"/>
        <d v="2025-05-22T00:00:00Z"/>
        <d v="2025-07-13T00:00:00Z"/>
        <d v="2025-07-16T00:00:00Z"/>
        <d v="2025-01-17T00:00:00Z"/>
        <d v="2025-06-10T00:00:00Z"/>
        <d v="2025-06-04T00:00:00Z"/>
        <d v="2025-06-05T00:00:00Z"/>
        <d v="2025-02-11T00:00:00Z"/>
        <d v="2025-06-11T00:00:00Z"/>
        <d v="2025-06-13T00:00:00Z"/>
        <d v="2025-04-22T00:00:00Z"/>
        <d v="2025-06-25T00:00:00Z"/>
        <d v="2025-06-18T00:00:00Z"/>
        <d v="2025-06-26T00:00:00Z"/>
        <d v="2025-06-24T00:00:00Z"/>
        <d v="2025-06-29T00:00:00Z"/>
        <d v="2025-07-03T00:00:00Z"/>
        <d v="2025-06-20T00:00:00Z"/>
        <d v="2025-06-28T00:00:00Z"/>
        <d v="2025-07-26T00:00:00Z"/>
        <s v="31/06/2025"/>
        <d v="2025-07-07T00:00:00Z"/>
        <d v="2025-07-18T00:00:00Z"/>
        <d v="2025-06-27T00:00:00Z"/>
        <d v="2025-07-11T00:00:00Z"/>
        <d v="2025-07-04T00:00:00Z"/>
        <d v="2025-07-17T00:00:00Z"/>
        <d v="2025-07-05T00:00:00Z"/>
        <d v="2024-07-13T00:00:00Z"/>
        <d v="2025-07-10T00:00:00Z"/>
        <d v="2025-07-14T00:00:00Z"/>
        <d v="2025-07-19T00:00:00Z"/>
        <d v="2025-07-20T00:00:00Z"/>
        <d v="2025-07-22T00:00:00Z"/>
        <d v="2025-07-27T00:00:00Z"/>
        <d v="2025-07-23T00:00:00Z"/>
        <d v="2025-07-25T00:00:00Z"/>
        <d v="2025-08-15T00:00:00Z"/>
        <d v="2025-07-31T00:00:00Z"/>
        <d v="2025-07-28T00:00:00Z"/>
        <d v="2025-07-29T00:00:00Z"/>
        <d v="2025-08-10T00:00:00Z"/>
        <d v="2025-06-21T00:00:00Z"/>
        <d v="2025-01-28T00:00:00Z"/>
        <d v="2025-06-19T00:00:00Z"/>
        <d v="2024-10-04T00:00:00Z"/>
        <d v="2024-11-25T00:00:00Z"/>
        <d v="2025-08-07T00:00:00Z"/>
        <d v="2025-06-09T00:00:00Z"/>
        <d v="2024-10-10T00:00:00Z"/>
        <d v="2024-10-25T00:00:00Z"/>
        <d v="2024-10-30T00:00:00Z"/>
        <d v="2024-12-24T00:00:00Z"/>
        <d v="2024-07-08T00:00:00Z"/>
        <d v="2025-03-20T00:00:00Z"/>
        <d v="2025-04-28T00:00:00Z"/>
        <d v="2024-09-22T00:00:00Z"/>
        <d v="2024-12-22T00:00:00Z"/>
        <d v="2025-01-11T00:00:00Z"/>
        <d v="2025-03-17T00:00:00Z"/>
        <d v="2024-05-09T00:00:00Z"/>
        <d v="2024-12-28T00:00:00Z"/>
        <d v="2025-01-04T00:00:00Z"/>
        <d v="2024-04-14T00:00:00Z"/>
        <d v="2024-04-29T00:00:00Z"/>
        <d v="2024-05-11T00:00:00Z"/>
        <d v="2024-05-28T00:00:00Z"/>
        <d v="2024-06-02T00:00:00Z"/>
        <d v="2024-06-05T00:00:00Z"/>
        <d v="2024-06-07T00:00:00Z"/>
        <d v="2024-06-21T00:00:00Z"/>
        <d v="2024-07-03T00:00:00Z"/>
        <d v="2024-07-15T00:00:00Z"/>
        <d v="2024-07-28T00:00:00Z"/>
        <d v="2024-09-16T00:00:00Z"/>
        <d v="2024-09-27T00:00:00Z"/>
        <d v="2024-10-07T00:00:00Z"/>
        <d v="2024-10-20T00:00:00Z"/>
        <d v="2024-10-21T00:00:00Z"/>
        <d v="2025-02-06T00:00:00Z"/>
        <d v="2025-02-17T00:00:00Z"/>
        <d v="2025-02-23T00:00:00Z"/>
        <d v="2024-03-01T00:00:00Z"/>
        <d v="2024-12-12T00:00:00Z"/>
        <d v="2024-04-07T00:00:00Z"/>
        <d v="2024-04-11T00:00:00Z"/>
        <d v="2024-04-21T00:00:00Z"/>
        <d v="2024-05-19T00:00:00Z"/>
        <d v="2024-05-20T00:00:00Z"/>
        <d v="2024-08-11T00:00:00Z"/>
        <d v="2024-10-15T00:00:00Z"/>
        <d v="2025-02-15T00:00:00Z"/>
        <d v="2025-03-08T00:00:00Z"/>
        <d v="2024-07-16T00:00:00Z"/>
        <d v="2024-09-15T00:00:00Z"/>
        <d v="2024-10-17T00:00:00Z"/>
        <d v="2024-12-16T00:00:00Z"/>
        <d v="2024-11-14T00:00:00Z"/>
        <d v="2024-10-05T00:00:00Z"/>
        <d v="2025-03-11T00:00:00Z"/>
        <d v="2024-08-07T00:00:00Z"/>
        <d v="2024-08-26T00:00:00Z"/>
        <d v="2024-04-28T00:00:00Z"/>
        <d v="2024-05-03T00:00:00Z"/>
        <d v="2024-05-25T00:00:00Z"/>
        <d v="2025-01-02T00:00:00Z"/>
        <d v="2024-08-12T00:00:00Z"/>
        <d v="2024-04-30T00:00:00Z"/>
        <d v="2024-05-12T00:00:00Z"/>
        <d v="2024-04-10T00:00:00Z"/>
        <d v="2024-11-24T00:00:00Z"/>
        <n v="-619359.0"/>
        <d v="2024-04-15T00:00:00Z"/>
        <d v="2024-08-04T00:00:00Z"/>
        <d v="2024-09-03T00:00:00Z"/>
        <d v="2024-10-16T00:00:00Z"/>
        <d v="2024-12-13T00:00:00Z"/>
        <d v="2025-01-06T00:00:00Z"/>
        <d v="2025-02-24T00:00:00Z"/>
        <d v="2024-12-21T00:00:00Z"/>
        <d v="2024-06-27T00:00:00Z"/>
        <d v="2024-09-01T00:00:00Z"/>
        <d v="2024-10-31T00:00:00Z"/>
        <d v="2024-11-23T00:00:00Z"/>
        <d v="2024-02-15T00:00:00Z"/>
        <d v="2024-05-15T00:00:00Z"/>
        <d v="2024-06-14T00:00:00Z"/>
        <d v="2024-07-27T00:00:00Z"/>
        <d v="2024-09-14T00:00:00Z"/>
        <d v="2024-09-17T00:00:00Z"/>
        <d v="2024-10-08T00:00:00Z"/>
      </sharedItems>
    </cacheField>
    <cacheField name="Status" numFmtId="0">
      <sharedItems containsBlank="1">
        <s v="Fait"/>
        <s v="Facture à envoyer"/>
        <s v="Script Revision Marque"/>
        <s v="Video Validée Marque"/>
        <s v="Video Revision Marque"/>
        <m/>
      </sharedItems>
    </cacheField>
    <cacheField name="Commentaire" numFmtId="0">
      <sharedItems containsBlank="1">
        <m/>
        <s v="ne pas mentionner d'autres marques 7 jours avant et après @ "/>
        <s v="resultat concours"/>
        <s v="en attente validation marque"/>
        <s v="VALIDÉ"/>
        <s v="Preview Validée"/>
        <s v="⚠️⚠️ demander à Inès code promo vs lien (car code différent)"/>
        <s v="à envoyer à la marque"/>
        <s v="en attente validation"/>
        <s v="envoyer facture"/>
        <s v="en attente info facturation"/>
        <s v="Ne pas envoyer facture au client mais faire une factureEn $$ une fois reception et convertion"/>
        <s v="brief partagé"/>
        <s v="ne pas poster 24h après ⚠️ verifier date (colis reçu le 23/05 = 3S)"/>
        <s v="en attente affiliate code"/>
        <s v="video"/>
        <s v="pas d'autres collabs 3 jours avant et après"/>
        <s v="commande passée"/>
        <s v="⚠️"/>
        <s v="date post à confirmer"/>
        <s v="DESCRIPTION (changement à faire) =&gt; Nouveautés @Anastasia Beverly Hills : Beauty balm &amp; Blurring serum blush ✨ Available from xxxx at Sephora all shades online and limited assortment in store #AD #ABHBLUSH #BLUSHHACK #LIQUIDBLUSH #ABHBeautyBalm #Anastasia"/>
        <s v="DESCRIPTION (changement à faire) =&gt;Makeup After Beachhh with Beauty Balm and Blurring Serum Blush @ANASTASIABEVERLYHILLS available from xxxx at Sephora all shades online and limited assortment in store. (il faudra remplacer les xx par la date de sortie, j"/>
        <s v="brouillon"/>
        <s v="DESCRIPTION (changement à faire) =&gt;⚠️ Date sortie SEPHORA"/>
        <s v="envoyer video à jour que Lily a partagé le 13/08"/>
        <s v="SUN SERUM"/>
        <s v="Partager ad code // DESCRIPTION (changement à faire) =&gt; The perfect complexion for this summer is: Beauty Balm and Blurring Serum Blush by @ANASTASIABEVERLYHILLS vavailable from xxxx (à remplacer par la date quand nous l'aurons) at Sephora all shades onli"/>
        <s v="une fois le paiement paypal faire facture pour € exact"/>
        <s v="DESCRIPTION (changement à faire) =&gt;"/>
        <s v="ajouter avant après"/>
        <s v="attendre retour autres factures"/>
        <s v="pas poster +3/-3   // partager ad code"/>
        <s v="envoyer facture 09/09 avec médiatisation + contenu"/>
        <s v="pas possible de poster le 23"/>
        <s v="⚠️ Dates Mixa -3+3 pas de collabs // date à confirmer"/>
        <s v="à poster"/>
        <s v="médiatisation à confirmer +100€"/>
        <s v="recuperer lien tacké pour IGs"/>
        <s v="IG"/>
        <s v="à refaire (réhaussement de cils)"/>
        <s v="24h no post any // 3 weeks of use"/>
        <s v="faire valider le contenu"/>
        <s v="+code boost"/>
        <s v="pas de média"/>
        <s v="date à définir"/>
        <s v="PERSONALISATION"/>
        <s v="draft: 3 jours apres reception // 26/09/2024 au plus tard // pas de post 12h apres poster"/>
        <s v="modif sur caption"/>
        <s v="Woo Juicy Tubes"/>
        <s v="facture à envoyer mais attendre ad code JEANNE"/>
        <s v="attendre Code boost"/>
        <s v="Facture à faire"/>
        <s v="Tracking Link 72h BIO https://testsgz.app.link/4hqEOX8xbNb"/>
        <s v="modifier caption  / pas de post 24h"/>
        <s v="en attente colis"/>
        <s v="18h"/>
        <s v="(+ usage rights + TikTok spark ads + IG ad codes"/>
        <s v="Reception Colis"/>
        <s v="video+ description"/>
        <s v="activer la fonctionnalité &quot;collaboration commercial&quot;"/>
        <s v="j'ai envoyé une facture en € mais c'est en dollar"/>
        <s v="125 de media à confimer "/>
        <s v="date à confirmer (7jours apres réception colis"/>
        <s v="commande"/>
        <s v="30j Myriam K entre chaque mois"/>
        <s v="cross post IG TT"/>
        <s v="mediat"/>
        <s v="ajouter lien en bio"/>
        <s v="Cross post IG + story swipe"/>
        <s v="rajouter code + 23% par contre impossible de refaire video modifs"/>
        <s v="mais ajouter ingrédient"/>
        <s v="facture faite"/>
        <s v="boost"/>
        <s v="preview"/>
        <s v="attente reception colis"/>
        <s v="facture au 3/03 à faire et envoyer"/>
        <s v="voir pour ajouter Ad"/>
        <s v=" "/>
        <s v="TT + Médiat"/>
        <s v="script idée creat TT médiat : du 1er au 27 avril !"/>
        <s v="médiat de 100€ en plus validée?"/>
        <s v="IGS à partager      IGs+ TIKTOK"/>
        <s v="1 TT"/>
        <s v="Pendant le repas"/>
        <s v="IG Reel médiat 01/03 au 27/03"/>
        <s v="02/03=&gt; idée creative ///// 10/03/2025 brouillon"/>
        <s v="1 IG reel + 1 IGs (3sets) AD CODE⚠️"/>
        <s v="dont 250€ de mediat"/>
        <s v="contrat à faire"/>
        <s v="en attente retour de la marque pour feu vert post"/>
        <s v="poster et partager ad code avant 12h"/>
        <s v="TT"/>
        <s v="x3 videos "/>
        <s v="pas besoin de valider preview 2 stories (10/04 et 11/04)"/>
        <s v="link in bio"/>
        <s v="avec ad code"/>
        <s v="⚠️changement facture - se referer au mail"/>
        <s v="médiatisation"/>
        <s v="dont 250€ mediat"/>
        <s v="integration produit"/>
        <s v="IG reel"/>
        <s v="350€ au lieu de 195 pour la derniere"/>
        <s v="IGS  "/>
        <s v="23/04/2025 preview et 16/04 idée creative"/>
        <s v="script  et preview le 01/05/2025"/>
        <s v="script"/>
        <s v="TT IGreel SNAP"/>
        <s v="poster sur TT"/>
        <s v="81€ en option?"/>
        <s v=": https://amzn.to/3Eubtp1"/>
        <s v="Comme beaucoup de followers lui demandent comment faire partir les taches d’acné, elle pourrait créer une vidéo sous l’un de ces formats : « J’ai trouvé un appareil magique pour éliminer les taches d’acné ! » Je présente le produit en détail.Je montre com"/>
        <s v="avec 100e d'ad code inclu"/>
        <s v="vidéo ok descritpion a modifier"/>
        <s v="TT add code a recup"/>
        <s v="GR check dates"/>
        <s v="pas besoin de revision"/>
        <s v="verifier si Lily a posté et partager lien video"/>
        <s v="Video tournée avant Script // envoyer video quand meme"/>
        <s v="partager les captions modifier repost ig"/>
        <s v="Contenu attendu par la marque"/>
        <s v="IGs ANAIS20 20% valable sur ensemble produit du site"/>
        <s v="médiat"/>
        <s v="TT ANAIS20 20% valable sur ensemble produit du site"/>
        <s v="Script 18/06 TT"/>
        <s v="One INS reel + 30 days ad &amp; organic usage rights+ link in bio"/>
        <s v="idée creative"/>
        <s v="manque HD + Sous Titres"/>
        <s v="idée creative à partager"/>
        <s v="TT + Tiktok Shop (reassort le 12/06"/>
        <s v="Script 18/06 IG + Cross Post Reel + IGs"/>
        <s v="UGC"/>
        <s v="Beach Babe Hair Waver Campaign"/>
        <s v="partager les stats dès le 18 juillet ?"/>
        <s v="Tiktok/ pas chez elle avant le 1 er juillet "/>
        <s v="Tiktok"/>
        <s v="partager dès le 24/07 les screens des statistiques de son contenu UGC aussi cession de droit partager la video en HD"/>
        <s v="4EX"/>
        <s v="TT + IGr"/>
        <s v="on a pas le brief"/>
        <s v="n'a pas le produit"/>
        <s v="avec mediat"/>
        <s v="IG + TT cross post + ad code +UGC"/>
        <s v="3 videos"/>
        <s v="Code promo perso à partager"/>
        <s v="mettre explications en anglais"/>
        <s v="⚠️ Gifting voir avec Gauthier "/>
        <s v="POUR CONTENU UGC AVANT AGENCE"/>
        <s v="TT + Tiktok Shop"/>
        <s v="partager stats"/>
        <s v="pas fait "/>
        <s v="16h30"/>
        <s v="partager à Jolt les détails pour la campagne (date, orna...)"/>
        <s v=": #Kiehlsfrance (TikTok) et @kiehlsfrance (Instagram) et le hashtag : #HYDRATATION"/>
        <s v="Fonctionnement Nice Work"/>
        <s v="3 contenus // pas d'exclu"/>
        <s v="https://docs.google.com/presentation/d/1q4NE7BfV_3-rP4IUQJmAq-Et7OVpK16CYhR5OVpmQYo/edit?usp=sharing"/>
        <s v="Fonctionnement Nice Work - Envoyer lien marque"/>
        <s v="Affiliation 10% // 2 post/mois"/>
        <s v="https://www.tiktok.com/@lavishhcam/video/7384102579849956641?lang=en"/>
        <s v="Reçu"/>
        <s v="Médiatisation "/>
        <s v="envoyer facture MÉDIA EN OPTION 250€ 4semaines 7-18 Octobre"/>
        <s v="Google Ads"/>
        <s v="La semaine du 1er avril"/>
        <s v="7 jours après reception sac"/>
        <s v="ATTENTION NOUVEAU BRIEF?"/>
        <s v="La semaine du 15 avril"/>
        <s v="VOIR MAIL POUR BRIEF"/>
        <s v="⚠️chiara_12  + Lien dans bio"/>
        <s v="Libre"/>
        <s v="Tester les produits et leur faire un retour. Si tu aimes pourquoi pas poster sur Tiktok"/>
        <s v="Photo avant/après"/>
        <s v="pas reçu"/>
        <s v="⚠️bleulividee_12 + Lien dans Bio"/>
        <s v="story juste"/>
        <s v="X2 video"/>
        <s v="en attente Micro Entreprise Jeanne"/>
        <s v="Brief dans mail Sparkle"/>
        <s v="colis pas encore reçu (30/11)"/>
        <s v="Contenu libre"/>
        <s v="laurine_12 + Lien dans bio"/>
        <s v="Post obligatoire sans brief"/>
        <s v="attendre description"/>
        <s v="Dès que possible"/>
        <s v="à poster dès que possible"/>
        <s v="retard livraison"/>
        <s v="Nice Work Fonctionnement "/>
        <s v="https://www.tiktok.com/@lilyy.nl/video/7361800761090526497"/>
        <s v="Attendre avant de facturer Médiatisation "/>
        <s v="Showroom 16h"/>
        <s v="RDV 11h Showroom"/>
        <s v="pas de preview"/>
        <s v="Nice Work"/>
        <s v="https://www.tiktok.com/@melf.fnt/video/7384078329554423073"/>
        <s v="D'ici 2 semaines après 20/03/24"/>
        <s v="https://www.tiktok.com/@melf.fnt/video/7360752268607491360"/>
        <s v="En attente date"/>
        <s v="colis confidentiel jussqu'au 08/10"/>
        <s v="Rappel"/>
        <s v="https://www.tiktok.com/@morgane.mrckk/video/7384031967643307296"/>
      </sharedItems>
    </cacheField>
    <cacheField name="Description rapide de la demande" numFmtId="0">
      <sharedItems containsBlank="1">
        <s v="vidéo dédiée maquillage avec la marque Bell."/>
        <s v="post obligatoire avec brief"/>
        <s v="post obligatoire  "/>
        <s v="Brief à respecter"/>
        <s v="Thème du book"/>
        <m/>
        <s v="Post Obligatoire "/>
        <s v="Brief dans mail"/>
        <s v="Ne pas poster / Suivre brief"/>
        <s v="Post avec brief"/>
        <s v="Libre"/>
        <s v="Seeding"/>
        <s v="NiceWork"/>
        <s v="Nice Work"/>
        <s v="Post Obligatoire"/>
        <s v="Fonctionnement Nice Work"/>
        <s v="Pas de brief"/>
        <s v="Consignes Nice Work"/>
        <s v="Post obligatoire sans brief"/>
        <s v="1 Tiktok + 1 Reel"/>
        <s v="1 Tiktok + 1 IG story"/>
        <s v="Post non obligatoire"/>
        <s v="Libre - colis presse"/>
        <s v="Evenement"/>
        <s v="Sans obligation de post"/>
        <s v="Obligation de post"/>
        <s v="Nice Work Fonctionnement"/>
        <s v="Médiatisation"/>
        <s v="Apport D'affaire"/>
      </sharedItems>
    </cacheField>
    <cacheField name="Format (influence vs UGC)" numFmtId="166">
      <sharedItems containsBlank="1">
        <s v="Influence"/>
        <m/>
        <s v="UGC "/>
        <s v="UGC"/>
        <s v="Evenement"/>
        <s v="Skeepers"/>
        <s v="Interview"/>
        <s v="Médiatisation"/>
      </sharedItems>
    </cacheField>
    <cacheField name="Rémunération totale">
      <sharedItems containsBlank="1" containsMixedTypes="1" containsNumber="1">
        <n v="70.0"/>
        <n v="130.0"/>
        <n v="200.0"/>
        <s v="Gifting + Médiatisation"/>
        <s v="20€/semaine de médiatisation"/>
        <n v="350.0"/>
        <s v="Comptabilisé"/>
        <n v="500.0"/>
        <n v="150.0"/>
        <s v="Gifting"/>
        <n v="100.0"/>
        <m/>
        <n v="650.0"/>
        <n v="450.0"/>
        <n v="629.92"/>
        <n v="1800.0"/>
        <n v="175.0"/>
        <n v="250.0"/>
        <n v="1000.0"/>
        <n v="230.0"/>
        <n v="300.0"/>
        <n v="80.0"/>
        <n v="531.0"/>
        <n v="400.0"/>
        <n v="241.28"/>
        <n v="75.0"/>
        <n v="275.0"/>
        <n v="137.5"/>
        <n v="600.0"/>
        <n v="526.48"/>
        <n v="625.0"/>
        <n v="1250.0"/>
        <n v="800.0"/>
        <n v="699.2"/>
        <n v="225.0"/>
        <n v="1500.0"/>
        <n v="357.935"/>
        <n v="173.0"/>
        <n v="1200.0"/>
        <n v="233.33333333333334"/>
        <n v="750.0"/>
        <n v="700.0"/>
        <n v="393.3"/>
        <n v="125.0"/>
        <n v="382.5"/>
        <n v="325.0"/>
        <n v="0.0"/>
        <n v="170.0"/>
        <n v="900.0"/>
        <n v="375.0"/>
        <n v="195.0"/>
        <n v="950.0"/>
        <n v="1012.5"/>
        <n v="2000.0"/>
        <n v="333.3333333333333"/>
        <n v="582.0"/>
        <n v="291.0"/>
        <n v="970.0"/>
        <n v="1850.0"/>
        <n v="940.0"/>
        <n v="2500.0"/>
        <n v="850.0"/>
        <n v="1100.0"/>
        <n v="810.0"/>
        <n v="552.0"/>
        <n v="550.13"/>
        <n v="1400.0"/>
        <n v="1125.0"/>
        <n v="395.09"/>
        <n v="410.72"/>
        <n v="550.0"/>
        <n v="508.3"/>
        <n v="370.0"/>
        <n v="1300.0"/>
        <n v="492.87"/>
        <n v="166.66666666666666"/>
        <n v="3298.0"/>
        <n v="666.6666666666666"/>
        <n v="620.0"/>
        <n v="112.5"/>
        <n v="217.4"/>
        <n v="3125.0"/>
        <n v="266.6666666666667"/>
        <n v="310.0"/>
        <n v="880.0"/>
        <n v="1290.0"/>
        <n v="840.0"/>
        <n v="602.0"/>
        <n v="190.0"/>
        <s v="Affiliation"/>
        <s v="10% Commission"/>
        <s v="Showroom"/>
        <s v="Evenement"/>
        <n v="235.0"/>
      </sharedItems>
    </cacheField>
    <cacheField name="Date Stats">
      <sharedItems containsDate="1" containsString="0" containsBlank="1" containsMixedTypes="1">
        <m/>
        <d v="2024-04-16T00:00:00Z"/>
        <d v="2024-04-29T00:00:00Z"/>
        <d v="2024-04-25T00:00:00Z"/>
        <d v="2024-05-08T00:00:00Z"/>
        <d v="2024-05-11T00:00:00Z"/>
        <d v="2024-05-31T00:00:00Z"/>
        <n v="105.0"/>
        <n v="96.25"/>
        <n v="280.0"/>
        <n v="140.0"/>
        <n v="350.0"/>
        <n v="420.0"/>
      </sharedItems>
    </cacheField>
    <cacheField name="Lien video" numFmtId="0">
      <sharedItems containsBlank="1">
        <m/>
        <s v="https://www.tiktok.com/@melf.fnt/video/7382192283279494432"/>
        <s v="https://www.tiktok.com/@lilyy.nl/video/7383728309110050080"/>
        <s v="https://www.tiktok.com/@lolatagliaferroo/video/7383998473613479201"/>
        <s v="https://www.tiktok.com/@lavishhcam/video/7390792553022442784?lang=en"/>
        <s v="https://www.tiktok.com/@chiaraaaa.bnc/video/7391058568260111649"/>
        <s v="https://www.tiktok.com/@lina.mkrn2/video/7390790437969104161"/>
        <s v="https://www.tiktok.com/@perrine.trp/video/7391590382611516705"/>
        <s v="https://www.tiktok.com/@morgane.mrckk/video/7390710366738681121"/>
        <s v="https://www.tiktok.com/@perrine.trp/video/7394891259883654433"/>
        <s v="https://www.tiktok.com/@___oraane/video/7392965105924738336"/>
        <s v="https://www.tiktok.com/@paupibeauty/video/7395224727377251617"/>
        <s v="https://www.tiktok.com/@lolatagliaferroo/video/7395519666556259616"/>
        <s v="https://www.tiktok.com/@melf.fnt/video/7393286593676660000"/>
        <s v="https://www.tiktok.com/@perrine.trp/video/7393392477878701345"/>
        <s v="https://www.tiktok.com/@morgane.mrckk/video/7394042444519591201"/>
        <s v="https://www.tiktok.com/@paupibeauty/video/7394501330364075296"/>
        <s v="https://www.tiktok.com/@paupibeauty/video/7397449808555937056?_r=1&amp;_t=8oSOvlgWeMi"/>
        <s v="https://www.tiktok.com/@lolatagliaferroo/video/7398086597721263393"/>
        <s v="https://www.tiktok.com/@___oraane/video/7398548157925248288"/>
        <s v="https://vm.tiktok.com/ZGenfd12c/"/>
        <s v="https://www.tiktok.com/@liserdg/video/7397464254451911969"/>
        <s v="https://www.tiktok.com/@liserdg/video/7401195152984870176"/>
        <s v="https://www.tiktok.com/@lilyy.nl/video/7403767696283766048"/>
        <s v="https://www.tiktok.com/@morgane.mrckk/video/7411931626252422433"/>
        <s v="https://www.tiktok.com/@___oraane/video/7403673068578688289"/>
        <s v="https://www.tiktok.com/@lavishhcam/video/7406036857340824865?lang=en"/>
        <s v="https://www.tiktok.com/@lilyy.nl/video/7407093682731502880"/>
        <s v="https://www.tiktok.com/@paupibeauty/video/7403439757415533856?_r=1&amp;_t=8otpeszl9rE"/>
        <s v="https://www.tiktok.com/@perrine.trp/video/7411953653143129376"/>
        <s v="https://www.tiktok.com/@lavishhcam/video/7407487090046389537?lang=en"/>
        <s v="https://www.tiktok.com/@melf.fnt/video/7408135764502007073"/>
        <s v="https://www.tiktok.com/@lavishhcam/video/7406708879695875360?lang=en"/>
        <s v="https://www.tiktok.com/@lavishhcam/video/7411562966337834272?lang=en"/>
        <s v="https://www.tiktok.com/@morgane.mrckk/video/7406767459749055777"/>
        <s v="https://www.tiktok.com/@lilyy.nl/video/7411947131440827681"/>
        <s v="https://www.tiktok.com/@julianebernard/video/7415999447202663713"/>
        <s v="https://www.tiktok.com/@lilyy.nl/video/7412698376162135328"/>
        <s v="https://www.tiktok.com/@melf.fnt/video/7421252203458874656"/>
        <s v="https://www.tiktok.com/@melf.fnt/video/7417119746270776609"/>
        <s v="https://www.tiktok.com/@melf.fnt/video/7422703664969616673"/>
        <s v="https://www.tiktok.com/@paupibeauty/video/7416729046316338465?_r=1&amp;_t=8psjQcSNmPA"/>
        <s v="https://www.tiktok.com/@jessicadcstr/video/7401576606319398177"/>
        <s v="https://tiktok.com/@mary.zhh/video/7416774634885926176?lang=en"/>
        <s v="https://www.tiktok.com/@chiaraaaa.bnc/video/7417486710386232609"/>
        <s v="https://www.tiktok.com/@perrine.trp/video/7420530124208016672"/>
        <s v="https://www.tiktok.com/@paupibeauty/video/7418269204975078689"/>
        <s v="https://www.tiktok.com/@jeanne_bayart/video/7425572834992344353?_r=1&amp;_t=8qXCYC0RFJY"/>
        <s v="https://www.tiktok.com/@jeanne_bayart/video/7437562970659491105?lang=en"/>
        <s v="https://www.tiktok.com/@___oraane/video/7434852783339195681?lang=en"/>
        <s v="https://www.tiktok.com/@melf.fnt/video/7430522334919822624"/>
        <s v="https://www.tiktok.com/@liserdg/video/7430136572063796513?lang=en"/>
        <s v="https://www.tiktok.com/@liserdg/video/7432768931619802401?lang=en"/>
        <s v="https://www.tiktok.com/@morgane.mrckk/video/7430757799249988896?lang=en"/>
        <s v="https://www.tiktok.com/@shaa_dl/video/7515842386795187478"/>
        <s v="https://www.tiktok.com/@___oraane/video/7419283054981664033"/>
        <s v="https://www.tiktok.com/@anaiswairyy/video/7433837110584479008?lang=en"/>
        <s v="https://www.tiktok.com/@chiaraaaa.bnc/video/7438003860733578528?lang=en"/>
        <s v="https://www.tiktok.com/@morgane.mrckk/video/7437476392905805089?lang=en"/>
        <s v="https://www.tiktok.com/@iimslma/video/7436438336383880480?lang=en"/>
        <s v="https://www.tiktok.com/@melf.fnt/video/7436438601740668192?_r=1&amp;_t=8rKy09eXARN"/>
        <s v="https://www.tiktok.com/@lavishhcam/video/7437477138430741792"/>
        <s v="https://www.tiktok.com/@julianebernard/video/7437454498747927841?lang=en"/>
        <s v="https://www.tiktok.com/@melf.fnt/video/7437532619706731809"/>
        <s v="https://www.tiktok.com/@anaiswairyy/video/7455393883908771094?lang=en"/>
        <s v="https://www.tiktok.com/@anaiswairyy/video/7469871245606030614?lang=en"/>
        <s v="https://www.tiktok.com/@___oraane/video/7450792735776296214?lang=en"/>
        <s v="https://www.tiktok.com/@___oraane/video/7449648582451350806?lang=en"/>
        <s v="https://www.tiktok.com/@melf.fnt/video/7441913953858489633"/>
        <s v="https://www.tiktok.com/@paupibeauty/video/7442018892454694176?_r=1&amp;_t=8rkWjFn0wJa"/>
        <s v="https://www.tiktok.com/@anaiswairyy?lang=en"/>
        <s v="https://www.tiktok.com/@lilyy.nl/video/7443863318730689814"/>
        <s v="https://www.tiktok.com/@jeanne_bayart/video/7442798993492479265?lang=en"/>
        <s v="https://www.tiktok.com/@iman_cvls/video/7451924438834089238?_r=1&amp;_t=8sTta62xc1u"/>
        <s v="https://www.tiktok.com/@iman_cvls/video/7452023214944947478?_r=1&amp;_t=8sWEGQqinJO"/>
        <s v="https://www.tiktok.com/@iman_cvls/video/7452403635708775702"/>
        <s v="https://www.tiktok.com/@jasmiinelife/video/7453739165205777686?lang=en"/>
        <s v="https://www.tiktok.com/@lavishhcam/video/7463441462252932374"/>
        <s v="https://www.tiktok.com/@iimslma/video/7465383468805999894?_r=1&amp;_t=ZN-8tTXg6qHkUY"/>
        <s v="https://www.tiktok.com/@iman_cvls/video/7465390038260485398?_t=ZN-8tTZG4XbMr0&amp;_r=1"/>
        <s v="https://www.tiktok.com/@liserdg/video/7465785595495763222?lang=en"/>
        <s v="https://www.tiktok.com/@la_gur/video/7467998009230363926?lang=en"/>
        <s v="75 de media"/>
        <s v="https://www.tiktok.com/@dounsbnl/video/7471295610063310102"/>
        <s v="https://www.tiktok.com/@lolatagliaferroo?lang=en"/>
        <s v="https://www.tiktok.com/@___oraane/video/7471294678306934038?lang=en"/>
        <s v="https://www.tiktok.com/@shaa_dl/video/7471336075559046422"/>
        <s v="https://www.tiktok.com/@dounsbnl/video/7451645404535442710"/>
        <s v="https://www.tiktok.com/@anaiswairyy/video/7471353868702502166?lang=en"/>
        <s v="https://www.tiktok.com/@dounsbnl/video/7473150812873788674?_t=ZN-8u36zKwjrx0&amp;_r=1"/>
        <s v="https://www.tiktok.com/@lolatagliaferroo/video/7473819808870534422?lang=en"/>
        <s v="https://www.tiktok.com/@paupibeauty/video/7473538347969875222?_r=1&amp;_t=ZN-8u4tYDuW4wQ"/>
        <s v="https://www.tiktok.com/@perrine.trp/video/7476172058406194454?lang=en"/>
        <s v="https://www.tiktok.com/@eloiseaubeneauu/video/7482020827924401451"/>
        <s v="https://www.tiktok.com/@julianebernard/video/7496568197135486230?_r=1&amp;_t=ZN-8vmOTilRwgg"/>
        <s v="https://www.tiktok.com/@iimslma/video/7485792482345618710?_r=1&amp;_t=ZN-8uz1T2hjhy6"/>
        <s v="https://www.tiktok.com/@dounsbnl/video/7476794031935147286"/>
        <s v="https://www.tiktok.com/@eloiseaubeneauu/video/7495738839487581470?_t=ZP-8viaG7wegWt&amp;_r=1"/>
        <s v="https://www.tiktok.com/@lilyy.nl/video/7493984160173034774"/>
        <s v="https://www.tiktok.com/@ttemarine/video/7495056234014379266"/>
        <s v="https://www.tiktok.com/@ttemarine/video/7494670749865757974"/>
        <s v="https://www.tiktok.com/@julianebernard/video/7493986086654315798?lang=en"/>
        <s v="https://www.tiktok.com/@paupibeauty/video/7493948630144011542"/>
        <s v="https://www.tiktok.com/@lavishhcam/video/7495428391882198295"/>
        <s v="https://www.tiktok.com/@la_gur/video/7499405044245204246?lang=en"/>
        <s v="https://www.tiktok.com/@sarah.bdii/video/7499149208293788950"/>
        <s v="https://www.tiktok.com/@jasmiinelife/video/7499164614366645526?lang=en"/>
        <s v="https://www.tiktok.com/@ttemarine/video/7499519504368569622"/>
        <s v="https://www.tiktok.com/@lovelymorgane/video/7499894490853821718?_r=1&amp;_t=8kth38xkh3x"/>
        <s v="https://www.tiktok.com/@arwen.arwen1/video/7506934371669101846?lang=en"/>
        <s v="https://www.tiktok.com/@farahdisiaque/video/7505057972834372886"/>
        <s v="https://www.tiktok.com/@paupibeauty/video/7506557930817277206?_t=ZN-8wW7MsM3mNy&amp;_r=1"/>
        <s v="https://www.tiktok.com/@lavishhcam/video/7505069359010794774"/>
        <s v="https://www.tiktok.com/@paupibeauty/video/7507679880100810007?_r=1&amp;_t=ZN-8wbG54dkxtO"/>
        <s v="https://www.tiktok.com/@iam.sissou/video/7526589360469265686?is_from_webapp=1&amp;sender_device=pc&amp;web_id=7504317976587437590"/>
        <s v="https://www.tiktok.com/@mary.zhh/video/7462430581402520854"/>
        <s v="https://www.tiktok.com/@mary.zhh/video/7460561651675303190"/>
        <s v="https://www.tiktok.com/@paupibeauty/video/7439768252269546785?_r=1&amp;_t=8raH38QLVtG"/>
        <s v="https://www.tiktok.com/@amani_mee/video/7494728696528522518"/>
        <s v="https://vm.tiktok.com/ZNdPeJgF7/"/>
        <s v="https://www.tiktok.com/@ttemarine/video/7522142648207936790?_t=ZN-8xfVHZaTphe&amp;_r=1"/>
        <s v="https://www.tiktok.com/@iam.sissou/video/7513475563936369942"/>
        <s v="https://www.tiktok.com/@iimslma/video/7522888104374701335"/>
        <s v="https://drive.google.com/drive/folders/19ToYFCpY-wQNqLL1X6hkS610Je7ZJWpH?usp=sharing"/>
        <s v="https://drive.google.com/drive/folders/1cqb0DvHrI2AEf5Y1mODPl-Wb-x2ZpIBF?usp=sharing"/>
        <s v="https://www.tiktok.com/@shaa_dl/video/7525111945536523542?_r=1&amp;_t=ZN-8xwa2XIbgXO"/>
        <s v="https://www.instagram.com/p/DL9s1T-ucxx/?hl=fr"/>
        <s v="https://www.tiktok.com/@___oraane/video/7525503490924416279"/>
        <s v="https://www.tiktok.com/@julianebernard/video/7522838166227864854?lang=en"/>
        <s v="https://www.tiktok.com/@laudewit/video/7519192074919365920"/>
        <s v="https://www.tiktok.com/@asmaenel/video/7526542702301826326?is_from_webapp=1&amp;sender_device=pc&amp;web_id=7504317976587437590"/>
        <s v="https://www.tiktok.com/@shaa_dl/video/7525111987638979862?_r=1&amp;_t=ZN-8xwa1oeBxCQ"/>
        <s v="https://www.tiktok.com/@juliette.pn/video/7525473712418622742?is_from_webapp=1&amp;sender_device=pc&amp;web_id=7504317976587437590"/>
        <s v="https://www.tiktok.com/@laudewit/video/7525483945366998305"/>
        <s v="https://www.tiktok.com/@julianebernard/video/7526982773156924694?_r=1&amp;_t=ZN-8y1f4d2rh1K"/>
        <s v="https://www.tiktok.com/@la_gur/video/7528400374802173206"/>
        <s v="https://www.tiktok.com/@paupibeauty/video/7529220565756857622"/>
        <s v="https://vm.tiktok.com/ZNHp1gFdSuU6L-Orqzs/"/>
        <s v="https://www.tiktok.com/@melissa.pndd/video/7526574135296773398?is_from_webapp=1&amp;sender_device=pc&amp;web_id=7504317976587437590"/>
        <s v="https://www.tiktok.com/@laudewit/video/7529089646714735905"/>
        <s v="https://www.tiktok.com/@guenaire/video/7532570588146076950"/>
        <s v="https://www.tiktok.com/@laudewit/video/7525765188893674784"/>
        <s v="https://www.tiktok.com/@sarah.bdii/video/7516951979084598550"/>
        <s v="https://www.tiktok.com/@anaiswairyy/video/7466167514402229526?lang=en"/>
        <s v="https://www.tiktok.com/@melissa.pndd/video/7514352561562946838"/>
        <s v="https://vm.tiktok.com/ZNdyXTXHb/"/>
        <s v="https://www.instagram.com/reel/DLc5EB4ogna/?utm_source=ig_web_copy_link"/>
        <s v="https://www.tiktok.com/@glennwolff/video/7517353745353559318?is_from_webapp=1&amp;sender_device=pc&amp;web_id=7504317976587437590"/>
        <s v="https://www.instagram.com/reel/DLXs9HIijUX/?utm_source=ig_web_copy_link&amp;igsh=MzEyc2ZyNmFwZTMw"/>
        <s v="https://www.tiktok.com/@lolatagliaferroo/video/7520567485473492246?is_from_webapp=1&amp;sender_device=pc&amp;web_id=7504317976587437590"/>
        <s v="https://www.tiktok.com/@melissa.pndd/video/7519911199744494850?is_from_webapp=1&amp;sender_device=pc&amp;web_id=7504317976587437590"/>
        <s v="https://www.tiktok.com/@___oraane/video/7518063433611480343?_t=ZN-8xMoEPKM08s&amp;_r=1"/>
        <s v="https://www.tiktok.com/@paupibeauty/video/7521283052488641814?is_from_webapp=1&amp;sender_device=pc&amp;web_id=7504317976587437590"/>
        <s v="https://www.tiktok.com/@sarah.bdii/video/7532173540204891414"/>
        <s v="https://www.tiktok.com/@shaa_dl/video/7414067609177476384"/>
        <s v="https://www.tiktok.com/@shaa_dl/video/7430530285852167457"/>
        <s v="https://www.tiktok.com/@shaa_dl/video/7456916860278295830?_t=ZN-8sqlAIVsOJS&amp;_r=1"/>
        <s v="https://www.tiktok.com/@amandambt_/video/7483639690327788822?lang=en"/>
        <s v="La première à 1 min 17 https://vm.tiktok.com/ZNdMWypK4/ La seconde à 1 min 32 https://vm.tiktok.com/ZNdMWUM5e/"/>
        <s v="https://www.instagram.com/reel/DFqvAlCNUMN/"/>
        <s v="https://www.tiktok.com/@arwen.arwen1/video/7453509821812280598?lang=en"/>
        <s v="https://www.tiktok.com/@arwen.arwen1/video/7453509775200980246?lang=en"/>
        <s v="https://www.tiktok.com/@arwen.arwen1/video/7453530509163973910?lang=en"/>
        <s v="https://www.tiktok.com/@lavishhcam/video/7372599354646957344"/>
        <s v="https://www.tiktok.com/@lavishhcam/video/7370721490632772896?lang=en"/>
        <s v="https://www.tiktok.com/@lavishhcam/video/7374120668813659425"/>
        <s v="https://vm.tiktok.com/ZGeGrsEfX/"/>
        <s v="https://www.tiktok.com/@lavishhcam/video/7392636437163773217"/>
        <s v="https://www.tiktok.com/@lavishhcam/video/7401082023797902625?lang=en"/>
        <s v="https://www.tiktok.com/@lavishhcam/video/7401156666479119649?lang=en"/>
        <s v="https://www.tiktok.com/@lavishhcam/video/7415270528665046305?lang=en"/>
        <s v="https://www.tiktok.com/@lavishhcam/video/7414065973084359968?lang=en"/>
        <s v="https://www.tiktok.com/@lavishhcam/video/7421861704159464736?lang=en"/>
        <s v="https://www.tiktok.com/@lavishhcam/video/7421578850808646944"/>
        <s v="https://www.tiktok.com/@lavishhcam/video/7424528927714020641"/>
        <s v="https://tiktok.com/@lavishhcam/video/7428536491384638753"/>
        <s v="https://www.tiktok.com/@lavishhcam/video/7431968536773299489"/>
        <s v="https://www.tiktok.com/@lavishhcam/video/7431640311199255840"/>
        <s v="https://www.tiktok.com/@lavishhcam/video/7442372621200575776"/>
        <s v="https://www.tiktok.com/@lavishhcam/video/7451273510346820886"/>
        <s v="https://www.tiktok.com/@lavishhcam/video/7465046952749616406"/>
        <s v="https://www.tiktok.com/@lavishhcam/video/7462439461763157270"/>
        <s v="https://www.tiktok.com/@lavishhcam/video/7467602307832745238?_r=1&amp;_t=ZN-8tpZSV3gUPG"/>
        <s v="https://www.tiktok.com/@lavishhcam/video/7481621153107217686?_t=ZN-8ufuB4coZpW&amp;_r=1"/>
        <s v="https://www.tiktok.com/@lavishhcam/video/7480248461112216854?_t=ZN-8uksUX9QNRG&amp;_r=1"/>
        <s v="https://www.tiktok.com/@lavishhcam/video/7395231761887759649?lang=en"/>
        <s v="https://www.tiktok.com/@lavishhcam/video/7398186484789988641?lang=en"/>
        <s v="https://www.tiktok.com/@lavishhcam/video/7365759408892103969?lang=en"/>
        <s v="https://www.tiktok.com/@lavishhcam/video/7401530328214441248?lang=en"/>
        <s v="https://www.tiktok.com/@lavishhcam/video/7394844935842778400?lang=en"/>
        <s v="https://www.tiktok.com/@chiaraaaa.bnc/video/7391983750164319520?_r=1&amp;_t=8o3MXv1mvZJ"/>
        <s v="https://www.tiktok.com/@chiaraaaa.bnc/video/7394423173132913952"/>
        <s v="https://www.tiktok.com/@chiaraaaa.bnc/video/7405297473117310240"/>
        <s v="https://www.tiktok.com/@chiaraaaa.bnc/video/7404583889974480161"/>
        <s v="https://www.tiktok.com/@chiaraaaa.bnc/video/7416745525149584673"/>
        <s v="https://www.tiktok.com/@chiaraaaa.bnc/video/7415682356973014305?_r=1&amp;_t=8pnu1Dc4LKK"/>
        <s v="https://www.tiktok.com/@chiaraaaa.bnc/video/7426062687051713824?lang=en"/>
        <s v="https://www.tiktok.com/@chiaraaaa.bnc/video/7429003433572715809?lang=en"/>
        <s v="https://www.tiktok.com/@dounsbnl/video/7431205107913493793"/>
        <s v="https://www.tiktok.com/@dounsbnl/video/7474747644808613142"/>
        <s v="https://www.instagram.com/p/DHT2-JnIB-6/"/>
        <s v="https://www.instagram.com/reel/DJMIRWMoL9E/?igsh=MTY5bnFnZW5mZGI2dA=="/>
        <s v="https://www.tiktok.com/@eloiseaubeneauu/video/7483491441663036718?_t=ZT-8uoTJcOEruw&amp;_r=1"/>
        <s v="https://www.tiktok.com/@eloiseaubeneauu/video/7507226915682389279"/>
        <s v="https://www.instagram.com/reel/DJPcuR3Idt7/?igsh=OW9lOXZyc2hucGI="/>
        <s v="https://www.tiktok.com/@farahdisiaque/video/7483922941864955158?_t=ZN-8uqT7rbpmb8&amp;_r=1"/>
        <s v="c"/>
        <s v="https://www.tiktok.com/@bleulividee/video/7372251599776877856"/>
        <s v="https://vm.tiktok.com/ZGepDFE5y/"/>
        <s v="https://www.tiktok.com/@bleulividee/video/7391910299361709344"/>
        <s v="https://www.tiktok.com/@bleulividee/video/7392682253026970912"/>
        <s v="https://www.tiktok.com/@bleulividee/video/7410370727486049568"/>
        <s v="https://www.tiktok.com/@bleulividee/video/7375559768552770849"/>
        <s v="https://www.tiktok.com/@bleulividee/video/7393388652753194273"/>
        <s v="https://www.tiktok.com/@bleulividee/video/7397487380388744480"/>
        <s v="https://www.tiktok.com/@bleulividee/video/7365539403646651680"/>
        <s v="https://www.tiktok.com/@la_gur/photo/7457999858377428246?lang=en"/>
        <s v="https://www.tiktok.com/@la_gur/video/7485089693206433046?lang=en"/>
        <s v="https://www.tiktok.com/@la_gur/video/7495733948685815062?lang=en"/>
        <s v="https://drive.google.com/drive/folders/1bllXfbrb3bUB07wpoG2Ebl0SK0IzuWTC?usp=sharing"/>
        <s v="https://www.tiktok.com/@hidaya_bl/video/7484394919600213270"/>
        <s v="https://www.tiktok.com/@iman_cvls/video/7397858754177551649"/>
        <s v="https://www.tiktok.com/@iman_cvls/video/7404463230673849633"/>
        <s v="https://www.tiktok.com/@iman_cvls/video/7414564750392184096"/>
        <s v="https://www.tiktok.com/@iman_cvls/video/7430007298031930656?lang=en"/>
        <s v="https://www.tiktok.com/@iman_cvls/video/7442289270481636640?lang=en"/>
        <s v="https://www.tiktok.com/@iman_cvls/video/7458583066676710678?_t=ZN-8syYtKZMQGF&amp;_r=1"/>
        <s v="https://vm.tiktok.com/ZNdrMWKU9/   https://vm.tiktok.com/ZNdrMbUmK/&#10;"/>
        <s v="https://www.tiktok.com/@iman_cvls/video/7405646497515113761"/>
        <s v="https://www.tiktok.com/@jasmiinelife/video/7402157667159969057"/>
        <s v="https://www.tiktok.com/@jasmiinelife/video/7398942773430308128"/>
        <s v="https://www.tiktok.com/@jasmiinelife/video/7411133691189071137"/>
        <s v="https://www.tiktok.com/@jasmiinelife/video/7431849329335209249?_t=8qzxJsLvUuH&amp;_r=1"/>
        <s v="https://www.tiktok.com/@jasmiinelife/video/7481342810977881366?_r=1&amp;_t=ZN-8ued6vIUIJa"/>
        <s v="https://www.tiktok.com/@jasmiinelife/video/7478010649835064598?_t=ZN-8uksMc15EkI&amp;_r=1"/>
        <s v="https://vm.tiktok.com/ZNdr6BsyX/"/>
        <s v="https://www.tiktok.com/@jasmiinelife/video/7406012010816638240"/>
        <s v="https://www.instagram.com/reel/DAEGiSUicZy/"/>
        <s v="https://www.tiktok.com/@jeanne_bayart/video/7405111060274924832"/>
        <s v="https://www.tiktok.com/@jeanne_bayart/video/7401629838697565472"/>
        <s v="https://www.instagram.com/reel/DHYZokMIocA/?igsh=MXJmNGNqYzdlNjZ6eg%3D%3D"/>
        <s v="https://www.tiktok.com/@jessicadcstr/video/7374052571708771616"/>
        <s v="https://www.tiktok.com/@jessicadcstr/video/7375545597094464801"/>
        <s v="https://www.tiktok.com/@jessicadcstr/video/7388534640631450913"/>
        <s v="https://www.tiktok.com/@jessicadcstr/video/7389326468137995552"/>
        <s v="https://www.tiktok.com/@jessicadcstr/video/7402283442785766688"/>
        <s v="https://www.tiktok.com/@jessicadcstr/video/7400003750661819681"/>
        <s v="https://www.tiktok.com/@jessicadcstr/video/7401184127703108897"/>
        <s v="https://www.tiktok.com/@jessicadcstr/video/7379634512625487137"/>
        <s v="https://www.tiktok.com/@jessicadcstr/video/7370005908706921761?q=jessicadcstr%20aromazone&amp;t=1716383408647"/>
        <s v="https://www.tiktok.com/@julianebernard/video/7375950922876194080"/>
        <s v="https://www.tiktok.com/@julianebernard/video/7394526025591409952"/>
        <s v="https://www.tiktok.com/@julianebernard/video/7415662953526988065"/>
        <s v="https://www.tiktok.com/@julianebernard/video/7422201837324979489"/>
        <s v="https://www.tiktok.com/@julianebernard/video/7423819976387218720?lang=en"/>
        <s v="https://www.tiktok.com/@julianebernard/video/7428654055754353952?lang=en"/>
        <s v="https://www.tiktok.com/@julianebernard/video/7431227139405466912?lang=en"/>
        <s v="https://www.tiktok.com/@julianebernard/video/7470566844924005654?lang=en"/>
        <s v="https://www.tiktok.com/@julianebernard/video/7480957956545203478?_t=ZN-8uflzHw9hd0&amp;_r=1"/>
        <s v="https://www.tiktok.com/@julianebernard/video/7483144981474053398?_r=1&amp;_t=ZN-8umtSsTCOtq"/>
        <s v="https://www.tiktok.com/@julianebernard/video/7505188044769611030?_r=1&amp;_t=ZN-8wUPhwBCpra"/>
        <s v="https://www.tiktok.com/@julianebernard/video/7387355316817612064"/>
        <s v="https://www.tiktok.com/@laurieespamm/video/7373977897394048289"/>
        <s v="https://www.tiktok.com/@laurieespamm/video/7372894690884029729"/>
        <s v="https://www.tiktok.com/@laurieespamm/video/7385220213458980129"/>
        <s v="https://www.tiktok.com/@laurieespamm/video/7403685503830084896?_r=1&amp;_t=8ouxXOOFEH3"/>
        <s v="https://www.tiktok.com/@laurieespamm/video/7385584137039596833"/>
        <s v="https://www.tiktok.com/@lilyy.nl/video/7372250529398836512"/>
        <s v="https://www.tiktok.com/@lilyy.nl/video/7374127349601701153"/>
        <s v="https://www.tiktok.com/@lilyy.nl/video/7377465554560453921"/>
        <s v="https://www.tiktok.com/@lilyy.nl/video/7382595650866662688"/>
        <s v="https://www.tiktok.com/@lilyy.nl/video/7387413713944333601"/>
        <s v="https://www.tiktok.com/@lilyy.nl/video/7398197901182111008"/>
        <s v="https://www.tiktok.com/@lilyy.nl/video/7400071344089533728"/>
        <s v="https://www.tiktok.com/@lilyy.nl/video/7401181475330198816"/>
        <s v="https://www.tiktok.com/@lilyy.nl/video/7416387740951956768"/>
        <s v="https://www.tiktok.com/@lilyy.nl/video/7414163405205982497"/>
        <s v="https://www.tiktok.com/@lilyy.nl/video/7424229467951729953"/>
        <s v="https://www.tiktok.com/@lilyy.nl/video/7421229015719103776"/>
        <s v="https://www.tiktok.com/@lilyy.nl/video/7432644019890539808"/>
        <s v="https://www.tiktok.com/@lilyy.nl/video/7467121622500003094"/>
        <s v="https://www.tiktok.com/@lilyy.nl/video/7465615921470557462"/>
        <s v="https://www.tiktok.com/@lilyy.nl/video/7473378357531397398?_t=ZN-8uecd1X7Rby&amp;_r=1"/>
        <s v="https://www.tiktok.com/@lilyy.nl/video/7381865050685934881"/>
        <s v="https://www.tiktok.com/@lilyy.nl/video/7397468947290918176"/>
        <s v="https://www.tiktok.com/@lilyy.nl/video/7355571660520426784?q=lilyy.nl%20aromazone&amp;t=1716382679417"/>
        <s v="https://www.tiktok.com/@lilyy.nl/video/7407474534565154081"/>
        <s v="www.tiktok.com/@lilyy.nl/video/7402233435932216608?cid=NzQwMjIzNDY4NzAzMDE5OTA3Mg"/>
        <s v="https://www.tiktok.com/@lina.mkrn2/video/7384054300869217569?browserMode=1"/>
        <s v="https://www.tiktok.com/@liserdg/video/7399262478896614689"/>
        <s v="https://www.tiktok.com/@liserdg/video/7399698677285014817"/>
        <s v="https://www.tiktok.com/@liserdg/video/7404521868960501024"/>
        <s v="https://www.tiktok.com/@liserdg/video/7407523195101728033"/>
        <s v="https://www.tiktok.com/@liserdg/video/7418260695130623264"/>
        <s v="https://www.tiktok.com/@liserdg/video/7420486871957998880"/>
        <s v="https://www.tiktok.com/@liserdg/video/7431256738801667360?lang=en"/>
        <s v="https://www.tiktok.com/@liserdg/video/7441653570472135969?_t=8riqrKU7tr6&amp;_r=1"/>
        <s v="https://www.tiktok.com/@liserdg/video/7408641991967378720"/>
        <s v="https://www.tiktok.com/@liserdg/video/7381070326211317025"/>
        <s v="https://tiktok.com/@liserdg/video/7422323883673423136"/>
        <s v="https://www.tiktok.com/@lolatagliaferroo/video/7388560111800749345"/>
        <s v="https://www.tiktok.com/@lolatagliaferroo/video/7417167690537717024"/>
        <s v="https://www.tiktok.com/@lolatagliaferroo/video/7417539584071830816"/>
        <s v="https://www.tiktok.com/@lolatagliaferroo/video/7428671047366348065?lang=en"/>
        <s v="https://www.tiktok.com/@lolatagliaferroo/video/7445278458680266006?lang=en"/>
        <s v="https://www.tiktok.com/@melf.fnt/video/7372218331379666209"/>
        <s v="https://www.tiktok.com/@melf.fnt/video/7370750286744292641"/>
        <s v="https://www.tiktok.com/@melf.fnt/video/7383665768757579041"/>
        <s v="https://www.tiktok.com/@melf.fnt/video/7384078329554423073"/>
        <s v="https://www.tiktok.com/@melf.fnt/video/7388460088819797280"/>
        <s v="https://www.tiktok.com/@melf.fnt/video/7391885588057656609"/>
        <s v="https://www.tiktok.com/@melf.fnt/video/7399939773575613728"/>
        <s v="https://www.tiktok.com/@melf.fnt/video/7416390437692280096"/>
        <s v="https://www.tiktok.com/@melf.fnt/video/7415636160636013856"/>
        <s v="https://www.tiktok.com/@melf.fnt/video/7417407814903057697"/>
        <s v="https://www.tiktok.com/@melf.fnt/video/7422664116545801504"/>
        <s v="https://www.tiktok.com/@melf.fnt/video/7431619697042296096"/>
        <s v="https://www.tiktok.com/@melf.fnt/video/7428571977918500128"/>
        <s v="https://www.tiktok.com/@melf.fnt/video/7375924184494476577"/>
        <s v="https://www.tiktok.com/@melf.fnt/video/7395873680867233057"/>
        <s v="https://www.tiktok.com/@melf.fnt/video/7364824274315529505"/>
        <s v="https://www.tiktok.com/@melf.fnt/video/7400756804549971232"/>
        <s v="https://www.tiktok.com/@morgane.mrckk/video/7384031967643307296"/>
        <s v="https://www.tiktok.com/@morgane.mrckk/video/7402654625314196769"/>
        <s v="https://www.tiktok.com/@morgane.mrckk/video/7414534348910775584"/>
        <s v="https://www.tiktok.com/@morgane.mrckk/video/7413431476252970272"/>
        <s v="https://www.tiktok.com/@morgane.mrckk/video/7412302749104114977"/>
        <s v="https://www.tiktok.com/@morgane.mrckk/video/7423352236501241121"/>
        <s v="https://www.tiktok.com/@morgane.mrckk/video/7424156968429833504?lang=en"/>
        <s v="https://www.tiktok.com/@morgane.mrckk/video/7436771318671953185?lang=en"/>
        <s v="https://www.tiktok.com/@morgane.mrckk/video/7385545243870973216"/>
        <s v="https://www.tiktok.com/@morgane.mrckk/video/7397382935453764896"/>
        <s v="https://www.tiktok.com/@morgane.mrckk/video/7381070101392477472"/>
        <s v="https://www.tiktok.com/@morgane.mrckk/video/7416632134347033889"/>
      </sharedItems>
    </cacheField>
    <cacheField name="X">
      <sharedItems containsBlank="1" containsMixedTypes="1" containsNumber="1" containsInteger="1">
        <m/>
        <n v="350.0"/>
        <n v="420.0"/>
        <n v="320.0"/>
        <s v="https://www.instagram.com/reel/DEKlEAhCcsg/"/>
        <s v="ANAIS-10 Il offre -10% de réduction sur une commande sans minimum d’achat, hors frais de port, valable jusqu’au 30/04/2025"/>
        <s v="envoyer facture en anglais"/>
        <s v="deja facture"/>
        <s v="500 médiat"/>
        <s v="dont 150 de médiat"/>
        <s v="envoyer facture en €"/>
        <s v="médiat à confirmer 202,50€"/>
        <s v="ajouter code promo"/>
        <s v="lien en bio"/>
        <s v="rembourser Produits"/>
        <s v="facture déjà envoyée"/>
      </sharedItems>
    </cacheField>
    <cacheField name="Grapper" numFmtId="0">
      <sharedItems containsBlank="1">
        <s v="Oui"/>
        <s v="Non"/>
        <m/>
        <s v="Non "/>
      </sharedItems>
    </cacheField>
    <cacheField name="Date vente" numFmtId="164">
      <sharedItems containsDate="1" containsString="0" containsBlank="1">
        <d v="2024-03-01T00:00:00Z"/>
        <d v="2024-03-15T00:00:00Z"/>
        <m/>
        <d v="2024-03-30T00:00:00Z"/>
        <d v="2024-03-25T00:00:00Z"/>
        <d v="2024-04-08T00:00:00Z"/>
        <d v="2024-04-11T00:00:00Z"/>
        <d v="2024-03-21T00:00:00Z"/>
        <d v="2024-04-25T00:00:00Z"/>
        <d v="2024-04-19T00:00:00Z"/>
        <d v="2024-05-07T00:00:00Z"/>
        <d v="2024-05-06T00:00:00Z"/>
        <d v="2024-05-02T00:00:00Z"/>
        <d v="2024-05-13T00:00:00Z"/>
        <d v="2024-05-14T00:00:00Z"/>
        <d v="2024-03-20T00:00:00Z"/>
        <d v="2024-04-10T00:00:00Z"/>
        <d v="2024-05-30T00:00:00Z"/>
        <d v="2024-05-11T00:00:00Z"/>
        <d v="2024-04-30T00:00:00Z"/>
        <d v="2024-05-23T00:00:00Z"/>
        <d v="2024-05-16T00:00:00Z"/>
        <d v="2024-06-08T00:00:00Z"/>
        <d v="2024-06-20T00:00:00Z"/>
        <d v="2024-06-18T00:00:00Z"/>
        <d v="2024-06-12T00:00:00Z"/>
        <d v="2024-06-24T00:00:00Z"/>
        <d v="2024-06-11T00:00:00Z"/>
        <d v="2024-07-16T00:00:00Z"/>
        <d v="2024-07-25T00:00:00Z"/>
        <d v="2024-07-03T00:00:00Z"/>
        <d v="2024-06-17T00:00:00Z"/>
        <d v="2024-06-27T00:00:00Z"/>
        <d v="2024-07-06T00:00:00Z"/>
        <d v="2024-06-14T00:00:00Z"/>
        <d v="2024-07-24T00:00:00Z"/>
        <d v="2024-07-10T00:00:00Z"/>
        <d v="2024-08-01T00:00:00Z"/>
        <d v="2024-07-04T00:00:00Z"/>
        <d v="2024-07-23T00:00:00Z"/>
        <d v="2024-07-21T00:00:00Z"/>
        <d v="2024-08-06T00:00:00Z"/>
        <d v="2024-07-29T00:00:00Z"/>
        <d v="2024-07-30T00:00:00Z"/>
        <d v="2024-07-17T00:00:00Z"/>
        <d v="2024-08-02T00:00:00Z"/>
        <d v="2024-07-31T00:00:00Z"/>
        <d v="2024-08-21T00:00:00Z"/>
        <d v="2024-08-19T00:00:00Z"/>
        <d v="2024-08-13T00:00:00Z"/>
        <d v="2024-09-11T00:00:00Z"/>
        <d v="2024-08-16T00:00:00Z"/>
        <d v="2024-09-12T00:00:00Z"/>
        <d v="2024-08-23T00:00:00Z"/>
        <d v="2024-09-04T00:00:00Z"/>
        <d v="2025-05-20T00:00:00Z"/>
        <d v="2024-09-09T00:00:00Z"/>
        <d v="2024-08-28T00:00:00Z"/>
        <d v="2024-09-14T00:00:00Z"/>
        <d v="2024-09-13T00:00:00Z"/>
        <d v="2024-08-20T00:00:00Z"/>
        <d v="2024-09-26T00:00:00Z"/>
        <d v="2024-08-29T00:00:00Z"/>
        <d v="2025-05-13T00:00:00Z"/>
        <d v="2024-09-03T00:00:00Z"/>
        <d v="2024-09-27T00:00:00Z"/>
        <d v="2024-10-01T00:00:00Z"/>
        <d v="2025-05-07T00:00:00Z"/>
        <d v="2024-10-28T00:00:00Z"/>
        <d v="2024-09-10T00:00:00Z"/>
        <d v="2024-10-15T00:00:00Z"/>
        <d v="2024-10-29T00:00:00Z"/>
        <d v="2024-10-24T00:00:00Z"/>
        <d v="2024-10-02T00:00:00Z"/>
        <d v="2024-10-30T00:00:00Z"/>
        <d v="2024-10-14T00:00:00Z"/>
        <d v="2024-10-25T00:00:00Z"/>
        <d v="2024-11-05T00:00:00Z"/>
        <d v="2024-11-08T00:00:00Z"/>
        <d v="2024-11-04T00:00:00Z"/>
        <d v="2024-10-23T00:00:00Z"/>
        <d v="2024-11-29T00:00:00Z"/>
        <d v="2024-11-19T00:00:00Z"/>
        <d v="2024-12-09T00:00:00Z"/>
        <d v="2024-11-26T00:00:00Z"/>
        <d v="2024-11-25T00:00:00Z"/>
        <d v="2024-12-05T00:00:00Z"/>
        <d v="2024-12-16T00:00:00Z"/>
        <d v="2024-11-11T00:00:00Z"/>
        <d v="2024-12-03T00:00:00Z"/>
        <d v="2024-12-24T00:00:00Z"/>
        <d v="2025-02-20T00:00:00Z"/>
        <d v="2024-12-23T00:00:00Z"/>
        <d v="2025-01-07T00:00:00Z"/>
        <d v="2024-12-12T00:00:00Z"/>
        <d v="2025-01-21T00:00:00Z"/>
        <d v="2025-01-24T00:00:00Z"/>
        <d v="2025-01-17T00:00:00Z"/>
        <d v="2025-01-09T00:00:00Z"/>
        <d v="2025-01-27T00:00:00Z"/>
        <d v="2025-01-23T00:00:00Z"/>
        <d v="2024-10-22T00:00:00Z"/>
        <d v="2024-10-21T00:00:00Z"/>
        <d v="2025-01-22T00:00:00Z"/>
        <d v="2025-01-16T00:00:00Z"/>
        <d v="2025-02-12T00:00:00Z"/>
        <d v="2025-02-18T00:00:00Z"/>
        <d v="2025-01-29T00:00:00Z"/>
        <d v="2025-02-14T00:00:00Z"/>
        <d v="2025-02-15T00:00:00Z"/>
        <d v="2025-02-06T00:00:00Z"/>
        <d v="2025-02-21T00:00:00Z"/>
        <d v="2025-03-31T00:00:00Z"/>
        <d v="2025-02-26T00:00:00Z"/>
        <d v="2025-02-28T00:00:00Z"/>
        <d v="2025-02-25T00:00:00Z"/>
        <d v="2025-02-19T00:00:00Z"/>
        <d v="2025-03-11T00:00:00Z"/>
        <d v="2025-03-21T00:00:00Z"/>
        <d v="2025-03-12T00:00:00Z"/>
        <d v="2025-03-17T00:00:00Z"/>
        <d v="2025-03-24T00:00:00Z"/>
        <d v="2025-03-10T00:00:00Z"/>
        <d v="2025-03-14T00:00:00Z"/>
        <d v="2025-04-17T00:00:00Z"/>
        <d v="2025-03-16T00:00:00Z"/>
        <d v="2025-04-04T00:00:00Z"/>
        <d v="2025-04-07T00:00:00Z"/>
        <d v="2025-04-15T00:00:00Z"/>
        <d v="2025-04-25T00:00:00Z"/>
        <d v="2025-05-16T00:00:00Z"/>
        <d v="2025-04-14T00:00:00Z"/>
        <d v="2025-03-28T00:00:00Z"/>
        <d v="2025-03-06T00:00:00Z"/>
        <d v="2025-03-20T00:00:00Z"/>
        <d v="2025-04-09T00:00:00Z"/>
        <d v="2025-04-11T00:00:00Z"/>
        <d v="2025-03-13T00:00:00Z"/>
        <d v="2025-04-08T00:00:00Z"/>
        <d v="2025-04-30T00:00:00Z"/>
        <d v="2025-04-21T00:00:00Z"/>
        <d v="2025-06-02T00:00:00Z"/>
        <d v="2025-06-10T00:00:00Z"/>
        <d v="2025-03-30T00:00:00Z"/>
        <d v="2025-03-26T00:00:00Z"/>
        <d v="2025-06-20T00:00:00Z"/>
        <d v="2025-02-10T00:00:00Z"/>
        <d v="2025-05-19T00:00:00Z"/>
        <d v="2025-04-24T00:00:00Z"/>
        <d v="2025-06-26T00:00:00Z"/>
        <d v="2025-05-23T00:00:00Z"/>
        <d v="2025-05-06T00:00:00Z"/>
        <d v="2025-05-24T00:00:00Z"/>
        <d v="2025-06-05T00:00:00Z"/>
        <d v="2025-05-27T00:00:00Z"/>
        <d v="2025-06-12T00:00:00Z"/>
        <d v="2025-05-28T00:00:00Z"/>
        <d v="2025-06-16T00:00:00Z"/>
        <d v="2025-06-18T00:00:00Z"/>
        <d v="2025-06-11T00:00:00Z"/>
        <d v="2025-06-23T00:00:00Z"/>
        <d v="2025-02-03T00:00:00Z"/>
        <d v="2025-06-04T00:00:00Z"/>
        <d v="2025-05-22T00:00:00Z"/>
        <d v="2025-06-22T00:00:00Z"/>
        <d v="2025-07-16T00:00:00Z"/>
        <d v="2025-06-19T00:00:00Z"/>
        <d v="2025-07-01T00:00:00Z"/>
        <d v="2025-06-17T00:00:00Z"/>
        <d v="2025-06-13T00:00:00Z"/>
        <d v="2025-07-03T00:00:00Z"/>
        <d v="2024-10-18T00:00:00Z"/>
        <d v="2025-05-29T00:00:00Z"/>
        <d v="2025-06-30T00:00:00Z"/>
        <d v="2025-03-07T00:00:00Z"/>
        <d v="2024-09-08T00:00:00Z"/>
        <d v="2024-10-08T00:00:00Z"/>
        <d v="2024-11-13T00:00:00Z"/>
        <d v="2024-12-10T00:00:00Z"/>
        <d v="2024-12-04T00:00:00Z"/>
        <d v="2024-06-07T00:00:00Z"/>
        <d v="2024-05-31T00:00:00Z"/>
        <d v="2025-02-23T00:00:00Z"/>
        <d v="2024-11-07T00:00:00Z"/>
        <d v="2024-11-28T00:00:00Z"/>
        <d v="2024-12-18T00:00:00Z"/>
        <d v="2025-02-11T00:00:00Z"/>
        <d v="2025-02-07T00:00:00Z"/>
        <d v="2024-09-05T00:00:00Z"/>
        <d v="2024-12-13T00:00:00Z"/>
        <d v="2024-03-08T00:00:00Z"/>
        <d v="2024-04-22T00:00:00Z"/>
        <d v="2024-05-17T00:00:00Z"/>
        <d v="2024-04-24T00:00:00Z"/>
        <d v="2024-05-24T00:00:00Z"/>
        <d v="2024-07-19T00:00:00Z"/>
        <d v="2024-08-09T00:00:00Z"/>
        <d v="2024-07-01T00:00:00Z"/>
        <d v="2024-08-26T00:00:00Z"/>
        <d v="2024-09-17T00:00:00Z"/>
        <d v="2024-09-25T00:00:00Z"/>
        <d v="2024-09-30T00:00:00Z"/>
        <d v="2024-10-10T00:00:00Z"/>
        <d v="2024-12-02T00:00:00Z"/>
        <d v="2025-01-06T00:00:00Z"/>
        <d v="2025-01-13T00:00:00Z"/>
        <d v="2024-06-26T00:00:00Z"/>
        <d v="2024-08-07T00:00:00Z"/>
        <d v="2024-07-11T00:00:00Z"/>
        <d v="2024-09-16T00:00:00Z"/>
        <d v="2024-11-14T00:00:00Z"/>
        <d v="2024-03-22T00:00:00Z"/>
        <d v="2024-04-06T00:00:00Z"/>
        <d v="2024-04-07T00:00:00Z"/>
        <d v="2024-06-04T00:00:00Z"/>
        <d v="2024-10-11T00:00:00Z"/>
        <d v="2024-03-23T00:00:00Z"/>
        <d v="2024-04-04T00:00:00Z"/>
        <d v="2024-04-09T00:00:00Z"/>
        <d v="2024-05-21T00:00:00Z"/>
        <d v="2024-05-27T00:00:00Z"/>
        <d v="2024-08-27T00:00:00Z"/>
        <d v="2025-04-12T00:00:00Z"/>
        <d v="2024-02-28T00:00:00Z"/>
        <d v="2024-05-28T00:00:00Z"/>
        <d v="2024-09-23T00:00:00Z"/>
        <d v="2024-06-30T00:00:00Z"/>
        <d v="2024-09-20T00:00:00Z"/>
        <d v="2024-10-07T00:00:00Z"/>
        <d v="2024-03-27T00:00:00Z"/>
        <d v="2024-04-13T00:00:00Z"/>
        <d v="2024-04-27T00:00:00Z"/>
        <d v="2024-01-15T00:00:00Z"/>
        <d v="2024-01-14T00:00:00Z"/>
        <d v="2025-03-18T00:00:00Z"/>
        <d v="2024-05-18T00:00:00Z"/>
        <d v="2024-06-19T00:00:00Z"/>
        <d v="2024-10-09T00:00:00Z"/>
        <d v="2024-11-12T00:00:00Z"/>
        <d v="2024-12-19T00:00:00Z"/>
        <d v="2025-02-22T00:00:00Z"/>
        <d v="2024-03-26T00:00:00Z"/>
        <d v="2024-05-20T00:00:00Z"/>
        <d v="2024-07-08T00:00:00Z"/>
        <d v="2024-11-22T00:00:00Z"/>
        <d v="2024-10-31T00:00:00Z"/>
        <d v="2024-07-15T00:00:00Z"/>
        <d v="2024-09-24T00:00:00Z"/>
        <d v="2024-02-15T00:00:00Z"/>
        <d v="2024-04-26T00:00:00Z"/>
        <d v="2024-06-03T00:00:00Z"/>
        <d v="2024-04-12T00:00:00Z"/>
        <d v="2024-07-09T00:00:00Z"/>
        <d v="2024-09-29T00:00:00Z"/>
        <d v="2024-10-06T00:00:00Z"/>
        <d v="2024-10-16T00:00:00Z"/>
      </sharedItems>
    </cacheField>
    <cacheField name="Commission" numFmtId="166">
      <sharedItems containsString="0" containsBlank="1" containsNumber="1">
        <n v="14.0"/>
        <m/>
        <n v="40.0"/>
        <n v="125.0"/>
        <n v="20.0"/>
        <n v="130.0"/>
        <n v="112.5"/>
        <n v="157.48"/>
        <n v="50.0"/>
        <n v="450.0"/>
        <n v="43.75"/>
        <n v="62.5"/>
        <n v="200.0"/>
        <n v="45.0"/>
        <n v="46.0"/>
        <n v="75.0"/>
        <n v="90.0"/>
        <n v="16.0"/>
        <n v="37.5"/>
        <n v="150.0"/>
        <n v="87.5"/>
        <n v="159.29999999999998"/>
        <n v="100.0"/>
        <n v="135.0"/>
        <n v="60.32"/>
        <n v="250.0"/>
        <n v="30.0"/>
        <n v="22.5"/>
        <n v="82.5"/>
        <n v="41.25"/>
        <n v="70.0"/>
        <n v="120.0"/>
        <n v="60.0"/>
        <n v="180.0"/>
        <n v="80.0"/>
        <n v="105.0"/>
        <n v="157.944"/>
        <n v="312.5"/>
        <n v="209.76000000000002"/>
        <n v="71.587"/>
        <n v="34.6"/>
        <n v="360.0"/>
        <n v="187.5"/>
        <n v="210.0"/>
        <n v="117.99"/>
        <n v="540.0"/>
        <n v="114.75"/>
        <n v="97.5"/>
        <n v="0.0"/>
        <n v="195.0"/>
        <n v="34.0"/>
        <n v="240.0"/>
        <n v="225.0"/>
        <n v="300.0"/>
        <n v="58.5"/>
        <n v="285.0"/>
        <n v="253.125"/>
        <n v="15.0"/>
        <n v="600.0"/>
        <n v="99.99999999999999"/>
        <n v="270.0"/>
        <n v="174.6"/>
        <n v="58.2"/>
        <n v="291.0"/>
        <n v="175.0"/>
        <n v="555.0"/>
        <n v="375.0"/>
        <n v="282.0"/>
        <n v="750.0"/>
        <n v="255.0"/>
        <n v="330.0"/>
        <n v="202.5"/>
        <n v="165.6"/>
        <n v="165.039"/>
        <n v="420.0"/>
        <n v="281.25"/>
        <n v="118.52699999999999"/>
        <n v="123.21600000000001"/>
        <n v="165.0"/>
        <n v="152.49"/>
        <n v="111.0"/>
        <n v="390.0"/>
        <n v="147.861"/>
        <n v="33.333333333333336"/>
        <n v="989.4"/>
        <n v="199.99999999999997"/>
        <n v="186.0"/>
        <n v="33.75"/>
        <n v="65.22"/>
        <n v="500.0"/>
        <n v="937.5"/>
        <n v="93.0"/>
        <n v="264.0"/>
        <n v="387.0"/>
        <n v="252.0"/>
        <n v="180.6"/>
        <n v="57.0"/>
        <n v="1733.0"/>
        <n v="140.0"/>
        <n v="25.0"/>
        <n v="56.25"/>
        <n v="235.0"/>
      </sharedItems>
    </cacheField>
    <cacheField name="Facture envoyé" numFmtId="4">
      <sharedItems containsBlank="1">
        <b v="1"/>
        <b v="0"/>
        <m/>
      </sharedItems>
    </cacheField>
    <cacheField name="Mail" numFmtId="0">
      <sharedItems containsBlank="1">
        <m/>
        <s v="fgirault3@gmail.com"/>
        <s v="lilyy.nl@grapperagency.com"/>
        <s v="orane.baron1403@gmail.com"/>
        <e v="#N/A"/>
        <s v="imlolytahproacc@gmail.com"/>
        <s v="cmepls.pro@gmail.com"/>
        <s v="lola140204@gmail.com"/>
        <s v="juliane.bernard57@icloud.com"/>
        <s v="linamokrane75@yahoo.fr"/>
        <s v="alicemauguin.l@gmail.com"/>
        <s v="lauclr.pro@gmail.com"/>
        <s v="chiara@grapperagency.com"/>
        <s v="terpperrine@gmail.com"/>
        <s v="lovelyMytb@gmail.com "/>
        <s v="pauline@grapperagency.com"/>
        <s v="liserdg.pro@gmail.com "/>
        <s v="jeannebayart@gmail.com"/>
        <s v="marylinezh@gmail.com "/>
        <s v="anaiswry@yahoo.fr"/>
        <s v="iimslmapro@outlook.fr"/>
        <s v="shaaadl.pro@gmail.com"/>
        <s v="jasminepro26@icloud.com "/>
        <s v="asmae-nemar@hotmail.fr "/>
        <s v="truttirachel@gmail.com"/>
        <s v="arwen.mechineau@outlook.fr"/>
        <s v="ciman530@gmail.com"/>
        <s v="moped@grapperagency.com"/>
        <s v="Douns.collab@gmail.com"/>
        <s v="hello.gurbet@gmail.com "/>
        <s v="amani.mee10@gmail.com"/>
        <s v="hidaya.7bl@gmail.com "/>
        <s v="Sirine.yza@gmail.com"/>
        <s v="aubeneauu@gmail.com "/>
        <s v="stzmarine6@gmail.com"/>
        <s v="c_15e3504fd6fde5b88106b6d99934e830e051067bbd4af855bfd432d30fc2f262@group.calendar.google.com"/>
        <s v="Lyassa.ospro@gmail.com "/>
        <s v="farahdisiaque@gmail.com"/>
        <s v="nidal.daghmi.pro@gmail.com "/>
        <s v="contact.amandambt@gmail.com "/>
        <s v="Fontanel.lily@gmail.com"/>
      </sharedItems>
    </cacheField>
    <cacheField name="Event Brouillon" numFmtId="0">
      <sharedItems containsBlank="1">
        <m/>
        <b v="0"/>
        <b v="1"/>
      </sharedItems>
    </cacheField>
    <cacheField name="Calendar ID pour brouillon" numFmtId="0">
      <sharedItems containsBlank="1">
        <m/>
        <s v="c_b412638d97e7dcffa392ccd62e6d5e2eccb052c0c08de7e1e7d547811d81c44c@group.calendar.google.com"/>
        <s v="c_665764ca21c8e4b3814e25bf24bc7074fa55890dce5d4073abb0fdddc70649d4@group.calendar.google.com"/>
        <s v="c_b9aea0629908ddbafe7229688ea55dc9d65b9e6b1a8ed4492c7ca84aa703d076@group.calendar.google.com"/>
        <e v="#N/A"/>
        <s v="c_007bb5dfd61adc34e7d7f1093213e03f31b2abfb546bee3afc00b412de414680@group.calendar.google.com"/>
        <s v="c_15e3504fd6fde5b88106b6d99934e830e051067bbd4af855bfd432d30fc2f262@group.calendar.google.com"/>
        <s v="Done"/>
        <s v="c_8f3f6ef786f2df9238426a478307dbddffb576ace587133cfa65ca553e2f967a@group.calendar.google.com"/>
        <s v="c_f6970d92e9be72b1307e3c015a265d69ae87140c691e7728bc83462544d82455@group.calendar.google.com"/>
        <s v="c_569af196f9b5e28fc536ca0422e6405e6d4e402300b9504eaa944f45c672daff@group.calendar.google.com"/>
        <s v="c_d711460494b2c9d7a466bc3cd0cd029a9c5b76b083052f7dc41ad949a3753d20@group.calendar.google.com"/>
        <s v="c_a715193c206b2aa1e4b81b8a3772df33bf92c92611202a890a6bccecb2131fcb@group.calendar.google.com"/>
        <s v="c_68f94d9ebfae6399f09ec01b19d2012d5d2b7c5efbd47328c79c373cbeec7a5b@group.calendar.google.com"/>
        <s v="c_3454aaede6db5cd8de24b4c70b8c6f3570b98e436e1f71e91d12b7a673ab3f97@group.calendar.google.com"/>
        <s v="c_2754856c5047affc6767bb85fb787591389bf7d14d3afd368efdff9979492ab5@group.calendar.google.com"/>
        <s v="c_9384058245a0bc66157c09691047ea8f88622323c6761b8606c18d9b08ee0bf8@group.calendar.google.com"/>
        <s v="c_b534e1be73647e660d74cbb308a8c39b0102a8b56261b3886e0967d9ee34f368@group.calendar.google.com"/>
        <s v="c_8d6793f7bb6abb58456593287891e1c91528d006316df4ef7bdb59fa0d40b64f@group.calendar.google.com"/>
        <s v="c_35f3aada7c9c0ba626ac56e6cf10c5959c56663450ffd058a5bdc005508d0954@group.calendar.google.com"/>
        <s v="c_14943542450de5ffc0c20a93db15c7c0757a89aaa373292182138a3a691be245@group.calendar.google.com"/>
        <s v="c_df86b3d6c5aa83af7e7dadc1108907ecb89d8fc7e4b645a62e375b31e7b5e3a3@group.calendar.google.com"/>
        <s v="c_0d9eaa4cfb55a8e552117f53a91a7c3c2f5164632253d0e265f7de4e3a4737c4@group.calendar.google.com"/>
        <s v="c_2208b8e561439ebc2637feb15fe2d308d5719cc64460071de6ba0c674eba6118@group.calendar.google.com"/>
        <s v="c_db1fbd259183311b30d5bfa9e5494d85e4aa71562c2d699763ba11e15f3e8a3b@group.calendar.google.com"/>
        <s v="c_a80d776e58d8881ef4e876da99555e813842eeed9733f23e6f4b85d237e1fdec@group.calendar.google.com"/>
        <s v="c_3d8e6f3013c2064d1cf20c38ef5246d33ef6635ebbbd3c9abb7c506fa9eefde3@group.calendar.google.com"/>
        <s v="c_0fe46f911aa7c417189a62fdd8716ddaaef232a02bd45c49b9c02c6d6e2e4815@group.calendar.google.com"/>
        <s v="c_4bf2087a99450838a520f4ce4fc6de01f87130a4f381347449792eaf1546cc46@group.calendar.google.com"/>
        <s v="c_056be6e79a6fa62e8f2a68280313995615b47a17f2b3679481d262413ec95701@group.calendar.google.com"/>
        <s v="c_82243c858a94977b161cc883035793aa376a03b467dcc33d001d9ca49835cdb3@group.calendar.google.com"/>
        <s v="c_d2ee2c2110f1f2bc5b089d0edb8b480581f78d93077274c225fcfc530518b2ca@group.calendar.google.com"/>
        <s v="c_c2a91e309d1b6dc37cabc837fe79ebdcdbabcaff13a6376ec109ab3d73862812@group.calendar.google.com"/>
        <s v="c_2ab5bc877123c6d06b681700306d382bcc765d7810badc543daeacf05260ecd9@group.calendar.google.com"/>
        <s v="Error: Calendar not found!"/>
        <s v="c_311aaffc8651807276a982d2e3621559621998746b9adad33a9304b73b24dbd9@group.calendar.google.com"/>
        <s v="c_3049f29ec7ef21ab890fb708cade8a20fa94574faa4b9a9f528d8a665fbc6262@group.calendar.google.com"/>
        <s v="c_ebde6df3eb6b0899fbe6696247d2e4255b950c6e1d491bbce480648f603c2f22@group.calendar.google.com"/>
        <s v="c_6fd5f3c25278bd569c413814d6452fc4f9cb936bb38174e89b1cb54f9ec7c89d@group.calendar.google.com"/>
        <s v="c_63ea68c9b2bd76e0f3279abf94d6d8255c36c6dc090b9a1df4d31db84c3a049c@group.calendar.google.com"/>
        <s v="Error: The parameters (String,String,(class)) don't match the method signature for CalendarApp.Calendar.createAllDayEvent."/>
        <s v="c_ef2f5a817a776785477f597bd1081d6a57d8380a8013026b8ce9895920f902e2@group.calendar.google.com"/>
        <s v="c_82544f5a034269c2d78a04494afd80a3940635f25bd2a7f23eb7c2af3d0dd46f@group.calendar.google.com"/>
      </sharedItems>
    </cacheField>
    <cacheField name="Event Post" numFmtId="0">
      <sharedItems containsBlank="1">
        <m/>
        <b v="0"/>
        <b v="1"/>
      </sharedItems>
    </cacheField>
    <cacheField name="Calendar ID Post" numFmtId="0">
      <sharedItems containsBlank="1">
        <m/>
        <s v="c_b412638d97e7dcffa392ccd62e6d5e2eccb052c0c08de7e1e7d547811d81c44c@group.calendar.google.com"/>
        <s v="c_665764ca21c8e4b3814e25bf24bc7074fa55890dce5d4073abb0fdddc70649d4@group.calendar.google.com"/>
        <s v="Done"/>
        <e v="#N/A"/>
        <s v="c_b9aea0629908ddbafe7229688ea55dc9d65b9e6b1a8ed4492c7ca84aa703d076@group.calendar.google.com"/>
        <s v="c_8f3f6ef786f2df9238426a478307dbddffb576ace587133cfa65ca553e2f967a@group.calendar.google.com"/>
        <s v="c_f6970d92e9be72b1307e3c015a265d69ae87140c691e7728bc83462544d82455@group.calendar.google.com"/>
        <s v="c_569af196f9b5e28fc536ca0422e6405e6d4e402300b9504eaa944f45c672daff@group.calendar.google.com"/>
        <s v="c_d711460494b2c9d7a466bc3cd0cd029a9c5b76b083052f7dc41ad949a3753d20@group.calendar.google.com"/>
        <s v="c_a715193c206b2aa1e4b81b8a3772df33bf92c92611202a890a6bccecb2131fcb@group.calendar.google.com"/>
        <s v="c_007bb5dfd61adc34e7d7f1093213e03f31b2abfb546bee3afc00b412de414680@group.calendar.google.com"/>
        <s v="c_15e3504fd6fde5b88106b6d99934e830e051067bbd4af855bfd432d30fc2f262@group.calendar.google.com"/>
        <s v="Error: Invalid dates"/>
        <s v="c_6fd5f3c25278bd569c413814d6452fc4f9cb936bb38174e89b1cb54f9ec7c89d@group.calendar.google.com"/>
        <s v="c_3d8e6f3013c2064d1cf20c38ef5246d33ef6635ebbbd3c9abb7c506fa9eefde3@group.calendar.google.com"/>
        <s v="c_68f94d9ebfae6399f09ec01b19d2012d5d2b7c5efbd47328c79c373cbeec7a5b@group.calendar.google.com"/>
        <s v="c_3454aaede6db5cd8de24b4c70b8c6f3570b98e436e1f71e91d12b7a673ab3f97@group.calendar.google.com"/>
        <s v="c_2754856c5047affc6767bb85fb787591389bf7d14d3afd368efdff9979492ab5@group.calendar.google.com"/>
        <s v="c_9384058245a0bc66157c09691047ea8f88622323c6761b8606c18d9b08ee0bf8@group.calendar.google.com"/>
        <s v="Error: Calendar not found!"/>
        <s v="c_8d6793f7bb6abb58456593287891e1c91528d006316df4ef7bdb59fa0d40b64f@group.calendar.google.com"/>
        <s v="c_35f3aada7c9c0ba626ac56e6cf10c5959c56663450ffd058a5bdc005508d0954@group.calendar.google.com"/>
        <s v="c_14943542450de5ffc0c20a93db15c7c0757a89aaa373292182138a3a691be245@group.calendar.google.com"/>
        <s v="c_df86b3d6c5aa83af7e7dadc1108907ecb89d8fc7e4b645a62e375b31e7b5e3a3@group.calendar.google.com"/>
        <s v="c_0d9eaa4cfb55a8e552117f53a91a7c3c2f5164632253d0e265f7de4e3a4737c4@group.calendar.google.com"/>
        <s v="c_d2ee2c2110f1f2bc5b089d0edb8b480581f78d93077274c225fcfc530518b2ca@group.calendar.google.com"/>
        <s v="c_db1fbd259183311b30d5bfa9e5494d85e4aa71562c2d699763ba11e15f3e8a3b@group.calendar.google.com"/>
        <s v="c_a80d776e58d8881ef4e876da99555e813842eeed9733f23e6f4b85d237e1fdec@group.calendar.google.com"/>
        <s v="c_2208b8e561439ebc2637feb15fe2d308d5719cc64460071de6ba0c674eba6118@group.calendar.google.com"/>
        <s v="c_b534e1be73647e660d74cbb308a8c39b0102a8b56261b3886e0967d9ee34f368@group.calendar.google.com"/>
        <s v="c_0fe46f911aa7c417189a62fdd8716ddaaef232a02bd45c49b9c02c6d6e2e4815@group.calendar.google.com"/>
        <s v="c_056be6e79a6fa62e8f2a68280313995615b47a17f2b3679481d262413ec95701@group.calendar.google.com"/>
        <s v="c_4bf2087a99450838a520f4ce4fc6de01f87130a4f381347449792eaf1546cc46@group.calendar.google.com"/>
        <s v="c_82243c858a94977b161cc883035793aa376a03b467dcc33d001d9ca49835cdb3@group.calendar.google.com"/>
        <s v="c_c2a91e309d1b6dc37cabc837fe79ebdcdbabcaff13a6376ec109ab3d73862812@group.calendar.google.com"/>
        <s v="c_311aaffc8651807276a982d2e3621559621998746b9adad33a9304b73b24dbd9@group.calendar.google.com"/>
        <s v="c_3049f29ec7ef21ab890fb708cade8a20fa94574faa4b9a9f528d8a665fbc6262@group.calendar.google.com"/>
        <s v="c_ebde6df3eb6b0899fbe6696247d2e4255b950c6e1d491bbce480648f603c2f22@group.calendar.google.com"/>
        <s v="c_2ab5bc877123c6d06b681700306d382bcc765d7810badc543daeacf05260ecd9@group.calendar.google.com"/>
        <s v="c_ef2f5a817a776785477f597bd1081d6a57d8380a8013026b8ce9895920f902e2@group.calendar.google.com"/>
        <s v="c_82544f5a034269c2d78a04494afd80a3940635f25bd2a7f23eb7c2af3d0dd46f@group.calendar.google.com"/>
      </sharedItems>
    </cacheField>
    <cacheField name="Date Estimée de Réception" numFmtId="0">
      <sharedItems containsDate="1" containsString="0" containsBlank="1">
        <m/>
        <d v="2024-09-04T00:00:00Z"/>
      </sharedItems>
    </cacheField>
    <cacheField name="Date Réelle de Réception" numFmtId="0">
      <sharedItems containsString="0" containsBlank="1">
        <m/>
      </sharedItems>
    </cacheField>
    <cacheField name="Status Colis" numFmtId="0">
      <sharedItems containsBlank="1">
        <m/>
        <s v="Reçu"/>
        <s v="Pas reçu"/>
        <s v="En Attente"/>
      </sharedItems>
    </cacheField>
    <cacheField name="Commentaires" numFmtId="0">
      <sharedItems containsString="0" containsBlank="1">
        <m/>
      </sharedItems>
    </cacheField>
    <cacheField name="ID Form" numFmtId="0">
      <sharedItems containsBlank="1">
        <m/>
        <s v="1F40mnL3JpqXpe0o5qrbDG4GuV9h68eR7gA-3pUAyNHM"/>
      </sharedItems>
    </cacheField>
  </cacheFields>
</pivotCacheDefinition>
</file>

<file path=xl/pivotCache/pivotCacheDefinition9.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AC1400" sheet="Global1"/>
  </cacheSource>
  <cacheFields>
    <cacheField name="Talent" numFmtId="0">
      <sharedItems containsBlank="1">
        <s v="Pauline"/>
        <s v="Chiara"/>
        <s v="Melissa"/>
        <s v="Camille"/>
        <s v="Lily Noël"/>
        <s v="Lina"/>
        <s v="Flavie"/>
        <s v="Jessica"/>
        <s v="Orane"/>
        <s v="Lola"/>
        <s v="Juliane"/>
        <s v="Alice"/>
        <s v="Laurie"/>
        <s v="Perrine"/>
        <s v="Morgane"/>
        <s v="Lise"/>
        <s v="Jeanne"/>
        <s v="Mary"/>
        <s v="Melissa P"/>
        <s v="Anaïs"/>
        <s v="Salma"/>
        <s v="Aïcha"/>
        <s v="Jasmine"/>
        <s v="Asmae"/>
        <s v="Rachel"/>
        <s v="Arwen"/>
        <s v="Iman"/>
        <s v="Moped"/>
        <s v="Dounia"/>
        <s v="Gurbet"/>
        <s v="Amani"/>
        <s v="Hidaya"/>
        <s v="Sirine"/>
        <s v="Eloise"/>
        <s v="Imane"/>
        <s v="Marine"/>
        <s v="Sofia"/>
        <s v="Sarah"/>
        <s v="Eiliassa"/>
        <s v="Farah"/>
        <s v="Estelle"/>
        <s v="Juliette"/>
        <s v="Nidal"/>
        <s v="Lola H."/>
        <s v="Morgane C"/>
        <s v="Chloe"/>
        <s v="Laura"/>
        <s v="Lilou"/>
        <s v="Lily"/>
        <s v="Amanda"/>
        <s v="Glenn"/>
        <s v="--"/>
        <s v="Amelle"/>
        <s v="Angie"/>
        <s v="Fanny"/>
        <s v="Laurine"/>
        <s v="Marlène"/>
        <s v="Migos Media"/>
        <s v="Romane"/>
        <s v="Maeva"/>
        <s v="Gurbet "/>
        <s v="Juliette D"/>
        <s v="Laura F"/>
        <m/>
      </sharedItems>
    </cacheField>
    <cacheField name="Date Création" numFmtId="164">
      <sharedItems containsDate="1" containsString="0" containsBlank="1">
        <d v="2024-03-01T00:00:00Z"/>
        <d v="2024-03-15T00:00:00Z"/>
        <m/>
        <d v="2024-03-30T00:00:00Z"/>
        <d v="2024-03-25T00:00:00Z"/>
        <d v="2024-04-08T00:00:00Z"/>
        <d v="2024-04-11T00:00:00Z"/>
        <d v="2024-03-21T00:00:00Z"/>
        <d v="2024-04-25T00:00:00Z"/>
        <d v="2024-04-19T00:00:00Z"/>
        <d v="2024-05-07T00:00:00Z"/>
        <d v="2024-05-06T00:00:00Z"/>
        <d v="2024-05-02T00:00:00Z"/>
        <d v="2024-05-13T00:00:00Z"/>
        <d v="2024-05-14T00:00:00Z"/>
        <d v="2024-03-20T00:00:00Z"/>
        <d v="2024-04-10T00:00:00Z"/>
        <d v="2024-05-30T00:00:00Z"/>
        <d v="2024-05-11T00:00:00Z"/>
        <d v="2024-04-30T00:00:00Z"/>
        <d v="2024-05-23T00:00:00Z"/>
        <d v="2024-05-16T00:00:00Z"/>
        <d v="2024-06-08T00:00:00Z"/>
        <d v="2024-06-20T00:00:00Z"/>
        <d v="2024-06-18T00:00:00Z"/>
        <d v="2024-06-12T00:00:00Z"/>
        <d v="2024-06-24T00:00:00Z"/>
        <d v="2024-06-11T00:00:00Z"/>
        <d v="2024-07-16T00:00:00Z"/>
        <d v="2024-07-25T00:00:00Z"/>
        <d v="2024-07-03T00:00:00Z"/>
        <d v="2024-06-17T00:00:00Z"/>
        <d v="2024-06-27T00:00:00Z"/>
        <d v="2024-07-06T00:00:00Z"/>
        <d v="2024-06-14T00:00:00Z"/>
        <d v="2024-07-24T00:00:00Z"/>
        <d v="2024-07-10T00:00:00Z"/>
        <d v="2024-08-01T00:00:00Z"/>
        <d v="2024-07-04T00:00:00Z"/>
        <d v="2024-07-23T00:00:00Z"/>
        <d v="2024-07-21T00:00:00Z"/>
        <d v="2024-08-06T00:00:00Z"/>
        <d v="2024-07-29T00:00:00Z"/>
        <d v="2024-07-30T00:00:00Z"/>
        <d v="2024-07-17T00:00:00Z"/>
        <d v="2024-08-02T00:00:00Z"/>
        <d v="2024-07-31T00:00:00Z"/>
        <d v="2024-08-21T00:00:00Z"/>
        <d v="2024-08-19T00:00:00Z"/>
        <d v="2024-08-13T00:00:00Z"/>
        <d v="2024-09-11T00:00:00Z"/>
        <d v="2024-08-16T00:00:00Z"/>
        <d v="2024-09-12T00:00:00Z"/>
        <d v="2024-08-23T00:00:00Z"/>
        <d v="2024-09-04T00:00:00Z"/>
        <d v="2025-05-20T00:00:00Z"/>
        <d v="2024-09-09T00:00:00Z"/>
        <d v="2024-08-28T00:00:00Z"/>
        <d v="2024-09-14T00:00:00Z"/>
        <d v="2024-09-13T00:00:00Z"/>
        <d v="2024-08-20T00:00:00Z"/>
        <d v="2024-09-26T00:00:00Z"/>
        <d v="2024-08-29T00:00:00Z"/>
        <d v="2025-05-13T00:00:00Z"/>
        <d v="2024-09-03T00:00:00Z"/>
        <d v="2024-09-27T00:00:00Z"/>
        <d v="2024-10-01T00:00:00Z"/>
        <d v="2025-05-07T00:00:00Z"/>
        <d v="2024-10-28T00:00:00Z"/>
        <d v="2024-09-10T00:00:00Z"/>
        <d v="2024-10-15T00:00:00Z"/>
        <d v="2024-10-29T00:00:00Z"/>
        <d v="2024-10-24T00:00:00Z"/>
        <d v="2024-10-02T00:00:00Z"/>
        <d v="2024-10-30T00:00:00Z"/>
        <d v="2024-10-14T00:00:00Z"/>
        <d v="2024-10-25T00:00:00Z"/>
        <d v="2024-11-05T00:00:00Z"/>
        <d v="2024-11-08T00:00:00Z"/>
        <d v="2024-11-04T00:00:00Z"/>
        <d v="2024-10-23T00:00:00Z"/>
        <d v="2024-11-29T00:00:00Z"/>
        <d v="2024-11-19T00:00:00Z"/>
        <d v="2024-12-09T00:00:00Z"/>
        <d v="2024-11-26T00:00:00Z"/>
        <d v="2024-11-25T00:00:00Z"/>
        <d v="2024-12-05T00:00:00Z"/>
        <d v="2024-12-16T00:00:00Z"/>
        <d v="2024-11-11T00:00:00Z"/>
        <d v="2024-12-03T00:00:00Z"/>
        <d v="2024-12-24T00:00:00Z"/>
        <d v="2025-02-20T00:00:00Z"/>
        <d v="2024-12-23T00:00:00Z"/>
        <d v="2025-01-07T00:00:00Z"/>
        <d v="2024-12-12T00:00:00Z"/>
        <d v="2025-01-21T00:00:00Z"/>
        <d v="2025-01-24T00:00:00Z"/>
        <d v="2025-01-17T00:00:00Z"/>
        <d v="2025-01-09T00:00:00Z"/>
        <d v="2025-01-27T00:00:00Z"/>
        <d v="2025-01-23T00:00:00Z"/>
        <d v="2024-10-22T00:00:00Z"/>
        <d v="2024-10-21T00:00:00Z"/>
        <d v="2025-01-22T00:00:00Z"/>
        <d v="2025-01-16T00:00:00Z"/>
        <d v="2025-02-12T00:00:00Z"/>
        <d v="2025-02-18T00:00:00Z"/>
        <d v="2025-01-29T00:00:00Z"/>
        <d v="2025-02-14T00:00:00Z"/>
        <d v="2025-02-15T00:00:00Z"/>
        <d v="2025-02-06T00:00:00Z"/>
        <d v="2025-02-21T00:00:00Z"/>
        <d v="2025-03-31T00:00:00Z"/>
        <d v="2025-02-26T00:00:00Z"/>
        <d v="2025-02-28T00:00:00Z"/>
        <d v="2025-02-25T00:00:00Z"/>
        <d v="2025-02-19T00:00:00Z"/>
        <d v="2025-03-11T00:00:00Z"/>
        <d v="2025-03-21T00:00:00Z"/>
        <d v="2025-03-12T00:00:00Z"/>
        <d v="2025-03-17T00:00:00Z"/>
        <d v="2025-03-24T00:00:00Z"/>
        <d v="2025-03-10T00:00:00Z"/>
        <d v="2025-03-14T00:00:00Z"/>
        <d v="2025-04-17T00:00:00Z"/>
        <d v="2025-03-16T00:00:00Z"/>
        <d v="2025-04-04T00:00:00Z"/>
        <d v="2025-04-07T00:00:00Z"/>
        <d v="2025-04-15T00:00:00Z"/>
        <d v="2025-04-25T00:00:00Z"/>
        <d v="2025-05-16T00:00:00Z"/>
        <d v="2025-04-14T00:00:00Z"/>
        <d v="2025-03-28T00:00:00Z"/>
        <d v="2025-03-06T00:00:00Z"/>
        <d v="2025-03-20T00:00:00Z"/>
        <d v="2025-04-09T00:00:00Z"/>
        <d v="2025-04-11T00:00:00Z"/>
        <d v="2025-03-13T00:00:00Z"/>
        <d v="2025-04-08T00:00:00Z"/>
        <d v="2025-04-30T00:00:00Z"/>
        <d v="2025-04-21T00:00:00Z"/>
        <d v="2025-06-02T00:00:00Z"/>
        <d v="2025-06-10T00:00:00Z"/>
        <d v="2025-03-30T00:00:00Z"/>
        <d v="2025-03-26T00:00:00Z"/>
        <d v="2025-06-20T00:00:00Z"/>
        <d v="2025-02-10T00:00:00Z"/>
        <d v="2025-05-19T00:00:00Z"/>
        <d v="2025-04-24T00:00:00Z"/>
        <d v="2025-06-26T00:00:00Z"/>
        <d v="2025-05-23T00:00:00Z"/>
        <d v="2025-05-06T00:00:00Z"/>
        <d v="2025-05-24T00:00:00Z"/>
        <d v="2025-06-05T00:00:00Z"/>
        <d v="2025-05-27T00:00:00Z"/>
        <d v="2025-06-12T00:00:00Z"/>
        <d v="2025-05-28T00:00:00Z"/>
        <d v="2025-06-16T00:00:00Z"/>
        <d v="2025-06-18T00:00:00Z"/>
        <d v="2025-06-11T00:00:00Z"/>
        <d v="2025-06-23T00:00:00Z"/>
        <d v="2025-02-03T00:00:00Z"/>
        <d v="2025-06-04T00:00:00Z"/>
        <d v="2025-05-22T00:00:00Z"/>
        <d v="2025-06-22T00:00:00Z"/>
        <d v="2025-07-16T00:00:00Z"/>
        <d v="2025-06-19T00:00:00Z"/>
        <d v="2025-07-01T00:00:00Z"/>
        <d v="2025-06-17T00:00:00Z"/>
        <d v="2025-06-13T00:00:00Z"/>
        <d v="2025-07-03T00:00:00Z"/>
        <d v="2024-10-18T00:00:00Z"/>
        <d v="2025-05-29T00:00:00Z"/>
        <d v="2025-06-30T00:00:00Z"/>
        <d v="2025-03-07T00:00:00Z"/>
        <d v="2024-09-08T00:00:00Z"/>
        <d v="2024-10-08T00:00:00Z"/>
        <d v="2024-11-13T00:00:00Z"/>
        <d v="2024-12-10T00:00:00Z"/>
        <d v="2024-12-04T00:00:00Z"/>
        <d v="2024-06-07T00:00:00Z"/>
        <d v="2024-05-31T00:00:00Z"/>
        <d v="2025-02-23T00:00:00Z"/>
        <d v="2024-11-07T00:00:00Z"/>
        <d v="2024-11-28T00:00:00Z"/>
        <d v="2024-12-18T00:00:00Z"/>
        <d v="2025-02-11T00:00:00Z"/>
        <d v="2025-02-07T00:00:00Z"/>
        <d v="2024-09-05T00:00:00Z"/>
        <d v="2024-12-13T00:00:00Z"/>
        <d v="2024-03-08T00:00:00Z"/>
        <d v="2024-04-22T00:00:00Z"/>
        <d v="2024-05-17T00:00:00Z"/>
        <d v="2024-04-24T00:00:00Z"/>
        <d v="2024-05-24T00:00:00Z"/>
        <d v="2024-07-19T00:00:00Z"/>
        <d v="2024-08-09T00:00:00Z"/>
        <d v="2024-07-01T00:00:00Z"/>
        <d v="2024-08-26T00:00:00Z"/>
        <d v="2024-09-17T00:00:00Z"/>
        <d v="2024-09-25T00:00:00Z"/>
        <d v="2024-09-30T00:00:00Z"/>
        <d v="2024-10-10T00:00:00Z"/>
        <d v="2024-12-02T00:00:00Z"/>
        <d v="2025-01-06T00:00:00Z"/>
        <d v="2025-01-13T00:00:00Z"/>
        <d v="2024-06-26T00:00:00Z"/>
        <d v="2024-08-07T00:00:00Z"/>
        <d v="2024-07-11T00:00:00Z"/>
        <d v="2024-09-16T00:00:00Z"/>
        <d v="2024-11-14T00:00:00Z"/>
        <d v="2024-03-22T00:00:00Z"/>
        <d v="2024-04-06T00:00:00Z"/>
        <d v="2024-04-07T00:00:00Z"/>
        <d v="2024-06-04T00:00:00Z"/>
        <d v="2024-10-11T00:00:00Z"/>
        <d v="2024-03-23T00:00:00Z"/>
        <d v="2024-04-04T00:00:00Z"/>
        <d v="2024-04-09T00:00:00Z"/>
        <d v="2024-05-21T00:00:00Z"/>
        <d v="2024-05-27T00:00:00Z"/>
        <d v="2024-08-27T00:00:00Z"/>
        <d v="2025-04-12T00:00:00Z"/>
        <d v="2024-02-28T00:00:00Z"/>
        <d v="2024-05-28T00:00:00Z"/>
        <d v="2024-09-23T00:00:00Z"/>
        <d v="2024-06-30T00:00:00Z"/>
        <d v="2024-09-20T00:00:00Z"/>
        <d v="2024-10-07T00:00:00Z"/>
        <d v="2024-03-27T00:00:00Z"/>
        <d v="2024-04-13T00:00:00Z"/>
        <d v="2024-04-27T00:00:00Z"/>
        <d v="2024-01-15T00:00:00Z"/>
        <d v="2024-01-14T00:00:00Z"/>
        <d v="2025-03-18T00:00:00Z"/>
        <d v="2024-05-18T00:00:00Z"/>
        <d v="2024-06-19T00:00:00Z"/>
        <d v="2024-10-09T00:00:00Z"/>
        <d v="2024-11-12T00:00:00Z"/>
        <d v="2024-12-19T00:00:00Z"/>
        <d v="2025-02-22T00:00:00Z"/>
        <d v="2024-03-26T00:00:00Z"/>
        <d v="2024-05-20T00:00:00Z"/>
        <d v="2024-07-08T00:00:00Z"/>
        <d v="2024-11-22T00:00:00Z"/>
        <d v="2024-10-31T00:00:00Z"/>
        <d v="2024-07-15T00:00:00Z"/>
        <d v="2024-09-24T00:00:00Z"/>
        <d v="2024-02-15T00:00:00Z"/>
        <d v="2024-04-26T00:00:00Z"/>
        <d v="2024-06-03T00:00:00Z"/>
        <d v="2024-04-12T00:00:00Z"/>
        <d v="2024-07-09T00:00:00Z"/>
        <d v="2024-09-29T00:00:00Z"/>
        <d v="2024-10-06T00:00:00Z"/>
        <d v="2024-10-16T00:00:00Z"/>
        <d v="2024-09-19T00:00:00Z"/>
        <d v="2024-03-28T00:00:00Z"/>
        <d v="2024-10-17T00:00:00Z"/>
        <d v="2025-04-29T00:00:00Z"/>
        <d v="2024-03-18T00:00:00Z"/>
        <d v="2024-08-14T00:00:00Z"/>
        <d v="2024-09-01T00:00:00Z"/>
        <d v="2024-11-15T00:00:00Z"/>
        <d v="2025-01-03T00:00:00Z"/>
        <d v="2024-07-18T00:00:00Z"/>
        <d v="2025-07-11T00:00:00Z"/>
        <d v="2025-07-18T00:00:00Z"/>
        <d v="2025-07-21T00:00:00Z"/>
        <d v="2025-07-22T00:00:00Z"/>
        <d v="2025-07-24T00:00:00Z"/>
        <d v="2025-07-25T00:00:00Z"/>
        <d v="2025-07-28T00:00:00Z"/>
        <d v="2025-06-24T00:00:00Z"/>
        <d v="2025-07-14T00:00:00Z"/>
        <d v="2025-06-27T00:00:00Z"/>
        <d v="2025-01-31T00:00:00Z"/>
        <d v="2025-07-07T00:00:00Z"/>
        <d v="2025-07-09T00:00:00Z"/>
        <d v="2025-07-17T00:00:00Z"/>
        <d v="2025-07-29T00:00:00Z"/>
        <d v="2025-07-31T00:00:00Z"/>
      </sharedItems>
    </cacheField>
    <cacheField name="Marque" numFmtId="3">
      <sharedItems containsBlank="1">
        <s v="BYS Maquillage"/>
        <s v="Yepoda"/>
        <s v="Rimmel London"/>
        <s v="SHEIN"/>
        <s v="Yves Rocher"/>
        <s v="Temu"/>
        <s v="Anua"/>
        <s v="SOS Beauty"/>
        <s v="Haru Haru Wonder"/>
        <s v="Maybelline"/>
        <s v="Koru"/>
        <s v="PINKO PAZZESCO"/>
        <s v="GHD"/>
        <s v="SKIN1004"/>
        <s v="Les Pistolets en Plastique"/>
        <s v="Rose Skin Co."/>
        <s v="Skin &amp; Out"/>
        <s v="Dyson"/>
        <s v="Satinée"/>
        <s v="BodyCross"/>
        <s v="Garnier"/>
        <s v="Eau Thermale Jonzac"/>
        <s v="So Bio Etic"/>
        <s v="Terre de Mars"/>
        <s v="Commonlabs"/>
        <s v="BENEFIT"/>
        <s v="Anastasia Beverly Hills"/>
        <s v="Grande Cosmetics"/>
        <s v="Mixa"/>
        <s v="My House of Jewels"/>
        <s v="Uriage"/>
        <s v="Erborian"/>
        <s v="Lancôme "/>
        <s v="Nocibé"/>
        <s v="Crocs"/>
        <s v="JOLT"/>
        <s v="Ducray"/>
        <s v="Bioré"/>
        <s v="La Roche Posay"/>
        <s v="Yesstyle"/>
        <s v="Sheglam"/>
        <s v="Abib"/>
        <s v="Bershka"/>
        <s v="Dr.Althea"/>
        <s v="Stylevana"/>
        <s v="Dreame"/>
        <s v="Lancôme"/>
        <s v="Wandernana"/>
        <s v="Essence"/>
        <s v="Monopoly Go"/>
        <s v="Frank Provost"/>
        <s v="Myriam K Paris"/>
        <s v="Sol De Janeiro"/>
        <s v="Mixsoon"/>
        <s v="Current Body"/>
        <s v="Aïa Curl"/>
        <s v="Aromazone"/>
        <s v="iHerb"/>
        <s v="Mova"/>
        <s v="L'Oréal"/>
        <s v="Hacoo"/>
        <s v="Biocyte"/>
        <s v="Musc Intime"/>
        <s v="NYX"/>
        <s v="L'Oreal"/>
        <s v="Remington"/>
        <s v="Dynveo"/>
        <s v="Vitavea"/>
        <s v="Uberliss"/>
        <s v="Luxéol"/>
        <s v="Darry Ring"/>
        <s v="Capcut"/>
        <s v="Redken"/>
        <s v="Naali"/>
        <s v="Cerave"/>
        <s v="Paalm Cosmetics"/>
        <s v="Shavest"/>
        <s v="Inava"/>
        <s v="Cellublue"/>
        <s v="Caudalie"/>
        <s v="Voghion"/>
        <s v="BeReal"/>
        <s v="Current Body "/>
        <s v="Ali Express"/>
        <s v="Keracare"/>
        <s v="ZIIP"/>
        <s v="Feel My Skin"/>
        <s v="BYD"/>
        <s v="ISIS Pharma"/>
        <s v="Sanytol"/>
        <s v="Mavatys"/>
        <s v="Sanex"/>
        <s v="My Little Box "/>
        <s v="Lazartigue"/>
        <s v="Solinotes"/>
        <s v="It Fruit"/>
        <s v="TORRAS"/>
        <s v="Medicube"/>
        <s v="H&amp;S"/>
        <s v="Perroy Parfum"/>
        <s v="Nike"/>
        <s v="Bella Barrnett"/>
        <s v="Passion Marine"/>
        <s v="Avene"/>
        <s v="Beauty Of Joseon"/>
        <s v="Etiaxil"/>
        <s v="Just Spin"/>
        <s v="PlanJoy"/>
        <s v="YTTP"/>
        <s v="Sanytol "/>
        <s v="Dior"/>
        <s v="Pretty Little Things"/>
        <s v="L'Univers de Baya"/>
        <s v="Bob Oré"/>
        <s v="YSL"/>
        <s v="Ouvéa"/>
        <s v="Cider"/>
        <s v="Milk Make Up"/>
        <s v="SPA &amp; BIEN ÊTRE - GRAVITI"/>
        <s v="Ole Henriksen"/>
        <s v="Rare Beauty"/>
        <s v="Lancôme #MWL"/>
        <s v="Clarine"/>
        <s v="SHU UEMURA"/>
        <s v="Aveda"/>
        <s v="Clinique"/>
        <s v="KIEHLS"/>
        <s v="Embryolisse"/>
        <s v="Focus Skincare"/>
        <s v="MILK"/>
        <s v="Superdry"/>
        <s v="Prada"/>
        <s v="YSL Stylo Touche Éclat"/>
        <s v="R.E.M Beauty"/>
        <s v="IT Cosmetics"/>
        <s v="Lancôme - HYPNOSE DRAMA 🖤"/>
        <s v="Charlotte Tilburry (Nice Work)"/>
        <s v="YSL Beauty Summer Box"/>
        <s v="Fenty"/>
        <s v="Dr. Dennis Gross (Nice Work)"/>
        <s v="YSL Blushs "/>
        <s v="Valentino"/>
        <s v="Huda Beauty"/>
        <s v="Sephora"/>
        <s v="Charlotte Tilburry"/>
        <s v="The Inkey List"/>
        <s v="Cecotec"/>
        <s v="Vichy"/>
        <s v="Flower Knows"/>
        <s v="Rituals"/>
        <s v="Respire"/>
        <s v="LANEIGE"/>
        <s v="Glow Recipe"/>
        <s v="Franck Provost"/>
        <s v="MAC Cosmetics"/>
        <s v="Milk Makeup (Nice Work)"/>
        <s v="Typology"/>
        <s v="Kiehl's"/>
        <s v="JW PEI"/>
        <s v="Bloom"/>
        <s v="Nars"/>
        <s v="The Commense"/>
        <s v="Bijoux Divins"/>
        <s v="Biotherm"/>
        <s v="Courrèges (Nice Work)"/>
        <s v="Pulpe de Vie"/>
        <s v="Dieti Natura"/>
        <s v="Make Up For Ever"/>
        <s v="Jimmy Fairly"/>
        <s v="Lili Sidonio"/>
        <s v="Dr Jart +"/>
        <s v="Gallinée"/>
        <s v="Evoluderm"/>
        <s v="Drunk Elephant"/>
        <s v="Shokz"/>
        <s v="Fresh"/>
        <s v="Bourjois"/>
        <s v="Too Faced"/>
        <s v="L'Oréal Professionnel"/>
        <s v="NARS (Nice Work)"/>
        <s v="Fenty (Nice Work)"/>
        <s v="Black &amp; White Burger"/>
        <s v="Daylo"/>
        <s v="Maria Nila"/>
        <s v="The Inkey List (Nice Work)"/>
        <s v="Wonderskin"/>
        <s v="Olaplex (Nice Work)"/>
        <s v="Kurku-ma"/>
        <s v="Origins"/>
        <s v="Kielh's"/>
        <s v="SAYANA"/>
        <s v="Havaianas"/>
        <s v="Réelle"/>
        <s v="Rare Beauty (Nice Work)"/>
        <s v="Boohoo"/>
        <s v="Kylie"/>
        <s v="Eau Thermale Jonzac "/>
        <s v="Hawkers"/>
        <s v="The Ordinary"/>
        <s v="Myrimimi"/>
        <s v="Fenty Skin"/>
        <s v="L'Oreal Luxe"/>
        <s v="Maybelline Concours"/>
        <s v="Sol de Janeiro (Nice Work)"/>
        <s v="TOMO"/>
        <s v="TABASQUISHY"/>
        <s v="Armani Beauty"/>
        <s v="Summer Fridays"/>
        <s v="Lanolips"/>
        <s v="Kiko Milano"/>
        <s v="Halal Nutrition"/>
        <s v="Kylie Cosmetics"/>
        <s v="My Little Box"/>
        <s v="Cuure"/>
        <s v="Interview"/>
        <s v="Le Petit Lunetier"/>
        <s v="Maybelline "/>
        <s v="Kalista"/>
        <s v="Neutrogena"/>
        <s v="Néonail"/>
        <s v="Milk Make Up (Nice Work)"/>
        <s v="Ongle24"/>
        <s v="Bobbi Brown"/>
        <s v="Axis-Y"/>
        <s v="Filorga"/>
        <s v="YSL Beauty Summer Box (Nice Work)"/>
        <s v="Estée Lauder"/>
        <s v="ULIKE"/>
        <s v="La Boutique du Coiffeur"/>
        <s v="Weleda"/>
        <s v="Seasonly"/>
        <s v="YSL "/>
        <s v="Air Up"/>
        <s v="Saforelle"/>
        <s v="Chantelle"/>
        <s v="Lancôme Event"/>
        <s v="Hourglass"/>
        <s v="Celimax"/>
        <s v="Dexeryl"/>
        <s v="Steam One "/>
        <s v="Talisma"/>
        <s v="Owari"/>
        <s v="No More Beauty"/>
        <s v="EA Pharma"/>
        <s v="Mymosa"/>
        <s v="Nuxe"/>
        <s v="Coco &amp; Eve"/>
        <s v="Divine Vanille"/>
        <s v="Arencia"/>
        <s v="Axis Y"/>
        <m/>
      </sharedItems>
    </cacheField>
    <cacheField name="Complément">
      <sharedItems containsBlank="1" containsMixedTypes="1" containsNumber="1" containsInteger="1">
        <m/>
        <s v="CA"/>
        <s v="BOURS"/>
        <s v="Lancôme #MWL"/>
        <n v="2.0"/>
        <s v="GRWM for bed"/>
        <s v="Whats in my bag"/>
        <n v="1.0"/>
        <s v="Woo Juicy Tubes"/>
        <s v="Army"/>
        <s v="Shein deals "/>
        <s v="nov"/>
        <s v="janv"/>
        <s v="AMZ"/>
        <s v="Juicy"/>
        <s v="Sun Serum"/>
        <s v="Poremizing"/>
        <s v="PM Clay Stick"/>
        <s v="Relief"/>
        <s v="2-Double Cleansing"/>
        <s v="3-Sun Serum Hyalu"/>
        <s v="4-Tone Brightening"/>
        <s v="Tiktok"/>
        <s v="Mega Haul + Full Face Campaign"/>
        <s v="5- Glow Project"/>
        <s v="Black Friday et du Cyber Monday de SHEIN"/>
        <s v=" 💎SHEGLAM Partnership: SHEGLAM Liquid Fam Festival Glow Set"/>
        <s v="déc"/>
        <s v="👐️ SHEGLAM: Partnership Opportunity"/>
        <s v="1-PM Clay Stick"/>
        <s v="TT"/>
        <s v="Revitalift"/>
        <s v="poremizing quick clay stick mask "/>
        <s v="Poremizing Clay Stick Mask "/>
        <s v="hello kitty"/>
        <s v="février"/>
        <s v="Bold Booster Lip Combo Campaign"/>
        <s v="Big Cil mars"/>
        <s v="Blowdry"/>
        <s v="mars"/>
        <s v="THE Adventure Time X SHEGLAM COLLECTION"/>
        <s v="avril"/>
        <s v="Full SkinCare Routine in 1 Box"/>
        <s v="Double Cleansing"/>
        <s v="Big Cil avril"/>
        <s v="Lissage avril "/>
        <s v="Compléments alimentaire mai"/>
        <s v="Big Cil juin"/>
        <s v="Big Cil mai"/>
        <s v="Hyalu-Cica Sunserum "/>
        <s v="mai"/>
        <s v="Glow project "/>
        <s v="#1Bean Essence + Bean Cream + Centella Sun Cream routine "/>
        <s v="Tone-Brightening Ampoule"/>
        <s v="Glow Project"/>
        <s v="PM Stick "/>
        <s v="Lissage juin"/>
        <s v="skin care routine for beginners "/>
        <s v="Stick Mask"/>
        <s v="Beginner Routine"/>
        <s v="SKIN MASK CLAY"/>
        <s v="Tone Brightening"/>
        <s v="ad"/>
        <s v="UGC Trousse"/>
        <s v="Essentials home"/>
        <s v="UGC"/>
        <s v="Beach day "/>
        <s v="Festival outfitxtravel"/>
        <s v="Essentials home "/>
        <s v="#2 Bean Essence"/>
        <s v="Beach day"/>
        <s v="Bean Essence + Bean Cream + Centella Sun Cream routine"/>
        <s v="Bean Collagen Hydrogel Mask Pack"/>
        <s v="#3 Bean Collagen Hydrogel Mask Pack"/>
        <s v="Festival outfit "/>
        <s v="Collagen Cleansing Balm"/>
        <s v="Centella Sun Cream"/>
        <s v="Bean Cleansing Oil + Centella Cleansing Foam routine"/>
        <s v="Sunscreen Comparison"/>
        <s v="Soondy Centella Asiatica Essnece, Glacier Waster Hyaluronic Acid Serum, Bean Essence Layering"/>
        <s v="#4 Centella Sun Cream"/>
        <s v="Temps forts "/>
        <s v="skin care for beginners "/>
        <s v="sun serum real"/>
        <s v="lash idole"/>
        <s v="Masque"/>
        <s v="Tone brightening "/>
        <s v="PAS REÇU"/>
        <s v="Bean Essence"/>
        <s v=" Precision Sculpt"/>
        <s v="GLOW Project (Hyalu-Cica sun Serum + Probio-cica ampoule)"/>
        <s v="Halloween"/>
        <n v="3.0"/>
        <s v="SPF"/>
        <s v="LIP IDÔLE 💄"/>
        <s v="Juicy Tubes"/>
        <s v="Apres Collection Calendrier"/>
        <s v="Candy Glow"/>
        <s v="LASH IDÔLE"/>
        <s v="Saint Valentin"/>
        <s v="Produits Cultes"/>
        <s v="Best sellers"/>
        <s v="Loveshin &amp; Candy Glaze "/>
        <s v="2024 Black Friday Product Review"/>
        <s v="fev"/>
        <s v="creme solaire"/>
        <s v="Nice Work"/>
        <s v="Calendrier"/>
        <s v="Mascara Flutter Extension"/>
        <s v="Loveshine Plumping Lip Gloss"/>
        <s v="SHEIN Grosses Remises Day ! 🔥 Réglez votre rappel maintenant !"/>
        <s v="Fenty (Nice Work)"/>
        <s v="Hydra Jelly Pocket Lip Jam Campaign"/>
        <s v="Brumes"/>
        <s v="Pimple Patch"/>
        <s v="sérum + gel crème hyalu B5"/>
        <s v="Bell Hypoallergenique"/>
        <s v="CandyGlow"/>
        <s v="Patch"/>
        <s v="Revitalift IG"/>
        <s v="Noël"/>
        <s v="Sélection"/>
        <s v="Lissage mars"/>
        <s v="Mascara"/>
        <s v="Poremizing Light Gel Cream"/>
        <s v="Skincare Routine for Beginners"/>
        <s v="Collagen Glass Skin Mask"/>
        <s v="GLOW Project (Hyalu-Cica sun Serum + Probio-cica ampoule) "/>
        <s v="Cica-Hyal Sun Stick"/>
        <s v="#5 Bean Cleansing Oil + Centella Cleansing Foam routine"/>
        <s v="Centella Clenasing Foam + Centella Toner Pad + Soondy Centella Asiatica Essnece + Bean Cream + Centella Sun Cream Routine"/>
        <s v="Tone-Brightening Ampoule "/>
        <s v="#6 Soondy Centella Asiatica Essnece, Glacier Waster Hyaluronic Acid Serum, Bean Essence Layering"/>
        <s v="#7 Bean Cream"/>
        <s v="#8 Soybean Milk Serum"/>
        <s v="#9 Cica-Hyal Sun Stick"/>
        <s v="#10 Centella Clenasing Foam + Centella Toner Pad + Soondy Centella Asiatica Essnece + Bean Cream + Centella Sun Cream Routine"/>
        <s v="Complement juillet"/>
        <s v="Complement aout"/>
        <s v="Reel"/>
        <s v="Programmé en septembre "/>
      </sharedItems>
    </cacheField>
    <cacheField name=" Brouillon draft">
      <sharedItems containsDate="1" containsBlank="1" containsMixedTypes="1">
        <d v="2024-02-29T00:00:00Z"/>
        <d v="2024-03-14T00:00:00Z"/>
        <d v="2024-04-03T00:00:00Z"/>
        <d v="2024-04-05T00:00:00Z"/>
        <d v="2024-04-15T00:00:00Z"/>
        <d v="2024-04-19T00:00:00Z"/>
        <d v="2024-04-22T00:00:00Z"/>
        <d v="2024-04-26T00:00:00Z"/>
        <d v="2024-04-27T00:00:00Z"/>
        <d v="2024-04-28T00:00:00Z"/>
        <d v="2024-04-29T00:00:00Z"/>
        <d v="2024-05-06T00:00:00Z"/>
        <d v="2024-05-07T00:00:00Z"/>
        <d v="2024-05-08T00:00:00Z"/>
        <d v="2024-05-09T00:00:00Z"/>
        <d v="2024-05-12T00:00:00Z"/>
        <d v="2024-05-13T00:00:00Z"/>
        <d v="2024-05-15T00:00:00Z"/>
        <d v="2024-05-19T00:00:00Z"/>
        <d v="2024-05-24T00:00:00Z"/>
        <d v="2024-05-25T00:00:00Z"/>
        <d v="2024-05-26T00:00:00Z"/>
        <d v="2024-05-30T00:00:00Z"/>
        <d v="2024-06-12T00:00:00Z"/>
        <d v="2024-06-13T00:00:00Z"/>
        <d v="2024-06-14T00:00:00Z"/>
        <d v="2024-06-15T00:00:00Z"/>
        <d v="2024-06-18T00:00:00Z"/>
        <d v="2024-06-16T00:00:00Z"/>
        <d v="2024-06-17T00:00:00Z"/>
        <d v="2024-06-19T00:00:00Z"/>
        <d v="2024-06-20T00:00:00Z"/>
        <d v="2024-06-22T00:00:00Z"/>
        <d v="2024-06-23T00:00:00Z"/>
        <d v="2024-06-24T00:00:00Z"/>
        <d v="2024-06-25T00:00:00Z"/>
        <d v="2024-06-29T00:00:00Z"/>
        <d v="2024-07-02T00:00:00Z"/>
        <d v="2024-07-06T00:00:00Z"/>
        <d v="2024-07-07T00:00:00Z"/>
        <d v="2024-07-08T00:00:00Z"/>
        <d v="2024-07-10T00:00:00Z"/>
        <d v="2024-07-13T00:00:00Z"/>
        <d v="2024-07-17T00:00:00Z"/>
        <d v="2024-07-18T00:00:00Z"/>
        <d v="2024-07-19T00:00:00Z"/>
        <d v="2024-07-21T00:00:00Z"/>
        <d v="2024-07-22T00:00:00Z"/>
        <d v="2024-07-27T00:00:00Z"/>
        <d v="2024-07-29T00:00:00Z"/>
        <d v="2024-07-28T00:00:00Z"/>
        <d v="2024-07-30T00:00:00Z"/>
        <m/>
        <d v="2024-08-02T00:00:00Z"/>
        <d v="2024-08-07T00:00:00Z"/>
        <d v="2024-08-08T00:00:00Z"/>
        <d v="2024-08-11T00:00:00Z"/>
        <d v="2024-08-13T00:00:00Z"/>
        <d v="2024-08-14T00:00:00Z"/>
        <d v="2024-08-16T00:00:00Z"/>
        <d v="2024-08-18T00:00:00Z"/>
        <d v="2024-08-19T00:00:00Z"/>
        <d v="2024-08-20T00:00:00Z"/>
        <d v="2024-08-21T00:00:00Z"/>
        <d v="2024-08-22T00:00:00Z"/>
        <d v="2024-08-25T00:00:00Z"/>
        <d v="2024-08-28T00:00:00Z"/>
        <d v="2024-08-29T00:00:00Z"/>
        <d v="2024-08-30T00:00:00Z"/>
        <d v="2024-09-01T00:00:00Z"/>
        <d v="2024-09-02T00:00:00Z"/>
        <d v="2024-09-04T00:00:00Z"/>
        <d v="2024-09-08T00:00:00Z"/>
        <d v="2024-09-10T00:00:00Z"/>
        <d v="2024-09-12T00:00:00Z"/>
        <d v="2024-08-23T00:00:00Z"/>
        <d v="2024-09-13T00:00:00Z"/>
        <d v="2024-09-14T00:00:00Z"/>
        <d v="2024-09-16T00:00:00Z"/>
        <d v="2024-09-19T00:00:00Z"/>
        <d v="2024-09-22T00:00:00Z"/>
        <d v="2025-06-10T00:00:00Z"/>
        <d v="2024-09-23T00:00:00Z"/>
        <d v="2024-09-24T00:00:00Z"/>
        <d v="2024-09-28T00:00:00Z"/>
        <d v="2024-09-29T00:00:00Z"/>
        <d v="2024-10-06T00:00:00Z"/>
        <d v="2024-10-09T00:00:00Z"/>
        <d v="2024-10-07T00:00:00Z"/>
        <d v="2024-10-11T00:00:00Z"/>
        <d v="2024-10-16T00:00:00Z"/>
        <d v="2024-10-15T00:00:00Z"/>
        <d v="2024-09-21T00:00:00Z"/>
        <d v="2024-10-17T00:00:00Z"/>
        <d v="2024-10-18T00:00:00Z"/>
        <d v="2024-10-23T00:00:00Z"/>
        <d v="2025-06-11T00:00:00Z"/>
        <d v="2024-10-25T00:00:00Z"/>
        <d v="2024-10-27T00:00:00Z"/>
        <d v="2024-11-02T00:00:00Z"/>
        <d v="2024-11-03T00:00:00Z"/>
        <d v="2024-10-28T00:00:00Z"/>
        <d v="2024-10-30T00:00:00Z"/>
        <d v="2024-11-04T00:00:00Z"/>
        <d v="2024-11-05T00:00:00Z"/>
        <d v="2025-06-15T00:00:00Z"/>
        <d v="2024-10-24T00:00:00Z"/>
        <d v="2024-11-07T00:00:00Z"/>
        <d v="2024-11-10T00:00:00Z"/>
        <d v="2024-11-12T00:00:00Z"/>
        <d v="2024-11-06T00:00:00Z"/>
        <d v="2024-11-17T00:00:00Z"/>
        <d v="2024-11-11T00:00:00Z"/>
        <d v="2024-11-18T00:00:00Z"/>
        <d v="2024-11-14T00:00:00Z"/>
        <d v="2024-11-15T00:00:00Z"/>
        <d v="2024-11-19T00:00:00Z"/>
        <d v="2024-11-22T00:00:00Z"/>
        <d v="2024-11-20T00:00:00Z"/>
        <d v="2024-11-21T00:00:00Z"/>
        <d v="2024-11-24T00:00:00Z"/>
        <d v="2024-11-25T00:00:00Z"/>
        <d v="2024-11-28T00:00:00Z"/>
        <d v="2024-11-26T00:00:00Z"/>
        <d v="2024-11-27T00:00:00Z"/>
        <d v="2024-12-11T00:00:00Z"/>
        <s v="ANNULÉ NE PAS SUPP"/>
        <d v="2024-12-14T00:00:00Z"/>
        <d v="2024-12-15T00:00:00Z"/>
        <d v="2024-11-29T00:00:00Z"/>
        <d v="2024-12-03T00:00:00Z"/>
        <d v="2024-12-16T00:00:00Z"/>
        <d v="2025-02-11T00:00:00Z"/>
        <d v="2024-12-19T00:00:00Z"/>
        <d v="2024-12-20T00:00:00Z"/>
        <d v="2024-12-22T00:00:00Z"/>
        <d v="2025-01-03T00:00:00Z"/>
        <d v="2024-12-25T00:00:00Z"/>
        <d v="2024-12-27T00:00:00Z"/>
        <d v="2025-01-20T00:00:00Z"/>
        <d v="2024-12-12T00:00:00Z"/>
        <d v="2025-01-02T00:00:00Z"/>
        <d v="2025-01-10T00:00:00Z"/>
        <d v="2025-03-07T00:00:00Z"/>
        <d v="2025-01-21T00:00:00Z"/>
        <d v="2025-01-24T00:00:00Z"/>
        <d v="2025-01-26T00:00:00Z"/>
        <d v="2025-01-28T00:00:00Z"/>
        <d v="2025-01-30T00:00:00Z"/>
        <d v="2025-01-29T00:00:00Z"/>
        <d v="2025-02-05T00:00:00Z"/>
        <d v="2025-01-31T00:00:00Z"/>
        <d v="2025-02-03T00:00:00Z"/>
        <d v="2025-02-06T00:00:00Z"/>
        <d v="2025-02-13T00:00:00Z"/>
        <d v="2025-02-12T00:00:00Z"/>
        <d v="2025-02-14T00:00:00Z"/>
        <d v="2025-02-15T00:00:00Z"/>
        <d v="2025-02-16T00:00:00Z"/>
        <d v="2025-02-20T00:00:00Z"/>
        <d v="2025-02-19T00:00:00Z"/>
        <d v="2025-02-21T00:00:00Z"/>
        <d v="2025-02-23T00:00:00Z"/>
        <d v="2025-02-27T00:00:00Z"/>
        <d v="2025-02-24T00:00:00Z"/>
        <d v="2025-03-01T00:00:00Z"/>
        <d v="2025-02-25T00:00:00Z"/>
        <d v="2025-03-12T00:00:00Z"/>
        <d v="2025-03-02T00:00:00Z"/>
        <d v="2025-02-28T00:00:00Z"/>
        <d v="2025-03-05T00:00:00Z"/>
        <d v="2025-03-08T00:00:00Z"/>
        <d v="2025-04-16T00:00:00Z"/>
        <d v="2025-03-09T00:00:00Z"/>
        <d v="2025-03-10T00:00:00Z"/>
        <d v="2025-03-11T00:00:00Z"/>
        <d v="2025-03-14T00:00:00Z"/>
        <d v="2025-04-22T00:00:00Z"/>
        <d v="2025-03-16T00:00:00Z"/>
        <d v="2025-03-17T00:00:00Z"/>
        <d v="2025-03-13T00:00:00Z"/>
        <d v="2025-03-18T00:00:00Z"/>
        <d v="2025-03-23T00:00:00Z"/>
        <d v="2025-03-24T00:00:00Z"/>
        <d v="2025-04-20T00:00:00Z"/>
        <d v="2025-03-26T00:00:00Z"/>
        <d v="2025-03-19T00:00:00Z"/>
        <d v="2025-03-20T00:00:00Z"/>
        <d v="2025-04-01T00:00:00Z"/>
        <d v="2025-03-27T00:00:00Z"/>
        <d v="2025-03-30T00:00:00Z"/>
        <d v="2025-04-02T00:00:00Z"/>
        <d v="2025-04-04T00:00:00Z"/>
        <d v="2025-04-03T00:00:00Z"/>
        <d v="2025-04-10T00:00:00Z"/>
        <d v="2025-04-11T00:00:00Z"/>
        <d v="2025-04-14T00:00:00Z"/>
        <d v="2025-05-08T00:00:00Z"/>
        <d v="2025-04-13T00:00:00Z"/>
        <d v="2025-04-15T00:00:00Z"/>
        <d v="2025-04-17T00:00:00Z"/>
        <d v="2025-04-18T00:00:00Z"/>
        <d v="2025-04-19T00:00:00Z"/>
        <d v="2025-05-26T00:00:00Z"/>
        <d v="2025-04-23T00:00:00Z"/>
        <d v="2025-04-24T00:00:00Z"/>
        <d v="2025-04-26T00:00:00Z"/>
        <d v="2025-04-27T00:00:00Z"/>
        <d v="2025-04-28T00:00:00Z"/>
        <d v="2025-04-29T00:00:00Z"/>
        <d v="2025-05-04T00:00:00Z"/>
        <d v="2025-04-30T00:00:00Z"/>
        <d v="2025-05-01T00:00:00Z"/>
        <d v="2025-05-06T00:00:00Z"/>
        <d v="2025-05-07T00:00:00Z"/>
        <d v="2025-05-03T00:00:00Z"/>
        <d v="2025-05-05T00:00:00Z"/>
        <d v="2025-06-29T00:00:00Z"/>
        <d v="2025-06-30T00:00:00Z"/>
        <d v="2025-05-14T00:00:00Z"/>
        <d v="2025-05-09T00:00:00Z"/>
        <d v="2025-05-13T00:00:00Z"/>
        <d v="2025-07-03T00:00:00Z"/>
        <d v="2025-05-17T00:00:00Z"/>
        <d v="2025-05-15T00:00:00Z"/>
        <d v="2025-05-16T00:00:00Z"/>
        <d v="2025-05-21T00:00:00Z"/>
        <d v="2025-05-22T00:00:00Z"/>
        <d v="2025-05-24T00:00:00Z"/>
        <d v="2025-07-07T00:00:00Z"/>
        <d v="2025-07-15T00:00:00Z"/>
        <d v="2025-06-01T00:00:00Z"/>
        <d v="2025-06-02T00:00:00Z"/>
        <d v="2025-05-28T00:00:00Z"/>
        <d v="2025-05-30T00:00:00Z"/>
        <d v="2025-06-05T00:00:00Z"/>
        <d v="2025-06-08T00:00:00Z"/>
        <d v="2025-06-12T00:00:00Z"/>
        <d v="2024-12-04T00:00:00Z"/>
        <d v="2025-06-13T00:00:00Z"/>
        <d v="2025-06-24T00:00:00Z"/>
        <d v="2025-06-17T00:00:00Z"/>
        <d v="2025-06-19T00:00:00Z"/>
        <d v="2025-06-20T00:00:00Z"/>
        <d v="2025-06-22T00:00:00Z"/>
        <d v="2025-06-25T00:00:00Z"/>
        <d v="2025-05-27T00:00:00Z"/>
        <d v="2025-06-07T00:00:00Z"/>
        <d v="2025-06-27T00:00:00Z"/>
        <d v="2025-07-02T00:00:00Z"/>
        <d v="2025-07-01T00:00:00Z"/>
        <d v="2025-07-24T00:00:00Z"/>
        <d v="2025-02-26T00:00:00Z"/>
        <d v="2025-01-11T00:00:00Z"/>
        <d v="2025-06-21T00:00:00Z"/>
        <d v="2025-07-19T00:00:00Z"/>
        <d v="2025-06-04T00:00:00Z"/>
        <d v="2025-07-08T00:00:00Z"/>
        <d v="2025-07-05T00:00:00Z"/>
        <d v="2025-07-06T00:00:00Z"/>
        <d v="2025-07-10T00:00:00Z"/>
        <d v="2025-07-04T00:00:00Z"/>
        <d v="2025-07-09T00:00:00Z"/>
        <d v="2025-07-14T00:00:00Z"/>
        <d v="2025-07-11T00:00:00Z"/>
        <d v="2025-07-13T00:00:00Z"/>
        <d v="2025-07-17T00:00:00Z"/>
        <d v="2025-07-23T00:00:00Z"/>
        <d v="2025-07-18T00:00:00Z"/>
        <d v="2025-07-20T00:00:00Z"/>
        <d v="2025-07-22T00:00:00Z"/>
        <d v="2025-07-25T00:00:00Z"/>
        <d v="2025-08-03T00:00:00Z"/>
        <s v=" "/>
        <d v="2025-07-26T00:00:00Z"/>
        <d v="2025-07-27T00:00:00Z"/>
        <d v="2025-07-28T00:00:00Z"/>
        <d v="2025-07-29T00:00:00Z"/>
        <d v="2025-06-26T00:00:00Z"/>
        <d v="2025-07-30T00:00:00Z"/>
        <d v="2025-07-31T00:00:00Z"/>
        <d v="2025-08-04T00:00:00Z"/>
        <d v="2025-08-05T00:00:00Z"/>
        <d v="2025-08-10T00:00:00Z"/>
        <d v="2025-08-14T00:00:00Z"/>
        <d v="2025-08-18T00:00:00Z"/>
        <d v="2025-08-19T00:00:00Z"/>
        <d v="2025-08-20T00:00:00Z"/>
        <d v="2025-08-25T00:00:00Z"/>
        <d v="2025-09-01T00:00:00Z"/>
        <d v="2025-09-02T00:00:00Z"/>
        <d v="2025-09-14T00:00:00Z"/>
        <d v="2025-09-28T00:00:00Z"/>
        <d v="2025-10-10T00:00:00Z"/>
      </sharedItems>
    </cacheField>
    <cacheField name="Date Début">
      <sharedItems containsDate="1" containsBlank="1" containsMixedTypes="1">
        <m/>
        <d v="2024-03-19T00:00:00Z"/>
        <d v="2024-05-14T00:00:00Z"/>
        <d v="2024-05-25T00:00:00Z"/>
        <d v="2024-05-27T00:00:00Z"/>
        <d v="2024-06-10T00:00:00Z"/>
        <d v="2024-06-18T00:00:00Z"/>
        <d v="2024-06-19T00:00:00Z"/>
        <d v="2024-06-16T00:00:00Z"/>
        <d v="2024-06-24T00:00:00Z"/>
        <d v="2024-07-06T00:00:00Z"/>
        <d v="2024-06-17T00:00:00Z"/>
        <d v="2024-07-01T00:00:00Z"/>
        <d v="2024-07-10T00:00:00Z"/>
        <d v="2024-06-25T00:00:00Z"/>
        <d v="2024-07-19T00:00:00Z"/>
        <d v="2024-08-18T00:00:00Z"/>
        <d v="2024-09-02T00:00:00Z"/>
        <d v="2024-09-16T00:00:00Z"/>
        <d v="2024-10-20T00:00:00Z"/>
        <d v="2025-05-01T00:00:00Z"/>
        <d v="2024-11-01T00:00:00Z"/>
        <d v="2024-11-13T00:00:00Z"/>
        <d v="2024-11-10T00:00:00Z"/>
        <d v="2024-12-10T00:00:00Z"/>
        <d v="2025-01-31T00:00:00Z"/>
        <d v="2025-02-03T00:00:00Z"/>
        <d v="2025-02-13T00:00:00Z"/>
        <d v="2025-01-23T00:00:00Z"/>
        <d v="2025-03-01T00:00:00Z"/>
        <d v="2025-02-28T00:00:00Z"/>
        <d v="2025-02-15T00:00:00Z"/>
        <d v="2025-05-21T00:00:00Z"/>
        <d v="2025-06-05T00:00:00Z"/>
        <d v="2025-07-16T00:00:00Z"/>
        <d v="2025-06-22T00:00:00Z"/>
        <d v="2025-07-01T00:00:00Z"/>
        <s v=" "/>
        <d v="2025-01-09T00:00:00Z"/>
        <d v="2024-09-13T00:00:00Z"/>
        <d v="2024-10-16T00:00:00Z"/>
        <d v="2024-11-18T00:00:00Z"/>
        <d v="2024-01-11T00:00:00Z"/>
        <d v="2024-12-06T00:00:00Z"/>
        <d v="2025-02-27T00:00:00Z"/>
        <d v="2025-04-08T00:00:00Z"/>
        <d v="2025-01-27T00:00:00Z"/>
        <d v="2024-11-11T00:00:00Z"/>
        <d v="2024-11-28T00:00:00Z"/>
        <d v="2024-12-21T00:00:00Z"/>
        <d v="2025-01-13T00:00:00Z"/>
        <d v="2025-02-11T00:00:00Z"/>
        <d v="2025-03-06T00:00:00Z"/>
        <d v="2024-04-01T00:00:00Z"/>
        <d v="2024-04-08T00:00:00Z"/>
        <d v="2024-02-29T00:00:00Z"/>
        <d v="2024-04-18T00:00:00Z"/>
        <d v="2024-06-07T00:00:00Z"/>
        <d v="2024-03-21T00:00:00Z"/>
        <d v="2024-06-20T00:00:00Z"/>
        <d v="2024-07-08T00:00:00Z"/>
        <d v="2024-07-29T00:00:00Z"/>
        <d v="2024-09-01T00:00:00Z"/>
        <d v="2024-09-12T00:00:00Z"/>
        <d v="2024-09-23T00:00:00Z"/>
        <d v="2024-09-28T00:00:00Z"/>
        <d v="2024-09-30T00:00:00Z"/>
        <d v="2024-10-01T00:00:00Z"/>
        <d v="2024-10-12T00:00:00Z"/>
        <d v="2024-11-06T00:00:00Z"/>
        <d v="2024-12-04T00:00:00Z"/>
        <d v="2025-01-16T00:00:00Z"/>
        <d v="2025-01-20T00:00:00Z"/>
        <d v="2024-04-15T00:00:00Z"/>
        <d v="2024-03-26T00:00:00Z"/>
        <d v="2024-04-20T00:00:00Z"/>
        <d v="2024-08-26T00:00:00Z"/>
        <d v="2024-02-28T00:00:00Z"/>
        <d v="2024-04-05T00:00:00Z"/>
        <d v="2024-09-26T00:00:00Z"/>
        <d v="2024-03-01T00:00:00Z"/>
        <d v="2024-10-24T00:00:00Z"/>
        <d v="2024-08-29T00:00:00Z"/>
        <d v="2024-11-15T00:00:00Z"/>
        <d v="2025-02-25T00:00:00Z"/>
        <d v="2024-09-25T00:00:00Z"/>
        <d v="2024-08-06T00:00:00Z"/>
        <d v="2024-08-09T00:00:00Z"/>
        <d v="2024-12-12T00:00:00Z"/>
        <d v="2025-03-25T00:00:00Z"/>
        <d v="2024-07-27T00:00:00Z"/>
        <d v="2024-04-13T00:00:00Z"/>
        <d v="2023-03-23T00:00:00Z"/>
        <d v="2024-08-16T00:00:00Z"/>
        <d v="2024-11-04T00:00:00Z"/>
        <d v="2024-10-29T00:00:00Z"/>
        <d v="2024-01-06T00:00:00Z"/>
        <d v="2025-01-24T00:00:00Z"/>
        <d v="2025-01-29T00:00:00Z"/>
        <d v="2025-02-05T00:00:00Z"/>
        <d v="2024-03-20T00:00:00Z"/>
        <d v="2024-09-14T00:00:00Z"/>
        <d v="2024-10-10T00:00:00Z"/>
        <d v="2024-10-02T00:00:00Z"/>
        <d v="2024-06-14T00:00:00Z"/>
        <d v="2025-01-28T00:00:00Z"/>
        <d v="2024-06-01T00:00:00Z"/>
        <d v="2024-06-11T00:00:00Z"/>
        <d v="2024-12-03T00:00:00Z"/>
        <d v="2024-04-04T00:00:00Z"/>
        <d v="2024-06-27T00:00:00Z"/>
        <d v="2024-07-18T00:00:00Z"/>
        <d v="2024-10-28T00:00:00Z"/>
        <n v="-619148.0"/>
        <d v="2024-10-30T00:00:00Z"/>
        <d v="2024-12-11T00:00:00Z"/>
        <d v="2024-12-02T00:00:00Z"/>
        <d v="2025-01-25T00:00:00Z"/>
        <d v="2024-06-08T00:00:00Z"/>
        <d v="2024-10-25T00:00:00Z"/>
        <d v="2024-03-22T00:00:00Z"/>
        <d v="2024-07-26T00:00:00Z"/>
        <d v="2024-11-08T00:00:00Z"/>
        <d v="2025-09-08T00:00:00Z"/>
        <d v="2025-03-26T00:00:00Z"/>
        <d v="2025-08-10T00:00:00Z"/>
      </sharedItems>
    </cacheField>
    <cacheField name="Date Fin">
      <sharedItems containsDate="1" containsBlank="1" containsMixedTypes="1">
        <d v="2024-03-08T00:00:00Z"/>
        <d v="2024-03-19T00:00:00Z"/>
        <m/>
        <d v="2024-04-06T00:00:00Z"/>
        <d v="2024-04-09T00:00:00Z"/>
        <d v="2024-04-19T00:00:00Z"/>
        <d v="2024-04-22T00:00:00Z"/>
        <d v="2024-04-18T00:00:00Z"/>
        <d v="2024-04-26T00:00:00Z"/>
        <d v="2024-05-02T00:00:00Z"/>
        <d v="2024-05-01T00:00:00Z"/>
        <d v="2024-05-04T00:00:00Z"/>
        <d v="2024-05-08T00:00:00Z"/>
        <d v="2024-05-07T00:00:00Z"/>
        <d v="2024-05-10T00:00:00Z"/>
        <d v="2024-05-13T00:00:00Z"/>
        <d v="2024-05-18T00:00:00Z"/>
        <d v="2024-05-14T00:00:00Z"/>
        <d v="2024-05-17T00:00:00Z"/>
        <d v="2024-05-23T00:00:00Z"/>
        <d v="2024-05-27T00:00:00Z"/>
        <d v="2024-05-29T00:00:00Z"/>
        <d v="2024-05-30T00:00:00Z"/>
        <d v="2024-05-31T00:00:00Z"/>
        <d v="2024-06-16T00:00:00Z"/>
        <d v="2024-06-17T00:00:00Z"/>
        <d v="2024-06-20T00:00:00Z"/>
        <d v="2024-06-22T00:00:00Z"/>
        <d v="2024-06-19T00:00:00Z"/>
        <d v="2024-06-23T00:00:00Z"/>
        <d v="2024-06-25T00:00:00Z"/>
        <d v="2024-06-24T00:00:00Z"/>
        <d v="2024-06-29T00:00:00Z"/>
        <d v="2024-07-06T00:00:00Z"/>
        <d v="2024-06-28T00:00:00Z"/>
        <d v="2024-07-01T00:00:00Z"/>
        <d v="2024-06-26T00:00:00Z"/>
        <d v="2024-06-30T00:00:00Z"/>
        <d v="2024-07-10T00:00:00Z"/>
        <d v="2024-07-07T00:00:00Z"/>
        <d v="2024-07-14T00:00:00Z"/>
        <d v="2024-07-12T00:00:00Z"/>
        <d v="2024-07-23T00:00:00Z"/>
        <d v="2024-07-24T00:00:00Z"/>
        <d v="2024-07-22T00:00:00Z"/>
        <d v="2024-07-21T00:00:00Z"/>
        <d v="2024-07-25T00:00:00Z"/>
        <d v="2024-09-06T00:00:00Z"/>
        <d v="2024-07-26T00:00:00Z"/>
        <d v="2024-08-01T00:00:00Z"/>
        <d v="2024-09-08T00:00:00Z"/>
        <d v="2024-08-06T00:00:00Z"/>
        <d v="2024-08-03T00:00:00Z"/>
        <d v="2024-08-02T00:00:00Z"/>
        <d v="2024-07-20T00:00:00Z"/>
        <d v="2024-07-30T00:00:00Z"/>
        <d v="2024-08-09T00:00:00Z"/>
        <d v="2024-08-16T00:00:00Z"/>
        <d v="2024-08-08T00:00:00Z"/>
        <d v="2024-08-15T00:00:00Z"/>
        <d v="2024-09-07T00:00:00Z"/>
        <d v="2024-08-22T00:00:00Z"/>
        <d v="2024-08-25T00:00:00Z"/>
        <d v="2024-08-18T00:00:00Z"/>
        <d v="2024-08-21T00:00:00Z"/>
        <d v="2024-08-20T00:00:00Z"/>
        <d v="2024-08-23T00:00:00Z"/>
        <d v="2024-09-02T00:00:00Z"/>
        <d v="2024-08-28T00:00:00Z"/>
        <d v="2024-08-24T00:00:00Z"/>
        <d v="2024-08-30T00:00:00Z"/>
        <d v="2024-09-13T00:00:00Z"/>
        <d v="2024-09-18T00:00:00Z"/>
        <d v="2024-09-19T00:00:00Z"/>
        <d v="2024-09-09T00:00:00Z"/>
        <d v="2024-10-02T00:00:00Z"/>
        <d v="2024-10-11T00:00:00Z"/>
        <d v="2024-09-23T00:00:00Z"/>
        <d v="2024-09-21T00:00:00Z"/>
        <d v="2024-10-06T00:00:00Z"/>
        <d v="2024-09-20T00:00:00Z"/>
        <d v="2024-08-10T00:00:00Z"/>
        <d v="2024-09-25T00:00:00Z"/>
        <d v="2025-06-15T00:00:00Z"/>
        <d v="2024-09-30T00:00:00Z"/>
        <d v="2024-09-26T00:00:00Z"/>
        <d v="2024-10-03T00:00:00Z"/>
        <d v="2024-11-02T00:00:00Z"/>
        <d v="2024-11-15T00:00:00Z"/>
        <d v="2024-11-01T00:00:00Z"/>
        <d v="2024-11-08T00:00:00Z"/>
        <d v="2024-10-27T00:00:00Z"/>
        <d v="2024-10-26T00:00:00Z"/>
        <d v="2024-10-28T00:00:00Z"/>
        <d v="2025-06-14T00:00:00Z"/>
        <d v="2024-11-05T00:00:00Z"/>
        <d v="2024-11-16T00:00:00Z"/>
        <d v="2024-11-10T00:00:00Z"/>
        <d v="2024-11-12T00:00:00Z"/>
        <d v="2024-11-11T00:00:00Z"/>
        <d v="2025-06-17T00:00:00Z"/>
        <d v="2024-10-22T00:00:00Z"/>
        <d v="2024-11-07T00:00:00Z"/>
        <d v="2025-02-10T00:00:00Z"/>
        <d v="2024-11-09T00:00:00Z"/>
        <d v="2024-11-29T00:00:00Z"/>
        <d v="2024-12-03T00:00:00Z"/>
        <d v="2024-11-19T00:00:00Z"/>
        <d v="2024-11-30T00:00:00Z"/>
        <d v="2024-11-20T00:00:00Z"/>
        <d v="2024-11-27T00:00:00Z"/>
        <d v="2024-11-22T00:00:00Z"/>
        <d v="2024-11-26T00:00:00Z"/>
        <d v="2024-12-02T00:00:00Z"/>
        <d v="2024-12-09T00:00:00Z"/>
        <d v="2024-11-28T00:00:00Z"/>
        <d v="2024-12-15T00:00:00Z"/>
        <d v="2024-12-17T00:00:00Z"/>
        <d v="2024-12-01T00:00:00Z"/>
        <d v="2024-12-10T00:00:00Z"/>
        <d v="2025-03-05T00:00:00Z"/>
        <d v="2024-12-25T00:00:00Z"/>
        <d v="2024-12-19T00:00:00Z"/>
        <d v="2024-12-29T00:00:00Z"/>
        <d v="2025-01-03T00:00:00Z"/>
        <d v="2025-01-09T00:00:00Z"/>
        <d v="2025-01-10T00:00:00Z"/>
        <d v="2025-01-23T00:00:00Z"/>
        <d v="2025-01-24T00:00:00Z"/>
        <d v="2025-01-25T00:00:00Z"/>
        <d v="2025-01-05T00:00:00Z"/>
        <d v="2025-01-20T00:00:00Z"/>
        <d v="2025-01-13T00:00:00Z"/>
        <d v="2025-03-10T00:00:00Z"/>
        <d v="2025-01-29T00:00:00Z"/>
        <d v="2025-01-15T00:00:00Z"/>
        <d v="2025-01-30T00:00:00Z"/>
        <d v="2025-01-22T00:00:00Z"/>
        <d v="2025-02-07T00:00:00Z"/>
        <d v="2025-02-19T00:00:00Z"/>
        <d v="2025-01-31T00:00:00Z"/>
        <d v="2025-02-04T00:00:00Z"/>
        <d v="2025-02-05T00:00:00Z"/>
        <d v="2025-02-14T00:00:00Z"/>
        <d v="2025-02-08T00:00:00Z"/>
        <d v="2025-02-16T00:00:00Z"/>
        <d v="2025-02-20T00:00:00Z"/>
        <d v="2025-02-21T00:00:00Z"/>
        <d v="2025-02-26T00:00:00Z"/>
        <d v="2025-02-27T00:00:00Z"/>
        <d v="2025-02-22T00:00:00Z"/>
        <d v="2025-02-25T00:00:00Z"/>
        <d v="2025-02-13T00:00:00Z"/>
        <d v="2025-03-31T00:00:00Z"/>
        <d v="2025-03-04T00:00:00Z"/>
        <d v="2025-03-15T00:00:00Z"/>
        <d v="2025-03-12T00:00:00Z"/>
        <d v="2025-04-21T00:00:00Z"/>
        <d v="2025-03-13T00:00:00Z"/>
        <d v="2025-03-16T00:00:00Z"/>
        <d v="2025-03-18T00:00:00Z"/>
        <d v="2025-03-22T00:00:00Z"/>
        <d v="2025-04-23T00:00:00Z"/>
        <d v="2025-03-29T00:00:00Z"/>
        <d v="2025-03-24T00:00:00Z"/>
        <d v="2025-03-14T00:00:00Z"/>
        <d v="2025-03-19T00:00:00Z"/>
        <d v="2025-03-30T00:00:00Z"/>
        <d v="2025-04-26T00:00:00Z"/>
        <d v="2025-03-21T00:00:00Z"/>
        <d v="2025-05-24T00:00:00Z"/>
        <d v="2025-04-01T00:00:00Z"/>
        <d v="2025-04-04T00:00:00Z"/>
        <d v="2025-03-28T00:00:00Z"/>
        <d v="2025-04-06T00:00:00Z"/>
        <d v="2025-04-07T00:00:00Z"/>
        <d v="2025-02-28T00:00:00Z"/>
        <d v="2025-01-14T00:00:00Z"/>
        <d v="2025-04-10T00:00:00Z"/>
        <d v="2025-03-26T00:00:00Z"/>
        <d v="2025-04-09T00:00:00Z"/>
        <d v="2025-04-12T00:00:00Z"/>
        <d v="2025-04-16T00:00:00Z"/>
        <d v="2025-04-19T00:00:00Z"/>
        <d v="2025-05-09T00:00:00Z"/>
        <d v="2025-04-18T00:00:00Z"/>
        <d v="2025-04-25T00:00:00Z"/>
        <d v="2025-04-24T00:00:00Z"/>
        <d v="2025-04-27T00:00:00Z"/>
        <d v="2025-05-19T00:00:00Z"/>
        <d v="2025-05-30T00:00:00Z"/>
        <d v="2025-04-29T00:00:00Z"/>
        <d v="2025-05-01T00:00:00Z"/>
        <d v="2025-04-30T00:00:00Z"/>
        <d v="2025-05-31T00:00:00Z"/>
        <s v="31/04/2025"/>
        <d v="2025-03-06T00:00:00Z"/>
        <d v="2025-05-04T00:00:00Z"/>
        <d v="2025-05-05T00:00:00Z"/>
        <d v="2025-05-02T00:00:00Z"/>
        <d v="2025-05-14T00:00:00Z"/>
        <d v="2025-05-23T00:00:00Z"/>
        <d v="2025-05-08T00:00:00Z"/>
        <d v="2025-05-21T00:00:00Z"/>
        <d v="2025-05-10T00:00:00Z"/>
        <d v="2025-05-16T00:00:00Z"/>
        <d v="2025-05-25T00:00:00Z"/>
        <d v="2025-06-22T00:00:00Z"/>
        <d v="2025-06-30T00:00:00Z"/>
        <d v="2025-05-20T00:00:00Z"/>
        <d v="2025-05-15T00:00:00Z"/>
        <d v="2025-05-17T00:00:00Z"/>
        <d v="2025-07-08T00:00:00Z"/>
        <d v="2025-05-29T00:00:00Z"/>
        <d v="2025-05-22T00:00:00Z"/>
        <d v="2025-07-13T00:00:00Z"/>
        <d v="2025-07-16T00:00:00Z"/>
        <d v="2025-01-17T00:00:00Z"/>
        <d v="2025-06-10T00:00:00Z"/>
        <d v="2025-06-04T00:00:00Z"/>
        <d v="2025-06-05T00:00:00Z"/>
        <d v="2025-02-11T00:00:00Z"/>
        <d v="2025-06-11T00:00:00Z"/>
        <d v="2025-06-13T00:00:00Z"/>
        <d v="2025-04-22T00:00:00Z"/>
        <d v="2025-06-25T00:00:00Z"/>
        <d v="2025-06-18T00:00:00Z"/>
        <d v="2025-06-26T00:00:00Z"/>
        <d v="2025-06-24T00:00:00Z"/>
        <d v="2025-06-29T00:00:00Z"/>
        <d v="2025-07-03T00:00:00Z"/>
        <d v="2025-06-20T00:00:00Z"/>
        <d v="2025-06-28T00:00:00Z"/>
        <d v="2025-07-26T00:00:00Z"/>
        <s v="31/06/2025"/>
        <d v="2025-07-07T00:00:00Z"/>
        <d v="2025-07-18T00:00:00Z"/>
        <d v="2025-06-27T00:00:00Z"/>
        <d v="2025-07-11T00:00:00Z"/>
        <d v="2025-07-04T00:00:00Z"/>
        <d v="2025-07-17T00:00:00Z"/>
        <d v="2025-07-05T00:00:00Z"/>
        <d v="2024-07-13T00:00:00Z"/>
        <d v="2025-07-10T00:00:00Z"/>
        <d v="2025-07-14T00:00:00Z"/>
        <d v="2025-07-19T00:00:00Z"/>
        <d v="2025-07-20T00:00:00Z"/>
        <d v="2025-07-22T00:00:00Z"/>
        <d v="2025-07-27T00:00:00Z"/>
        <d v="2025-07-23T00:00:00Z"/>
        <d v="2025-07-25T00:00:00Z"/>
        <d v="2025-08-15T00:00:00Z"/>
        <d v="2025-07-31T00:00:00Z"/>
        <d v="2025-07-28T00:00:00Z"/>
        <d v="2025-07-29T00:00:00Z"/>
        <d v="2025-08-10T00:00:00Z"/>
        <d v="2025-06-21T00:00:00Z"/>
        <d v="2025-01-28T00:00:00Z"/>
        <d v="2025-06-19T00:00:00Z"/>
        <d v="2024-10-04T00:00:00Z"/>
        <d v="2024-11-25T00:00:00Z"/>
        <d v="2025-08-07T00:00:00Z"/>
        <d v="2025-06-09T00:00:00Z"/>
        <d v="2024-10-10T00:00:00Z"/>
        <d v="2024-10-25T00:00:00Z"/>
        <d v="2024-10-30T00:00:00Z"/>
        <d v="2024-12-24T00:00:00Z"/>
        <d v="2024-07-08T00:00:00Z"/>
        <d v="2025-03-20T00:00:00Z"/>
        <d v="2025-04-28T00:00:00Z"/>
        <d v="2024-09-22T00:00:00Z"/>
        <d v="2024-12-22T00:00:00Z"/>
        <d v="2025-01-11T00:00:00Z"/>
        <d v="2025-03-17T00:00:00Z"/>
        <d v="2024-05-09T00:00:00Z"/>
        <d v="2024-12-28T00:00:00Z"/>
        <d v="2025-01-04T00:00:00Z"/>
        <d v="2024-04-14T00:00:00Z"/>
        <d v="2024-04-29T00:00:00Z"/>
        <d v="2024-05-11T00:00:00Z"/>
        <d v="2024-05-28T00:00:00Z"/>
        <d v="2024-06-02T00:00:00Z"/>
        <d v="2024-06-05T00:00:00Z"/>
        <d v="2024-06-07T00:00:00Z"/>
        <d v="2024-06-21T00:00:00Z"/>
        <d v="2024-07-03T00:00:00Z"/>
        <d v="2024-07-15T00:00:00Z"/>
        <d v="2024-07-28T00:00:00Z"/>
        <d v="2024-09-16T00:00:00Z"/>
        <d v="2024-09-27T00:00:00Z"/>
        <d v="2024-10-07T00:00:00Z"/>
        <d v="2024-10-20T00:00:00Z"/>
        <d v="2024-10-21T00:00:00Z"/>
        <d v="2025-02-06T00:00:00Z"/>
        <d v="2025-02-17T00:00:00Z"/>
        <d v="2025-02-23T00:00:00Z"/>
        <d v="2024-03-01T00:00:00Z"/>
        <d v="2024-12-12T00:00:00Z"/>
        <d v="2024-04-07T00:00:00Z"/>
        <d v="2024-04-11T00:00:00Z"/>
        <d v="2024-04-21T00:00:00Z"/>
        <d v="2024-05-19T00:00:00Z"/>
        <d v="2024-05-20T00:00:00Z"/>
        <d v="2024-08-11T00:00:00Z"/>
        <d v="2024-10-15T00:00:00Z"/>
        <d v="2025-02-15T00:00:00Z"/>
        <d v="2025-03-08T00:00:00Z"/>
        <d v="2024-07-16T00:00:00Z"/>
        <d v="2024-09-15T00:00:00Z"/>
        <d v="2024-10-17T00:00:00Z"/>
        <d v="2024-12-16T00:00:00Z"/>
        <d v="2024-11-14T00:00:00Z"/>
        <d v="2024-10-05T00:00:00Z"/>
        <d v="2025-03-11T00:00:00Z"/>
        <d v="2024-08-07T00:00:00Z"/>
        <d v="2024-08-26T00:00:00Z"/>
        <d v="2024-04-28T00:00:00Z"/>
        <d v="2024-05-03T00:00:00Z"/>
        <d v="2024-05-25T00:00:00Z"/>
        <d v="2025-01-02T00:00:00Z"/>
        <d v="2024-08-12T00:00:00Z"/>
        <d v="2024-04-30T00:00:00Z"/>
        <d v="2024-05-12T00:00:00Z"/>
        <d v="2024-04-10T00:00:00Z"/>
        <d v="2024-11-24T00:00:00Z"/>
        <n v="-619359.0"/>
        <d v="2024-04-15T00:00:00Z"/>
        <d v="2024-08-04T00:00:00Z"/>
        <d v="2024-09-03T00:00:00Z"/>
        <d v="2024-10-16T00:00:00Z"/>
        <d v="2024-12-13T00:00:00Z"/>
        <d v="2025-01-06T00:00:00Z"/>
        <d v="2025-02-24T00:00:00Z"/>
        <d v="2024-12-21T00:00:00Z"/>
        <d v="2024-06-27T00:00:00Z"/>
        <d v="2024-09-01T00:00:00Z"/>
        <d v="2024-10-31T00:00:00Z"/>
        <d v="2024-11-23T00:00:00Z"/>
        <d v="2024-02-15T00:00:00Z"/>
        <d v="2024-05-15T00:00:00Z"/>
        <d v="2024-06-14T00:00:00Z"/>
        <d v="2024-07-27T00:00:00Z"/>
        <d v="2024-09-14T00:00:00Z"/>
        <d v="2024-09-17T00:00:00Z"/>
        <d v="2024-10-08T00:00:00Z"/>
        <d v="2024-06-08T00:00:00Z"/>
        <d v="2024-06-11T00:00:00Z"/>
        <d v="2024-12-20T00:00:00Z"/>
        <d v="2023-02-01T00:00:00Z"/>
        <d v="2024-02-01T00:00:00Z"/>
        <d v="2024-03-28T00:00:00Z"/>
        <d v="2024-03-31T00:00:00Z"/>
        <d v="2024-08-29T00:00:00Z"/>
        <d v="2024-11-03T00:00:00Z"/>
        <d v="2024-12-06T00:00:00Z"/>
        <d v="2024-12-23T00:00:00Z"/>
        <d v="2024-07-11T00:00:00Z"/>
        <d v="2024-08-19T00:00:00Z"/>
        <d v="2025-03-27T00:00:00Z"/>
        <d v="2025-09-15T00:00:00Z"/>
        <d v="2025-08-03T00:00:00Z"/>
        <d v="2025-05-18T00:00:00Z"/>
        <d v="2025-08-14T00:00:00Z"/>
        <d v="2025-08-08T00:00:00Z"/>
        <d v="2025-08-24T00:00:00Z"/>
        <d v="2025-08-13T00:00:00Z"/>
        <d v="2025-09-03T00:00:00Z"/>
        <d v="2025-08-21T00:00:00Z"/>
        <d v="2025-09-06T00:00:00Z"/>
        <d v="2025-09-01T00:00:00Z"/>
        <d v="2025-09-08T00:00:00Z"/>
        <d v="2025-09-19T00:00:00Z"/>
        <d v="2025-09-09T00:00:00Z"/>
        <d v="2025-10-03T00:00:00Z"/>
        <d v="2025-10-15T00:00:00Z"/>
      </sharedItems>
    </cacheField>
    <cacheField name="Status" numFmtId="0">
      <sharedItems containsBlank="1">
        <s v="Fait"/>
        <s v="Facture à envoyer"/>
        <s v="Script Revision Marque"/>
        <s v="Video Validée Marque"/>
        <s v="Video Revision Marque"/>
        <m/>
        <s v="Colis Reçu?"/>
        <s v="Script Validée Marque"/>
      </sharedItems>
    </cacheField>
    <cacheField name="Commentaire" numFmtId="0">
      <sharedItems containsBlank="1">
        <m/>
        <s v="ne pas mentionner d'autres marques 7 jours avant et après @ "/>
        <s v="resultat concours"/>
        <s v="en attente validation marque"/>
        <s v="VALIDÉ"/>
        <s v="Preview Validée"/>
        <s v="⚠️⚠️ demander à Inès code promo vs lien (car code différent)"/>
        <s v="à envoyer à la marque"/>
        <s v="en attente validation"/>
        <s v="envoyer facture"/>
        <s v="en attente info facturation"/>
        <s v="Ne pas envoyer facture au client mais faire une factureEn $$ une fois reception et convertion"/>
        <s v="brief partagé"/>
        <s v="ne pas poster 24h après ⚠️ verifier date (colis reçu le 23/05 = 3S)"/>
        <s v="en attente affiliate code"/>
        <s v="video"/>
        <s v="pas d'autres collabs 3 jours avant et après"/>
        <s v="commande passée"/>
        <s v="⚠️"/>
        <s v="date post à confirmer"/>
        <s v="DESCRIPTION (changement à faire) =&gt; Nouveautés @Anastasia Beverly Hills : Beauty balm &amp; Blurring serum blush ✨ Available from xxxx at Sephora all shades online and limited assortment in store #AD #ABHBLUSH #BLUSHHACK #LIQUIDBLUSH #ABHBeautyBalm #Anastasia"/>
        <s v="DESCRIPTION (changement à faire) =&gt;Makeup After Beachhh with Beauty Balm and Blurring Serum Blush @ANASTASIABEVERLYHILLS available from xxxx at Sephora all shades online and limited assortment in store. (il faudra remplacer les xx par la date de sortie, j"/>
        <s v="brouillon"/>
        <s v="DESCRIPTION (changement à faire) =&gt;⚠️ Date sortie SEPHORA"/>
        <s v="envoyer video à jour que Lily a partagé le 13/08"/>
        <s v="SUN SERUM"/>
        <s v="Partager ad code // DESCRIPTION (changement à faire) =&gt; The perfect complexion for this summer is: Beauty Balm and Blurring Serum Blush by @ANASTASIABEVERLYHILLS vavailable from xxxx (à remplacer par la date quand nous l'aurons) at Sephora all shades onli"/>
        <s v="une fois le paiement paypal faire facture pour € exact"/>
        <s v="DESCRIPTION (changement à faire) =&gt;"/>
        <s v="ajouter avant après"/>
        <s v="attendre retour autres factures"/>
        <s v="pas poster +3/-3   // partager ad code"/>
        <s v="envoyer facture 09/09 avec médiatisation + contenu"/>
        <s v="pas possible de poster le 23"/>
        <s v="⚠️ Dates Mixa -3+3 pas de collabs // date à confirmer"/>
        <s v="à poster"/>
        <s v="médiatisation à confirmer +100€"/>
        <s v="recuperer lien tacké pour IGs"/>
        <s v="IG"/>
        <s v="à refaire (réhaussement de cils)"/>
        <s v="24h no post any // 3 weeks of use"/>
        <s v="faire valider le contenu"/>
        <s v="+code boost"/>
        <s v="pas de média"/>
        <s v="date à définir"/>
        <s v="PERSONALISATION"/>
        <s v="draft: 3 jours apres reception // 26/09/2024 au plus tard // pas de post 12h apres poster"/>
        <s v="modif sur caption"/>
        <s v="Woo Juicy Tubes"/>
        <s v="facture à envoyer mais attendre ad code JEANNE"/>
        <s v="attendre Code boost"/>
        <s v="Facture à faire"/>
        <s v="Tracking Link 72h BIO https://testsgz.app.link/4hqEOX8xbNb"/>
        <s v="modifier caption  / pas de post 24h"/>
        <s v="en attente colis"/>
        <s v="18h"/>
        <s v="(+ usage rights + TikTok spark ads + IG ad codes"/>
        <s v="Reception Colis"/>
        <s v="video+ description"/>
        <s v="activer la fonctionnalité &quot;collaboration commercial&quot;"/>
        <s v="j'ai envoyé une facture en € mais c'est en dollar"/>
        <s v="125 de media à confimer "/>
        <s v="date à confirmer (7jours apres réception colis"/>
        <s v="commande"/>
        <s v="30j Myriam K entre chaque mois"/>
        <s v="cross post IG TT"/>
        <s v="mediat"/>
        <s v="ajouter lien en bio"/>
        <s v="Cross post IG + story swipe"/>
        <s v="rajouter code + 23% par contre impossible de refaire video modifs"/>
        <s v="mais ajouter ingrédient"/>
        <s v="facture faite"/>
        <s v="boost"/>
        <s v="preview"/>
        <s v="attente reception colis"/>
        <s v="facture au 3/03 à faire et envoyer"/>
        <s v="voir pour ajouter Ad"/>
        <s v=" "/>
        <s v="TT + Médiat"/>
        <s v="script idée creat TT médiat : du 1er au 27 avril !"/>
        <s v="médiat de 100€ en plus validée?"/>
        <s v="IGS à partager      IGs+ TIKTOK"/>
        <s v="1 TT"/>
        <s v="Pendant le repas"/>
        <s v="IG Reel médiat 01/03 au 27/03"/>
        <s v="02/03=&gt; idée creative ///// 10/03/2025 brouillon"/>
        <s v="1 IG reel + 1 IGs (3sets) AD CODE⚠️"/>
        <s v="dont 250€ de mediat"/>
        <s v="contrat à faire"/>
        <s v="en attente retour de la marque pour feu vert post"/>
        <s v="poster et partager ad code avant 12h"/>
        <s v="TT"/>
        <s v="x3 videos "/>
        <s v="pas besoin de valider preview 2 stories (10/04 et 11/04)"/>
        <s v="link in bio"/>
        <s v="avec ad code"/>
        <s v="⚠️changement facture - se referer au mail"/>
        <s v="médiatisation"/>
        <s v="dont 250€ mediat"/>
        <s v="integration produit"/>
        <s v="IG reel"/>
        <s v="350€ au lieu de 195 pour la derniere"/>
        <s v="IGS  "/>
        <s v="23/04/2025 preview et 16/04 idée creative"/>
        <s v="script  et preview le 01/05/2025"/>
        <s v="script"/>
        <s v="TT IGreel SNAP"/>
        <s v="poster sur TT"/>
        <s v="81€ en option?"/>
        <s v=": https://amzn.to/3Eubtp1"/>
        <s v="Comme beaucoup de followers lui demandent comment faire partir les taches d’acné, elle pourrait créer une vidéo sous l’un de ces formats : « J’ai trouvé un appareil magique pour éliminer les taches d’acné ! » Je présente le produit en détail.Je montre com"/>
        <s v="avec 100e d'ad code inclu"/>
        <s v="vidéo ok descritpion a modifier"/>
        <s v="TT add code a recup"/>
        <s v="GR check dates"/>
        <s v="pas besoin de revision"/>
        <s v="verifier si Lily a posté et partager lien video"/>
        <s v="Video tournée avant Script // envoyer video quand meme"/>
        <s v="partager les captions modifier repost ig"/>
        <s v="Contenu attendu par la marque"/>
        <s v="IGs ANAIS20 20% valable sur ensemble produit du site"/>
        <s v="médiat"/>
        <s v="TT ANAIS20 20% valable sur ensemble produit du site"/>
        <s v="Script 18/06 TT"/>
        <s v="One INS reel + 30 days ad &amp; organic usage rights+ link in bio"/>
        <s v="idée creative"/>
        <s v="manque HD + Sous Titres"/>
        <s v="idée creative à partager"/>
        <s v="TT + Tiktok Shop (reassort le 12/06"/>
        <s v="Script 18/06 IG + Cross Post Reel + IGs"/>
        <s v="UGC"/>
        <s v="Beach Babe Hair Waver Campaign"/>
        <s v="partager les stats dès le 18 juillet ?"/>
        <s v="Tiktok/ pas chez elle avant le 1 er juillet "/>
        <s v="Tiktok"/>
        <s v="partager dès le 24/07 les screens des statistiques de son contenu UGC aussi cession de droit partager la video en HD"/>
        <s v="4EX"/>
        <s v="TT + IGr"/>
        <s v="on a pas le brief"/>
        <s v="n'a pas le produit"/>
        <s v="avec mediat"/>
        <s v="IG + TT cross post + ad code +UGC"/>
        <s v="3 videos"/>
        <s v="Code promo perso à partager"/>
        <s v="mettre explications en anglais"/>
        <s v="⚠️ Gifting voir avec Gauthier "/>
        <s v="POUR CONTENU UGC AVANT AGENCE"/>
        <s v="TT + Tiktok Shop"/>
        <s v="partager stats"/>
        <s v="pas fait "/>
        <s v="16h30"/>
        <s v="partager à Jolt les détails pour la campagne (date, orna...)"/>
        <s v=": #Kiehlsfrance (TikTok) et @kiehlsfrance (Instagram) et le hashtag : #HYDRATATION"/>
        <s v="Fonctionnement Nice Work"/>
        <s v="3 contenus // pas d'exclu"/>
        <s v="https://docs.google.com/presentation/d/1q4NE7BfV_3-rP4IUQJmAq-Et7OVpK16CYhR5OVpmQYo/edit?usp=sharing"/>
        <s v="Fonctionnement Nice Work - Envoyer lien marque"/>
        <s v="Affiliation 10% // 2 post/mois"/>
        <s v="https://www.tiktok.com/@lavishhcam/video/7384102579849956641?lang=en"/>
        <s v="Reçu"/>
        <s v="Médiatisation "/>
        <s v="envoyer facture MÉDIA EN OPTION 250€ 4semaines 7-18 Octobre"/>
        <s v="Google Ads"/>
        <s v="La semaine du 1er avril"/>
        <s v="7 jours après reception sac"/>
        <s v="ATTENTION NOUVEAU BRIEF?"/>
        <s v="La semaine du 15 avril"/>
        <s v="VOIR MAIL POUR BRIEF"/>
        <s v="⚠️chiara_12  + Lien dans bio"/>
        <s v="Libre"/>
        <s v="Tester les produits et leur faire un retour. Si tu aimes pourquoi pas poster sur Tiktok"/>
        <s v="Photo avant/après"/>
        <s v="pas reçu"/>
        <s v="⚠️bleulividee_12 + Lien dans Bio"/>
        <s v="story juste"/>
        <s v="X2 video"/>
        <s v="en attente Micro Entreprise Jeanne"/>
        <s v="Brief dans mail Sparkle"/>
        <s v="colis pas encore reçu (30/11)"/>
        <s v="Contenu libre"/>
        <s v="laurine_12 + Lien dans bio"/>
        <s v="Post obligatoire sans brief"/>
        <s v="attendre description"/>
        <s v="Dès que possible"/>
        <s v="à poster dès que possible"/>
        <s v="retard livraison"/>
        <s v="Nice Work Fonctionnement "/>
        <s v="https://www.tiktok.com/@lilyy.nl/video/7361800761090526497"/>
        <s v="Attendre avant de facturer Médiatisation "/>
        <s v="Showroom 16h"/>
        <s v="RDV 11h Showroom"/>
        <s v="pas de preview"/>
        <s v="Nice Work"/>
        <s v="https://www.tiktok.com/@melf.fnt/video/7384078329554423073"/>
        <s v="D'ici 2 semaines après 20/03/24"/>
        <s v="https://www.tiktok.com/@melf.fnt/video/7360752268607491360"/>
        <s v="En attente date"/>
        <s v="colis confidentiel jussqu'au 08/10"/>
        <s v="Rappel"/>
        <s v="https://www.tiktok.com/@morgane.mrckk/video/7384031967643307296"/>
        <s v="10h à 18h"/>
        <s v="partager video TT"/>
        <s v="en attente validation contrat"/>
        <s v="Brief"/>
        <s v="Dès réception colis"/>
        <s v="ads big cils"/>
        <s v="RDV 12h Showroom"/>
        <s v="description"/>
        <s v="mercredi 18/09, de 19h à 21h30,"/>
        <s v="IG + TT Cross Post"/>
        <s v="n'a pas reçu les produits"/>
        <s v="demander ce qu'elle pense du produit"/>
        <s v="colis non reçu"/>
        <s v="1 mois d'utilisation? si elle a bien utiliser le produit? lui rappeler de bien mettre photo avant/après dans l video"/>
        <s v="acheter produit Script 18/06 IG + Cross Post Reel + IGs"/>
        <s v="colis recu ? "/>
        <s v="colis recu oui "/>
        <s v="colis recu ? oui "/>
        <s v="IG + Cross post TT"/>
        <s v="x5"/>
        <s v="x6"/>
      </sharedItems>
    </cacheField>
    <cacheField name="Description rapide de la demande" numFmtId="0">
      <sharedItems containsBlank="1">
        <s v="vidéo dédiée maquillage avec la marque Bell."/>
        <s v="post obligatoire avec brief"/>
        <s v="post obligatoire  "/>
        <s v="Brief à respecter"/>
        <s v="Thème du book"/>
        <m/>
        <s v="Post Obligatoire "/>
        <s v="Brief dans mail"/>
        <s v="Ne pas poster / Suivre brief"/>
        <s v="Post avec brief"/>
        <s v="Libre"/>
        <s v="Seeding"/>
        <s v="NiceWork"/>
        <s v="Nice Work"/>
        <s v="Post Obligatoire"/>
        <s v="Fonctionnement Nice Work"/>
        <s v="Pas de brief"/>
        <s v="Consignes Nice Work"/>
        <s v="Post obligatoire sans brief"/>
        <s v="1 Tiktok + 1 Reel"/>
        <s v="1 Tiktok + 1 IG story"/>
        <s v="Post non obligatoire"/>
        <s v="Libre - colis presse"/>
        <s v="Evenement"/>
        <s v="Sans obligation de post"/>
        <s v="Obligation de post"/>
        <s v="Nice Work Fonctionnement"/>
        <s v="Médiatisation"/>
        <s v="Apport D'affaire"/>
        <s v="Promouvoir les 2 produits"/>
        <s v="Voir Brief mail"/>
        <s v="Event"/>
      </sharedItems>
    </cacheField>
    <cacheField name="Format (influence vs UGC)" numFmtId="166">
      <sharedItems containsBlank="1">
        <s v="Influence"/>
        <m/>
        <s v="UGC "/>
        <s v="UGC"/>
        <s v="Evenement"/>
        <s v="Skeepers"/>
        <s v="Interview"/>
        <s v="Médiatisation"/>
      </sharedItems>
    </cacheField>
    <cacheField name="Rémunération totale">
      <sharedItems containsBlank="1" containsMixedTypes="1" containsNumber="1">
        <n v="70.0"/>
        <n v="130.0"/>
        <n v="200.0"/>
        <s v="Gifting + Médiatisation"/>
        <s v="20€/semaine de médiatisation"/>
        <n v="350.0"/>
        <s v="Comptabilisé"/>
        <n v="500.0"/>
        <n v="150.0"/>
        <s v="Gifting"/>
        <n v="100.0"/>
        <m/>
        <n v="650.0"/>
        <n v="450.0"/>
        <n v="629.92"/>
        <n v="1800.0"/>
        <n v="175.0"/>
        <n v="250.0"/>
        <n v="1000.0"/>
        <n v="230.0"/>
        <n v="300.0"/>
        <n v="80.0"/>
        <n v="531.0"/>
        <n v="400.0"/>
        <n v="241.28"/>
        <n v="75.0"/>
        <n v="275.0"/>
        <n v="137.5"/>
        <n v="600.0"/>
        <n v="526.48"/>
        <n v="625.0"/>
        <n v="1250.0"/>
        <n v="800.0"/>
        <n v="699.2"/>
        <n v="225.0"/>
        <n v="1500.0"/>
        <n v="357.935"/>
        <n v="173.0"/>
        <n v="1200.0"/>
        <n v="233.33333333333334"/>
        <n v="750.0"/>
        <n v="700.0"/>
        <n v="393.3"/>
        <n v="125.0"/>
        <n v="382.5"/>
        <n v="325.0"/>
        <n v="0.0"/>
        <n v="170.0"/>
        <n v="900.0"/>
        <n v="375.0"/>
        <n v="195.0"/>
        <n v="950.0"/>
        <n v="1012.5"/>
        <n v="2000.0"/>
        <n v="333.3333333333333"/>
        <n v="582.0"/>
        <n v="291.0"/>
        <n v="970.0"/>
        <n v="1850.0"/>
        <n v="940.0"/>
        <n v="2500.0"/>
        <n v="850.0"/>
        <n v="1100.0"/>
        <n v="810.0"/>
        <n v="552.0"/>
        <n v="550.13"/>
        <n v="1400.0"/>
        <n v="1125.0"/>
        <n v="395.09"/>
        <n v="410.72"/>
        <n v="550.0"/>
        <n v="508.3"/>
        <n v="370.0"/>
        <n v="1300.0"/>
        <n v="492.87"/>
        <n v="166.66666666666666"/>
        <n v="3298.0"/>
        <n v="666.6666666666666"/>
        <n v="620.0"/>
        <n v="112.5"/>
        <n v="217.4"/>
        <n v="3125.0"/>
        <n v="266.6666666666667"/>
        <n v="310.0"/>
        <n v="880.0"/>
        <n v="1290.0"/>
        <n v="840.0"/>
        <n v="602.0"/>
        <n v="190.0"/>
        <s v="Affiliation"/>
        <s v="10% Commission"/>
        <s v="Showroom"/>
        <s v="Evenement"/>
        <n v="235.0"/>
        <n v="144.0"/>
        <s v="Affiliate"/>
        <s v="Event"/>
        <n v="933.3333333333334"/>
        <n v="3000.0"/>
        <n v="4500.0"/>
        <n v="588.0"/>
        <n v="471.27"/>
        <s v="PR"/>
        <n v="2985.0"/>
        <n v="270.0"/>
        <n v="2100.0"/>
        <n v="2550.0"/>
        <n v="1280.0"/>
      </sharedItems>
    </cacheField>
    <cacheField name="Date Stats">
      <sharedItems containsDate="1" containsString="0" containsBlank="1" containsMixedTypes="1">
        <m/>
        <d v="2024-04-16T00:00:00Z"/>
        <d v="2024-04-29T00:00:00Z"/>
        <d v="2024-04-25T00:00:00Z"/>
        <d v="2024-05-08T00:00:00Z"/>
        <d v="2024-05-11T00:00:00Z"/>
        <d v="2024-05-31T00:00:00Z"/>
        <n v="105.0"/>
        <n v="96.25"/>
        <n v="280.0"/>
        <n v="140.0"/>
        <n v="350.0"/>
        <n v="420.0"/>
      </sharedItems>
    </cacheField>
    <cacheField name="Lien video" numFmtId="0">
      <sharedItems containsBlank="1">
        <m/>
        <s v="https://www.tiktok.com/@melf.fnt/video/7382192283279494432"/>
        <s v="https://www.tiktok.com/@lilyy.nl/video/7383728309110050080"/>
        <s v="https://www.tiktok.com/@lolatagliaferroo/video/7383998473613479201"/>
        <s v="https://www.tiktok.com/@lavishhcam/video/7390792553022442784?lang=en"/>
        <s v="https://www.tiktok.com/@chiaraaaa.bnc/video/7391058568260111649"/>
        <s v="https://www.tiktok.com/@lina.mkrn2/video/7390790437969104161"/>
        <s v="https://www.tiktok.com/@perrine.trp/video/7391590382611516705"/>
        <s v="https://www.tiktok.com/@morgane.mrckk/video/7390710366738681121"/>
        <s v="https://www.tiktok.com/@perrine.trp/video/7394891259883654433"/>
        <s v="https://www.tiktok.com/@___oraane/video/7392965105924738336"/>
        <s v="https://www.tiktok.com/@paupibeauty/video/7395224727377251617"/>
        <s v="https://www.tiktok.com/@lolatagliaferroo/video/7395519666556259616"/>
        <s v="https://www.tiktok.com/@melf.fnt/video/7393286593676660000"/>
        <s v="https://www.tiktok.com/@perrine.trp/video/7393392477878701345"/>
        <s v="https://www.tiktok.com/@morgane.mrckk/video/7394042444519591201"/>
        <s v="https://www.tiktok.com/@paupibeauty/video/7394501330364075296"/>
        <s v="https://www.tiktok.com/@paupibeauty/video/7397449808555937056?_r=1&amp;_t=8oSOvlgWeMi"/>
        <s v="https://www.tiktok.com/@lolatagliaferroo/video/7398086597721263393"/>
        <s v="https://www.tiktok.com/@___oraane/video/7398548157925248288"/>
        <s v="https://vm.tiktok.com/ZGenfd12c/"/>
        <s v="https://www.tiktok.com/@liserdg/video/7397464254451911969"/>
        <s v="https://www.tiktok.com/@liserdg/video/7401195152984870176"/>
        <s v="https://www.tiktok.com/@lilyy.nl/video/7403767696283766048"/>
        <s v="https://www.tiktok.com/@morgane.mrckk/video/7411931626252422433"/>
        <s v="https://www.tiktok.com/@___oraane/video/7403673068578688289"/>
        <s v="https://www.tiktok.com/@lavishhcam/video/7406036857340824865?lang=en"/>
        <s v="https://www.tiktok.com/@lilyy.nl/video/7407093682731502880"/>
        <s v="https://www.tiktok.com/@paupibeauty/video/7403439757415533856?_r=1&amp;_t=8otpeszl9rE"/>
        <s v="https://www.tiktok.com/@perrine.trp/video/7411953653143129376"/>
        <s v="https://www.tiktok.com/@lavishhcam/video/7407487090046389537?lang=en"/>
        <s v="https://www.tiktok.com/@melf.fnt/video/7408135764502007073"/>
        <s v="https://www.tiktok.com/@lavishhcam/video/7406708879695875360?lang=en"/>
        <s v="https://www.tiktok.com/@lavishhcam/video/7411562966337834272?lang=en"/>
        <s v="https://www.tiktok.com/@morgane.mrckk/video/7406767459749055777"/>
        <s v="https://www.tiktok.com/@lilyy.nl/video/7411947131440827681"/>
        <s v="https://www.tiktok.com/@julianebernard/video/7415999447202663713"/>
        <s v="https://www.tiktok.com/@lilyy.nl/video/7412698376162135328"/>
        <s v="https://www.tiktok.com/@melf.fnt/video/7421252203458874656"/>
        <s v="https://www.tiktok.com/@melf.fnt/video/7417119746270776609"/>
        <s v="https://www.tiktok.com/@melf.fnt/video/7422703664969616673"/>
        <s v="https://www.tiktok.com/@paupibeauty/video/7416729046316338465?_r=1&amp;_t=8psjQcSNmPA"/>
        <s v="https://www.tiktok.com/@jessicadcstr/video/7401576606319398177"/>
        <s v="https://tiktok.com/@mary.zhh/video/7416774634885926176?lang=en"/>
        <s v="https://www.tiktok.com/@chiaraaaa.bnc/video/7417486710386232609"/>
        <s v="https://www.tiktok.com/@perrine.trp/video/7420530124208016672"/>
        <s v="https://www.tiktok.com/@paupibeauty/video/7418269204975078689"/>
        <s v="https://www.tiktok.com/@jeanne_bayart/video/7425572834992344353?_r=1&amp;_t=8qXCYC0RFJY"/>
        <s v="https://www.tiktok.com/@jeanne_bayart/video/7437562970659491105?lang=en"/>
        <s v="https://www.tiktok.com/@___oraane/video/7434852783339195681?lang=en"/>
        <s v="https://www.tiktok.com/@melf.fnt/video/7430522334919822624"/>
        <s v="https://www.tiktok.com/@liserdg/video/7430136572063796513?lang=en"/>
        <s v="https://www.tiktok.com/@liserdg/video/7432768931619802401?lang=en"/>
        <s v="https://www.tiktok.com/@morgane.mrckk/video/7430757799249988896?lang=en"/>
        <s v="https://www.tiktok.com/@shaa_dl/video/7515842386795187478"/>
        <s v="https://www.tiktok.com/@___oraane/video/7419283054981664033"/>
        <s v="https://www.tiktok.com/@anaiswairyy/video/7433837110584479008?lang=en"/>
        <s v="https://www.tiktok.com/@chiaraaaa.bnc/video/7438003860733578528?lang=en"/>
        <s v="https://www.tiktok.com/@morgane.mrckk/video/7437476392905805089?lang=en"/>
        <s v="https://www.tiktok.com/@iimslma/video/7436438336383880480?lang=en"/>
        <s v="https://www.tiktok.com/@melf.fnt/video/7436438601740668192?_r=1&amp;_t=8rKy09eXARN"/>
        <s v="https://www.tiktok.com/@lavishhcam/video/7437477138430741792"/>
        <s v="https://www.tiktok.com/@julianebernard/video/7437454498747927841?lang=en"/>
        <s v="https://www.tiktok.com/@melf.fnt/video/7437532619706731809"/>
        <s v="https://www.tiktok.com/@anaiswairyy/video/7455393883908771094?lang=en"/>
        <s v="https://www.tiktok.com/@anaiswairyy/video/7469871245606030614?lang=en"/>
        <s v="https://www.tiktok.com/@___oraane/video/7450792735776296214?lang=en"/>
        <s v="https://www.tiktok.com/@___oraane/video/7449648582451350806?lang=en"/>
        <s v="https://www.tiktok.com/@melf.fnt/video/7441913953858489633"/>
        <s v="https://www.tiktok.com/@paupibeauty/video/7442018892454694176?_r=1&amp;_t=8rkWjFn0wJa"/>
        <s v="https://www.tiktok.com/@anaiswairyy?lang=en"/>
        <s v="https://www.tiktok.com/@lilyy.nl/video/7443863318730689814"/>
        <s v="https://www.tiktok.com/@jeanne_bayart/video/7442798993492479265?lang=en"/>
        <s v="https://www.tiktok.com/@iman_cvls/video/7451924438834089238?_r=1&amp;_t=8sTta62xc1u"/>
        <s v="https://www.tiktok.com/@iman_cvls/video/7452023214944947478?_r=1&amp;_t=8sWEGQqinJO"/>
        <s v="https://www.tiktok.com/@iman_cvls/video/7452403635708775702"/>
        <s v="https://www.tiktok.com/@jasmiinelife/video/7453739165205777686?lang=en"/>
        <s v="https://www.tiktok.com/@lavishhcam/video/7463441462252932374"/>
        <s v="https://www.tiktok.com/@iimslma/video/7465383468805999894?_r=1&amp;_t=ZN-8tTXg6qHkUY"/>
        <s v="https://www.tiktok.com/@iman_cvls/video/7465390038260485398?_t=ZN-8tTZG4XbMr0&amp;_r=1"/>
        <s v="https://www.tiktok.com/@liserdg/video/7465785595495763222?lang=en"/>
        <s v="https://www.tiktok.com/@la_gur/video/7467998009230363926?lang=en"/>
        <s v="75 de media"/>
        <s v="https://www.tiktok.com/@dounsbnl/video/7471295610063310102"/>
        <s v="https://www.tiktok.com/@lolatagliaferroo?lang=en"/>
        <s v="https://www.tiktok.com/@___oraane/video/7471294678306934038?lang=en"/>
        <s v="https://www.tiktok.com/@shaa_dl/video/7471336075559046422"/>
        <s v="https://www.tiktok.com/@dounsbnl/video/7451645404535442710"/>
        <s v="https://www.tiktok.com/@anaiswairyy/video/7471353868702502166?lang=en"/>
        <s v="https://www.tiktok.com/@dounsbnl/video/7473150812873788674?_t=ZN-8u36zKwjrx0&amp;_r=1"/>
        <s v="https://www.tiktok.com/@lolatagliaferroo/video/7473819808870534422?lang=en"/>
        <s v="https://www.tiktok.com/@paupibeauty/video/7473538347969875222?_r=1&amp;_t=ZN-8u4tYDuW4wQ"/>
        <s v="https://www.tiktok.com/@perrine.trp/video/7476172058406194454?lang=en"/>
        <s v="https://www.tiktok.com/@eloiseaubeneauu/video/7482020827924401451"/>
        <s v="https://www.tiktok.com/@julianebernard/video/7496568197135486230?_r=1&amp;_t=ZN-8vmOTilRwgg"/>
        <s v="https://www.tiktok.com/@iimslma/video/7485792482345618710?_r=1&amp;_t=ZN-8uz1T2hjhy6"/>
        <s v="https://www.tiktok.com/@dounsbnl/video/7476794031935147286"/>
        <s v="https://www.tiktok.com/@eloiseaubeneauu/video/7495738839487581470?_t=ZP-8viaG7wegWt&amp;_r=1"/>
        <s v="https://www.tiktok.com/@lilyy.nl/video/7493984160173034774"/>
        <s v="https://www.tiktok.com/@ttemarine/video/7495056234014379266"/>
        <s v="https://www.tiktok.com/@ttemarine/video/7494670749865757974"/>
        <s v="https://www.tiktok.com/@julianebernard/video/7493986086654315798?lang=en"/>
        <s v="https://www.tiktok.com/@paupibeauty/video/7493948630144011542"/>
        <s v="https://www.tiktok.com/@lavishhcam/video/7495428391882198295"/>
        <s v="https://www.tiktok.com/@la_gur/video/7499405044245204246?lang=en"/>
        <s v="https://www.tiktok.com/@sarah.bdii/video/7499149208293788950"/>
        <s v="https://www.tiktok.com/@jasmiinelife/video/7499164614366645526?lang=en"/>
        <s v="https://www.tiktok.com/@ttemarine/video/7499519504368569622"/>
        <s v="https://www.tiktok.com/@lovelymorgane/video/7499894490853821718?_r=1&amp;_t=8kth38xkh3x"/>
        <s v="https://www.tiktok.com/@arwen.arwen1/video/7506934371669101846?lang=en"/>
        <s v="https://www.tiktok.com/@farahdisiaque/video/7505057972834372886"/>
        <s v="https://www.tiktok.com/@paupibeauty/video/7506557930817277206?_t=ZN-8wW7MsM3mNy&amp;_r=1"/>
        <s v="https://www.tiktok.com/@lavishhcam/video/7505069359010794774"/>
        <s v="https://www.tiktok.com/@paupibeauty/video/7507679880100810007?_r=1&amp;_t=ZN-8wbG54dkxtO"/>
        <s v="https://www.tiktok.com/@iam.sissou/video/7526589360469265686?is_from_webapp=1&amp;sender_device=pc&amp;web_id=7504317976587437590"/>
        <s v="https://www.tiktok.com/@mary.zhh/video/7462430581402520854"/>
        <s v="https://www.tiktok.com/@mary.zhh/video/7460561651675303190"/>
        <s v="https://www.tiktok.com/@paupibeauty/video/7439768252269546785?_r=1&amp;_t=8raH38QLVtG"/>
        <s v="https://www.tiktok.com/@amani_mee/video/7494728696528522518"/>
        <s v="https://vm.tiktok.com/ZNdPeJgF7/"/>
        <s v="https://www.tiktok.com/@ttemarine/video/7522142648207936790?_t=ZN-8xfVHZaTphe&amp;_r=1"/>
        <s v="https://www.tiktok.com/@iam.sissou/video/7513475563936369942"/>
        <s v="https://www.tiktok.com/@iimslma/video/7522888104374701335"/>
        <s v="https://drive.google.com/drive/folders/19ToYFCpY-wQNqLL1X6hkS610Je7ZJWpH?usp=sharing"/>
        <s v="https://drive.google.com/drive/folders/1cqb0DvHrI2AEf5Y1mODPl-Wb-x2ZpIBF?usp=sharing"/>
        <s v="https://www.tiktok.com/@shaa_dl/video/7525111945536523542?_r=1&amp;_t=ZN-8xwa2XIbgXO"/>
        <s v="https://www.instagram.com/p/DL9s1T-ucxx/?hl=fr"/>
        <s v="https://www.tiktok.com/@___oraane/video/7525503490924416279"/>
        <s v="https://www.tiktok.com/@julianebernard/video/7522838166227864854?lang=en"/>
        <s v="https://www.tiktok.com/@laudewit/video/7519192074919365920"/>
        <s v="https://www.tiktok.com/@asmaenel/video/7526542702301826326?is_from_webapp=1&amp;sender_device=pc&amp;web_id=7504317976587437590"/>
        <s v="https://www.tiktok.com/@shaa_dl/video/7525111987638979862?_r=1&amp;_t=ZN-8xwa1oeBxCQ"/>
        <s v="https://www.tiktok.com/@juliette.pn/video/7525473712418622742?is_from_webapp=1&amp;sender_device=pc&amp;web_id=7504317976587437590"/>
        <s v="https://www.tiktok.com/@laudewit/video/7525483945366998305"/>
        <s v="https://www.tiktok.com/@julianebernard/video/7526982773156924694?_r=1&amp;_t=ZN-8y1f4d2rh1K"/>
        <s v="https://www.tiktok.com/@la_gur/video/7528400374802173206"/>
        <s v="https://www.tiktok.com/@paupibeauty/video/7529220565756857622"/>
        <s v="https://vm.tiktok.com/ZNHp1gFdSuU6L-Orqzs/"/>
        <s v="https://www.tiktok.com/@melissa.pndd/video/7526574135296773398?is_from_webapp=1&amp;sender_device=pc&amp;web_id=7504317976587437590"/>
        <s v="https://www.tiktok.com/@laudewit/video/7529089646714735905"/>
        <s v="https://www.tiktok.com/@guenaire/video/7532570588146076950"/>
        <s v="https://www.tiktok.com/@laudewit/video/7525765188893674784"/>
        <s v="https://www.tiktok.com/@sarah.bdii/video/7516951979084598550"/>
        <s v="https://www.tiktok.com/@anaiswairyy/video/7466167514402229526?lang=en"/>
        <s v="https://www.tiktok.com/@melissa.pndd/video/7514352561562946838"/>
        <s v="https://vm.tiktok.com/ZNdyXTXHb/"/>
        <s v="https://www.instagram.com/reel/DLc5EB4ogna/?utm_source=ig_web_copy_link"/>
        <s v="https://www.tiktok.com/@glennwolff/video/7517353745353559318?is_from_webapp=1&amp;sender_device=pc&amp;web_id=7504317976587437590"/>
        <s v="https://www.instagram.com/reel/DLXs9HIijUX/?utm_source=ig_web_copy_link&amp;igsh=MzEyc2ZyNmFwZTMw"/>
        <s v="https://www.tiktok.com/@lolatagliaferroo/video/7520567485473492246?is_from_webapp=1&amp;sender_device=pc&amp;web_id=7504317976587437590"/>
        <s v="https://www.tiktok.com/@melissa.pndd/video/7519911199744494850?is_from_webapp=1&amp;sender_device=pc&amp;web_id=7504317976587437590"/>
        <s v="https://www.tiktok.com/@___oraane/video/7518063433611480343?_t=ZN-8xMoEPKM08s&amp;_r=1"/>
        <s v="https://www.tiktok.com/@paupibeauty/video/7521283052488641814?is_from_webapp=1&amp;sender_device=pc&amp;web_id=7504317976587437590"/>
        <s v="https://www.tiktok.com/@sarah.bdii/video/7532173540204891414"/>
        <s v="https://www.tiktok.com/@shaa_dl/video/7414067609177476384"/>
        <s v="https://www.tiktok.com/@shaa_dl/video/7430530285852167457"/>
        <s v="https://www.tiktok.com/@shaa_dl/video/7456916860278295830?_t=ZN-8sqlAIVsOJS&amp;_r=1"/>
        <s v="https://www.tiktok.com/@amandambt_/video/7483639690327788822?lang=en"/>
        <s v="La première à 1 min 17 https://vm.tiktok.com/ZNdMWypK4/ La seconde à 1 min 32 https://vm.tiktok.com/ZNdMWUM5e/"/>
        <s v="https://www.instagram.com/reel/DFqvAlCNUMN/"/>
        <s v="https://www.tiktok.com/@arwen.arwen1/video/7453509821812280598?lang=en"/>
        <s v="https://www.tiktok.com/@arwen.arwen1/video/7453509775200980246?lang=en"/>
        <s v="https://www.tiktok.com/@arwen.arwen1/video/7453530509163973910?lang=en"/>
        <s v="https://www.tiktok.com/@lavishhcam/video/7372599354646957344"/>
        <s v="https://www.tiktok.com/@lavishhcam/video/7370721490632772896?lang=en"/>
        <s v="https://www.tiktok.com/@lavishhcam/video/7374120668813659425"/>
        <s v="https://vm.tiktok.com/ZGeGrsEfX/"/>
        <s v="https://www.tiktok.com/@lavishhcam/video/7392636437163773217"/>
        <s v="https://www.tiktok.com/@lavishhcam/video/7401082023797902625?lang=en"/>
        <s v="https://www.tiktok.com/@lavishhcam/video/7401156666479119649?lang=en"/>
        <s v="https://www.tiktok.com/@lavishhcam/video/7415270528665046305?lang=en"/>
        <s v="https://www.tiktok.com/@lavishhcam/video/7414065973084359968?lang=en"/>
        <s v="https://www.tiktok.com/@lavishhcam/video/7421861704159464736?lang=en"/>
        <s v="https://www.tiktok.com/@lavishhcam/video/7421578850808646944"/>
        <s v="https://www.tiktok.com/@lavishhcam/video/7424528927714020641"/>
        <s v="https://tiktok.com/@lavishhcam/video/7428536491384638753"/>
        <s v="https://www.tiktok.com/@lavishhcam/video/7431968536773299489"/>
        <s v="https://www.tiktok.com/@lavishhcam/video/7431640311199255840"/>
        <s v="https://www.tiktok.com/@lavishhcam/video/7442372621200575776"/>
        <s v="https://www.tiktok.com/@lavishhcam/video/7451273510346820886"/>
        <s v="https://www.tiktok.com/@lavishhcam/video/7465046952749616406"/>
        <s v="https://www.tiktok.com/@lavishhcam/video/7462439461763157270"/>
        <s v="https://www.tiktok.com/@lavishhcam/video/7467602307832745238?_r=1&amp;_t=ZN-8tpZSV3gUPG"/>
        <s v="https://www.tiktok.com/@lavishhcam/video/7481621153107217686?_t=ZN-8ufuB4coZpW&amp;_r=1"/>
        <s v="https://www.tiktok.com/@lavishhcam/video/7480248461112216854?_t=ZN-8uksUX9QNRG&amp;_r=1"/>
        <s v="https://www.tiktok.com/@lavishhcam/video/7395231761887759649?lang=en"/>
        <s v="https://www.tiktok.com/@lavishhcam/video/7398186484789988641?lang=en"/>
        <s v="https://www.tiktok.com/@lavishhcam/video/7365759408892103969?lang=en"/>
        <s v="https://www.tiktok.com/@lavishhcam/video/7401530328214441248?lang=en"/>
        <s v="https://www.tiktok.com/@lavishhcam/video/7394844935842778400?lang=en"/>
        <s v="https://www.tiktok.com/@chiaraaaa.bnc/video/7391983750164319520?_r=1&amp;_t=8o3MXv1mvZJ"/>
        <s v="https://www.tiktok.com/@chiaraaaa.bnc/video/7394423173132913952"/>
        <s v="https://www.tiktok.com/@chiaraaaa.bnc/video/7405297473117310240"/>
        <s v="https://www.tiktok.com/@chiaraaaa.bnc/video/7404583889974480161"/>
        <s v="https://www.tiktok.com/@chiaraaaa.bnc/video/7416745525149584673"/>
        <s v="https://www.tiktok.com/@chiaraaaa.bnc/video/7415682356973014305?_r=1&amp;_t=8pnu1Dc4LKK"/>
        <s v="https://www.tiktok.com/@chiaraaaa.bnc/video/7426062687051713824?lang=en"/>
        <s v="https://www.tiktok.com/@chiaraaaa.bnc/video/7429003433572715809?lang=en"/>
        <s v="https://www.tiktok.com/@dounsbnl/video/7431205107913493793"/>
        <s v="https://www.tiktok.com/@dounsbnl/video/7474747644808613142"/>
        <s v="https://www.instagram.com/p/DHT2-JnIB-6/"/>
        <s v="https://www.instagram.com/reel/DJMIRWMoL9E/?igsh=MTY5bnFnZW5mZGI2dA=="/>
        <s v="https://www.tiktok.com/@eloiseaubeneauu/video/7483491441663036718?_t=ZT-8uoTJcOEruw&amp;_r=1"/>
        <s v="https://www.tiktok.com/@eloiseaubeneauu/video/7507226915682389279"/>
        <s v="https://www.instagram.com/reel/DJPcuR3Idt7/?igsh=OW9lOXZyc2hucGI="/>
        <s v="https://www.tiktok.com/@farahdisiaque/video/7483922941864955158?_t=ZN-8uqT7rbpmb8&amp;_r=1"/>
        <s v="c"/>
        <s v="https://www.tiktok.com/@bleulividee/video/7372251599776877856"/>
        <s v="https://vm.tiktok.com/ZGepDFE5y/"/>
        <s v="https://www.tiktok.com/@bleulividee/video/7391910299361709344"/>
        <s v="https://www.tiktok.com/@bleulividee/video/7392682253026970912"/>
        <s v="https://www.tiktok.com/@bleulividee/video/7410370727486049568"/>
        <s v="https://www.tiktok.com/@bleulividee/video/7375559768552770849"/>
        <s v="https://www.tiktok.com/@bleulividee/video/7393388652753194273"/>
        <s v="https://www.tiktok.com/@bleulividee/video/7397487380388744480"/>
        <s v="https://www.tiktok.com/@bleulividee/video/7365539403646651680"/>
        <s v="https://www.tiktok.com/@la_gur/photo/7457999858377428246?lang=en"/>
        <s v="https://www.tiktok.com/@la_gur/video/7485089693206433046?lang=en"/>
        <s v="https://www.tiktok.com/@la_gur/video/7495733948685815062?lang=en"/>
        <s v="https://drive.google.com/drive/folders/1bllXfbrb3bUB07wpoG2Ebl0SK0IzuWTC?usp=sharing"/>
        <s v="https://www.tiktok.com/@hidaya_bl/video/7484394919600213270"/>
        <s v="https://www.tiktok.com/@iman_cvls/video/7397858754177551649"/>
        <s v="https://www.tiktok.com/@iman_cvls/video/7404463230673849633"/>
        <s v="https://www.tiktok.com/@iman_cvls/video/7414564750392184096"/>
        <s v="https://www.tiktok.com/@iman_cvls/video/7430007298031930656?lang=en"/>
        <s v="https://www.tiktok.com/@iman_cvls/video/7442289270481636640?lang=en"/>
        <s v="https://www.tiktok.com/@iman_cvls/video/7458583066676710678?_t=ZN-8syYtKZMQGF&amp;_r=1"/>
        <s v="https://vm.tiktok.com/ZNdrMWKU9/   https://vm.tiktok.com/ZNdrMbUmK/&#10;"/>
        <s v="https://www.tiktok.com/@iman_cvls/video/7405646497515113761"/>
        <s v="https://www.tiktok.com/@jasmiinelife/video/7402157667159969057"/>
        <s v="https://www.tiktok.com/@jasmiinelife/video/7398942773430308128"/>
        <s v="https://www.tiktok.com/@jasmiinelife/video/7411133691189071137"/>
        <s v="https://www.tiktok.com/@jasmiinelife/video/7431849329335209249?_t=8qzxJsLvUuH&amp;_r=1"/>
        <s v="https://www.tiktok.com/@jasmiinelife/video/7481342810977881366?_r=1&amp;_t=ZN-8ued6vIUIJa"/>
        <s v="https://www.tiktok.com/@jasmiinelife/video/7478010649835064598?_t=ZN-8uksMc15EkI&amp;_r=1"/>
        <s v="https://vm.tiktok.com/ZNdr6BsyX/"/>
        <s v="https://www.tiktok.com/@jasmiinelife/video/7406012010816638240"/>
        <s v="https://www.instagram.com/reel/DAEGiSUicZy/"/>
        <s v="https://www.tiktok.com/@jeanne_bayart/video/7405111060274924832"/>
        <s v="https://www.tiktok.com/@jeanne_bayart/video/7401629838697565472"/>
        <s v="https://www.instagram.com/reel/DHYZokMIocA/?igsh=MXJmNGNqYzdlNjZ6eg%3D%3D"/>
        <s v="https://www.tiktok.com/@jessicadcstr/video/7374052571708771616"/>
        <s v="https://www.tiktok.com/@jessicadcstr/video/7375545597094464801"/>
        <s v="https://www.tiktok.com/@jessicadcstr/video/7388534640631450913"/>
        <s v="https://www.tiktok.com/@jessicadcstr/video/7389326468137995552"/>
        <s v="https://www.tiktok.com/@jessicadcstr/video/7402283442785766688"/>
        <s v="https://www.tiktok.com/@jessicadcstr/video/7400003750661819681"/>
        <s v="https://www.tiktok.com/@jessicadcstr/video/7401184127703108897"/>
        <s v="https://www.tiktok.com/@jessicadcstr/video/7379634512625487137"/>
        <s v="https://www.tiktok.com/@jessicadcstr/video/7370005908706921761?q=jessicadcstr%20aromazone&amp;t=1716383408647"/>
        <s v="https://www.tiktok.com/@julianebernard/video/7375950922876194080"/>
        <s v="https://www.tiktok.com/@julianebernard/video/7394526025591409952"/>
        <s v="https://www.tiktok.com/@julianebernard/video/7415662953526988065"/>
        <s v="https://www.tiktok.com/@julianebernard/video/7422201837324979489"/>
        <s v="https://www.tiktok.com/@julianebernard/video/7423819976387218720?lang=en"/>
        <s v="https://www.tiktok.com/@julianebernard/video/7428654055754353952?lang=en"/>
        <s v="https://www.tiktok.com/@julianebernard/video/7431227139405466912?lang=en"/>
        <s v="https://www.tiktok.com/@julianebernard/video/7470566844924005654?lang=en"/>
        <s v="https://www.tiktok.com/@julianebernard/video/7480957956545203478?_t=ZN-8uflzHw9hd0&amp;_r=1"/>
        <s v="https://www.tiktok.com/@julianebernard/video/7483144981474053398?_r=1&amp;_t=ZN-8umtSsTCOtq"/>
        <s v="https://www.tiktok.com/@julianebernard/video/7505188044769611030?_r=1&amp;_t=ZN-8wUPhwBCpra"/>
        <s v="https://www.tiktok.com/@julianebernard/video/7387355316817612064"/>
        <s v="https://www.tiktok.com/@laurieespamm/video/7373977897394048289"/>
        <s v="https://www.tiktok.com/@laurieespamm/video/7372894690884029729"/>
        <s v="https://www.tiktok.com/@laurieespamm/video/7385220213458980129"/>
        <s v="https://www.tiktok.com/@laurieespamm/video/7403685503830084896?_r=1&amp;_t=8ouxXOOFEH3"/>
        <s v="https://www.tiktok.com/@laurieespamm/video/7385584137039596833"/>
        <s v="https://www.tiktok.com/@lilyy.nl/video/7372250529398836512"/>
        <s v="https://www.tiktok.com/@lilyy.nl/video/7374127349601701153"/>
        <s v="https://www.tiktok.com/@lilyy.nl/video/7377465554560453921"/>
        <s v="https://www.tiktok.com/@lilyy.nl/video/7382595650866662688"/>
        <s v="https://www.tiktok.com/@lilyy.nl/video/7387413713944333601"/>
        <s v="https://www.tiktok.com/@lilyy.nl/video/7398197901182111008"/>
        <s v="https://www.tiktok.com/@lilyy.nl/video/7400071344089533728"/>
        <s v="https://www.tiktok.com/@lilyy.nl/video/7401181475330198816"/>
        <s v="https://www.tiktok.com/@lilyy.nl/video/7416387740951956768"/>
        <s v="https://www.tiktok.com/@lilyy.nl/video/7414163405205982497"/>
        <s v="https://www.tiktok.com/@lilyy.nl/video/7424229467951729953"/>
        <s v="https://www.tiktok.com/@lilyy.nl/video/7421229015719103776"/>
        <s v="https://www.tiktok.com/@lilyy.nl/video/7432644019890539808"/>
        <s v="https://www.tiktok.com/@lilyy.nl/video/7467121622500003094"/>
        <s v="https://www.tiktok.com/@lilyy.nl/video/7465615921470557462"/>
        <s v="https://www.tiktok.com/@lilyy.nl/video/7473378357531397398?_t=ZN-8uecd1X7Rby&amp;_r=1"/>
        <s v="https://www.tiktok.com/@lilyy.nl/video/7381865050685934881"/>
        <s v="https://www.tiktok.com/@lilyy.nl/video/7397468947290918176"/>
        <s v="https://www.tiktok.com/@lilyy.nl/video/7355571660520426784?q=lilyy.nl%20aromazone&amp;t=1716382679417"/>
        <s v="https://www.tiktok.com/@lilyy.nl/video/7407474534565154081"/>
        <s v="www.tiktok.com/@lilyy.nl/video/7402233435932216608?cid=NzQwMjIzNDY4NzAzMDE5OTA3Mg"/>
        <s v="https://www.tiktok.com/@lina.mkrn2/video/7384054300869217569?browserMode=1"/>
        <s v="https://www.tiktok.com/@liserdg/video/7399262478896614689"/>
        <s v="https://www.tiktok.com/@liserdg/video/7399698677285014817"/>
        <s v="https://www.tiktok.com/@liserdg/video/7404521868960501024"/>
        <s v="https://www.tiktok.com/@liserdg/video/7407523195101728033"/>
        <s v="https://www.tiktok.com/@liserdg/video/7418260695130623264"/>
        <s v="https://www.tiktok.com/@liserdg/video/7420486871957998880"/>
        <s v="https://www.tiktok.com/@liserdg/video/7431256738801667360?lang=en"/>
        <s v="https://www.tiktok.com/@liserdg/video/7441653570472135969?_t=8riqrKU7tr6&amp;_r=1"/>
        <s v="https://www.tiktok.com/@liserdg/video/7408641991967378720"/>
        <s v="https://www.tiktok.com/@liserdg/video/7381070326211317025"/>
        <s v="https://tiktok.com/@liserdg/video/7422323883673423136"/>
        <s v="https://www.tiktok.com/@lolatagliaferroo/video/7388560111800749345"/>
        <s v="https://www.tiktok.com/@lolatagliaferroo/video/7417167690537717024"/>
        <s v="https://www.tiktok.com/@lolatagliaferroo/video/7417539584071830816"/>
        <s v="https://www.tiktok.com/@lolatagliaferroo/video/7428671047366348065?lang=en"/>
        <s v="https://www.tiktok.com/@lolatagliaferroo/video/7445278458680266006?lang=en"/>
        <s v="https://www.tiktok.com/@melf.fnt/video/7372218331379666209"/>
        <s v="https://www.tiktok.com/@melf.fnt/video/7370750286744292641"/>
        <s v="https://www.tiktok.com/@melf.fnt/video/7383665768757579041"/>
        <s v="https://www.tiktok.com/@melf.fnt/video/7384078329554423073"/>
        <s v="https://www.tiktok.com/@melf.fnt/video/7388460088819797280"/>
        <s v="https://www.tiktok.com/@melf.fnt/video/7391885588057656609"/>
        <s v="https://www.tiktok.com/@melf.fnt/video/7399939773575613728"/>
        <s v="https://www.tiktok.com/@melf.fnt/video/7416390437692280096"/>
        <s v="https://www.tiktok.com/@melf.fnt/video/7415636160636013856"/>
        <s v="https://www.tiktok.com/@melf.fnt/video/7417407814903057697"/>
        <s v="https://www.tiktok.com/@melf.fnt/video/7422664116545801504"/>
        <s v="https://www.tiktok.com/@melf.fnt/video/7431619697042296096"/>
        <s v="https://www.tiktok.com/@melf.fnt/video/7428571977918500128"/>
        <s v="https://www.tiktok.com/@melf.fnt/video/7375924184494476577"/>
        <s v="https://www.tiktok.com/@melf.fnt/video/7395873680867233057"/>
        <s v="https://www.tiktok.com/@melf.fnt/video/7364824274315529505"/>
        <s v="https://www.tiktok.com/@melf.fnt/video/7400756804549971232"/>
        <s v="https://www.tiktok.com/@morgane.mrckk/video/7384031967643307296"/>
        <s v="https://www.tiktok.com/@morgane.mrckk/video/7402654625314196769"/>
        <s v="https://www.tiktok.com/@morgane.mrckk/video/7414534348910775584"/>
        <s v="https://www.tiktok.com/@morgane.mrckk/video/7413431476252970272"/>
        <s v="https://www.tiktok.com/@morgane.mrckk/video/7412302749104114977"/>
        <s v="https://www.tiktok.com/@morgane.mrckk/video/7423352236501241121"/>
        <s v="https://www.tiktok.com/@morgane.mrckk/video/7424156968429833504?lang=en"/>
        <s v="https://www.tiktok.com/@morgane.mrckk/video/7436771318671953185?lang=en"/>
        <s v="https://www.tiktok.com/@morgane.mrckk/video/7385545243870973216"/>
        <s v="https://www.tiktok.com/@morgane.mrckk/video/7397382935453764896"/>
        <s v="https://www.tiktok.com/@morgane.mrckk/video/7381070101392477472"/>
        <s v="https://www.tiktok.com/@morgane.mrckk/video/7416632134347033889"/>
        <s v="https://www.instagram.com/p/DF3IS0nN9_G/?img_index=1"/>
        <s v="https://www.instagram.com/p/DHTVmb9tQrc/"/>
        <s v="https://www.instagram.com/p/DJtb4I3NWCt/?img_index=1&amp;igsh=cHBsdGw3bjhsaTd2"/>
        <s v="https://www.tiktok.com/@___oraane/video/7370306532183002401"/>
        <s v="https://www.tiktok.com/@___oraane/video/7385808181940784417"/>
        <s v="https://www.tiktok.com/@___oraane/video/7396281714101734689"/>
        <s v="https://www.tiktok.com/@___oraane/video/7398824092297612576"/>
        <s v="https://www.tiktok.com/@___oraane/video/7408970007402663200"/>
        <s v="https://www.tiktok.com/@___oraane/video/7422246939724385569?lang=en"/>
        <s v="https://www.tiktok.com/@___oraane/video/7427080640987712800?lang=en"/>
        <s v="https://www.tiktok.com/@___oraane/video/7476554634371337495?_t=ZN-8uksMQy8spa&amp;_r=1"/>
        <s v="https://www.tiktok.com/@___oraane/video/7497260335687142678?_r=1&amp;_t=ZN-8wK7rhJ1GDe"/>
        <s v="https://www.tiktok.com/@___oraane/video/7375468422068571424?_r=1&amp;_t=8krP3tfqVUH"/>
        <s v="https://www.tiktok.com/@___oraane/video/7410372109068766496"/>
        <s v="https://www.tiktok.com/@paupibeauty/video/7376008068775120160"/>
        <s v="https://vm.tiktok.com/ZGeb3qMjG/"/>
        <s v="https://www.tiktok.com/@paupibeauty/video/7388913023471176993"/>
        <s v="https://www.tiktok.com/@paupibeauty/video/7391913188587048224"/>
        <s v="https://www.tiktok.com/@paupibeauty/video/7391464252877442336"/>
        <s v="https://www.tiktok.com/@paupibeauty/video/7399701843338612001?_r=1&amp;_t=8ocjkRHNArg"/>
        <s v="https://www.tiktok.com/@paupibeauty/video/7397104051248188704"/>
        <s v="https://www.tiktok.com/@paupibeauty/video/7409632617487699233?_r=1&amp;_t=8pifPT1JA5h"/>
        <s v="https://www.tiktok.com/@paupibeauty/video/7422233100345806113?_r=1&amp;_t=8qHw0Tc0W3d"/>
        <s v="https://www.tiktok.com/@paupibeauty/video/7433470283073244449"/>
        <s v="https://vm.tiktok.com/ZGdLKEWpH/"/>
        <s v="https://www.tiktok.com/@paupibeauty/video/7469447565080005910"/>
        <s v="https://www.tiktok.com/@paupibeauty/video/7483230429919677718?_r=1&amp;u_code=db2iba9fkd722g&amp;preview_pb=0&amp;sharer_language=fr&amp;_d=e50dm7j0f1glif&amp;share_item_id=7483230429919677718&amp;source=h5_m&amp;timestamp=1742383722&amp;utm_source=copy&amp;tt_from=copy&amp;enable_checksum=1&amp;ut"/>
        <s v="https://vm.tiktok.com/ZNdr6B5df/  https://vm.tiktok.com/ZNdr62oeS/"/>
        <s v="https://www.tiktok.com/@paupibeauty/video/7390429662033251617"/>
        <s v="https://www.tiktok.com/@paupibeauty/video/7364899892755565857"/>
        <s v="https://www.tiktok.com/@paupibeauty/video/7400829639158992161"/>
        <s v="https://www.tiktok.com/@paupibeauty/video/7403338641294101793?_r=1&amp;_t=8otMyM33Aq9"/>
        <s v="https://www.tiktok.com/@paupibeauty/video/7419986303070129441"/>
        <s v="https://www.tiktok.com/@perrine.trp/video/7388970033046736161"/>
        <s v="https://www.tiktok.com/@perrine.trp/video/7391934268479425825"/>
        <s v="https://www.tiktok.com/@perrine.trp/video/7388938973533490465"/>
        <s v="https://www.tiktok.com/@perrine.trp/video/7404526978864270625"/>
        <s v="https://www.tiktok.com/@perrine.trp/video/7416397579652549920"/>
        <s v="https://www.tiktok.com/@perrine.trp/video/7420481706290990368"/>
        <s v="https://www.tiktok.com/@perrine.trp/video/7432357615906082081?lang=en"/>
        <s v="https://www.tiktok.com/@perrine.trp/video/7470594564579921174?_t=ZN-8trcT1kEJTq&amp;_r=1"/>
        <s v="https://www.tiktok.com/@romlabordelaise/photo/7374826918236949793?_d=secCgYIASAHKAESPgo8q9siUnZtyE0109XMp5dx3cMmVFVIaMGy%2BlAK8UtWtglSCdVgBy%2FzSdjJmzYWsISFC9%2B%2FlyF04TxmdiBEGgA%3D&amp;_r=1&amp;checksum=76ea1d67e0b71fc0c1e121f4b86c89eead08caa18274e51cbd7e8fffc4"/>
        <s v="https://www.tiktok.com/@romlabordelaise/video/7367768975154990369"/>
        <s v="https://www.tiktok.com/@iimslma/video/7437910864826486048?_r=1&amp;_t=8rRi7SCy1Ka"/>
        <s v="https://www.tiktok.com/@iimslma/video/7396769960623738145"/>
        <s v="https://www.tiktok.com/@iimslma/video/7403774825702886688"/>
        <s v="https://www.tiktok.com/@iimslma/video/7399725613407309089"/>
        <s v="https://www.tiktok.com/@iimslma/video/7400436730320456993"/>
        <s v="https://www.tiktok.com/@iimslma/video/7407485284817882401"/>
        <s v="https://www.tiktok.com/@iimslma/video/7412021525198425376"/>
        <s v="https://www.tiktok.com/@iimslma/video/7408622473912061216"/>
        <s v="https://www.tiktok.com/@iimslma/video/7413780170781347105"/>
        <s v="https://www.tiktok.com/@iimslma/video/7431628369067838753?lang=en"/>
        <s v="https://www.tiktok.com/@iimslma/video/7435745133313805601?_r=1&amp;_t=8rleTqgb0vG"/>
        <s v="https://www.tiktok.com/@iimslma/video/7468747433061944599?lang=en"/>
        <s v="https://www.tiktok.com/@iimslma/video/7468781724462337302?lang=en"/>
        <s v="https://www.tiktok.com/@iimslma/video/7472835179187424534?lang=en"/>
        <s v="https://www.tiktok.com/@iimslma/video/7481752779980147990?_t=ZN-8ugXSybaIEw&amp;_r=1"/>
        <s v="https://www.tiktok.com/@iimslma/video/7483594182083218710?_r=1&amp;_t=ZN-8uox8rOjAzm"/>
        <s v="https://vm.tiktok.com/ZNdrrBuVK/"/>
      </sharedItems>
    </cacheField>
    <cacheField name="X">
      <sharedItems containsBlank="1" containsMixedTypes="1" containsNumber="1" containsInteger="1">
        <m/>
        <n v="350.0"/>
        <n v="420.0"/>
        <n v="320.0"/>
        <s v="https://www.instagram.com/reel/DEKlEAhCcsg/"/>
        <s v="ANAIS-10 Il offre -10% de réduction sur une commande sans minimum d’achat, hors frais de port, valable jusqu’au 30/04/2025"/>
        <s v="envoyer facture en anglais"/>
        <s v="deja facture"/>
        <s v="500 médiat"/>
        <s v="dont 150 de médiat"/>
        <s v="envoyer facture en €"/>
        <s v="médiat à confirmer 202,50€"/>
        <s v="ajouter code promo"/>
        <s v="lien en bio"/>
        <s v="rembourser Produits"/>
        <s v="facture déjà envoyée"/>
        <s v="enlever 75 media à facturer plus tard"/>
        <s v="médiat à confirmer  67,50 €"/>
      </sharedItems>
    </cacheField>
    <cacheField name="Grapper" numFmtId="0">
      <sharedItems containsBlank="1">
        <s v="Oui"/>
        <s v="Non"/>
        <m/>
        <s v="Non "/>
      </sharedItems>
    </cacheField>
    <cacheField name="Date vente" numFmtId="164">
      <sharedItems containsDate="1" containsString="0" containsBlank="1">
        <d v="2024-03-01T00:00:00Z"/>
        <d v="2024-03-15T00:00:00Z"/>
        <m/>
        <d v="2024-03-30T00:00:00Z"/>
        <d v="2024-03-25T00:00:00Z"/>
        <d v="2024-04-08T00:00:00Z"/>
        <d v="2024-04-11T00:00:00Z"/>
        <d v="2024-03-21T00:00:00Z"/>
        <d v="2024-04-25T00:00:00Z"/>
        <d v="2024-04-19T00:00:00Z"/>
        <d v="2024-05-07T00:00:00Z"/>
        <d v="2024-05-06T00:00:00Z"/>
        <d v="2024-05-02T00:00:00Z"/>
        <d v="2024-05-13T00:00:00Z"/>
        <d v="2024-05-14T00:00:00Z"/>
        <d v="2024-03-20T00:00:00Z"/>
        <d v="2024-04-10T00:00:00Z"/>
        <d v="2024-05-30T00:00:00Z"/>
        <d v="2024-05-11T00:00:00Z"/>
        <d v="2024-04-30T00:00:00Z"/>
        <d v="2024-05-23T00:00:00Z"/>
        <d v="2024-05-16T00:00:00Z"/>
        <d v="2024-06-08T00:00:00Z"/>
        <d v="2024-06-20T00:00:00Z"/>
        <d v="2024-06-18T00:00:00Z"/>
        <d v="2024-06-12T00:00:00Z"/>
        <d v="2024-06-24T00:00:00Z"/>
        <d v="2024-06-11T00:00:00Z"/>
        <d v="2024-07-16T00:00:00Z"/>
        <d v="2024-07-25T00:00:00Z"/>
        <d v="2024-07-03T00:00:00Z"/>
        <d v="2024-06-17T00:00:00Z"/>
        <d v="2024-06-27T00:00:00Z"/>
        <d v="2024-07-06T00:00:00Z"/>
        <d v="2024-06-14T00:00:00Z"/>
        <d v="2024-07-24T00:00:00Z"/>
        <d v="2024-07-10T00:00:00Z"/>
        <d v="2024-08-01T00:00:00Z"/>
        <d v="2024-07-04T00:00:00Z"/>
        <d v="2024-07-23T00:00:00Z"/>
        <d v="2024-07-21T00:00:00Z"/>
        <d v="2024-08-06T00:00:00Z"/>
        <d v="2024-07-29T00:00:00Z"/>
        <d v="2024-07-30T00:00:00Z"/>
        <d v="2024-07-17T00:00:00Z"/>
        <d v="2024-08-02T00:00:00Z"/>
        <d v="2024-07-31T00:00:00Z"/>
        <d v="2024-08-21T00:00:00Z"/>
        <d v="2024-08-19T00:00:00Z"/>
        <d v="2024-08-13T00:00:00Z"/>
        <d v="2024-09-11T00:00:00Z"/>
        <d v="2024-08-16T00:00:00Z"/>
        <d v="2024-09-12T00:00:00Z"/>
        <d v="2024-08-23T00:00:00Z"/>
        <d v="2024-09-04T00:00:00Z"/>
        <d v="2025-05-20T00:00:00Z"/>
        <d v="2024-09-09T00:00:00Z"/>
        <d v="2024-08-28T00:00:00Z"/>
        <d v="2024-09-14T00:00:00Z"/>
        <d v="2024-09-13T00:00:00Z"/>
        <d v="2024-08-20T00:00:00Z"/>
        <d v="2024-09-26T00:00:00Z"/>
        <d v="2024-08-29T00:00:00Z"/>
        <d v="2025-05-13T00:00:00Z"/>
        <d v="2024-09-03T00:00:00Z"/>
        <d v="2024-09-27T00:00:00Z"/>
        <d v="2024-10-01T00:00:00Z"/>
        <d v="2025-05-07T00:00:00Z"/>
        <d v="2024-10-28T00:00:00Z"/>
        <d v="2024-09-10T00:00:00Z"/>
        <d v="2024-10-15T00:00:00Z"/>
        <d v="2024-10-29T00:00:00Z"/>
        <d v="2024-10-24T00:00:00Z"/>
        <d v="2024-10-02T00:00:00Z"/>
        <d v="2024-10-30T00:00:00Z"/>
        <d v="2024-10-14T00:00:00Z"/>
        <d v="2024-10-25T00:00:00Z"/>
        <d v="2024-11-05T00:00:00Z"/>
        <d v="2024-11-08T00:00:00Z"/>
        <d v="2024-11-04T00:00:00Z"/>
        <d v="2024-10-23T00:00:00Z"/>
        <d v="2024-11-29T00:00:00Z"/>
        <d v="2024-11-19T00:00:00Z"/>
        <d v="2024-12-09T00:00:00Z"/>
        <d v="2024-11-26T00:00:00Z"/>
        <d v="2024-11-25T00:00:00Z"/>
        <d v="2024-12-05T00:00:00Z"/>
        <d v="2024-12-16T00:00:00Z"/>
        <d v="2024-11-11T00:00:00Z"/>
        <d v="2024-12-03T00:00:00Z"/>
        <d v="2024-12-24T00:00:00Z"/>
        <d v="2025-02-20T00:00:00Z"/>
        <d v="2024-12-23T00:00:00Z"/>
        <d v="2025-01-07T00:00:00Z"/>
        <d v="2024-12-12T00:00:00Z"/>
        <d v="2025-01-21T00:00:00Z"/>
        <d v="2025-01-24T00:00:00Z"/>
        <d v="2025-01-17T00:00:00Z"/>
        <d v="2025-01-09T00:00:00Z"/>
        <d v="2025-01-27T00:00:00Z"/>
        <d v="2025-01-23T00:00:00Z"/>
        <d v="2024-10-22T00:00:00Z"/>
        <d v="2024-10-21T00:00:00Z"/>
        <d v="2025-01-22T00:00:00Z"/>
        <d v="2025-01-16T00:00:00Z"/>
        <d v="2025-02-12T00:00:00Z"/>
        <d v="2025-02-18T00:00:00Z"/>
        <d v="2025-01-29T00:00:00Z"/>
        <d v="2025-02-14T00:00:00Z"/>
        <d v="2025-02-15T00:00:00Z"/>
        <d v="2025-02-06T00:00:00Z"/>
        <d v="2025-02-21T00:00:00Z"/>
        <d v="2025-03-31T00:00:00Z"/>
        <d v="2025-02-26T00:00:00Z"/>
        <d v="2025-02-28T00:00:00Z"/>
        <d v="2025-02-25T00:00:00Z"/>
        <d v="2025-02-19T00:00:00Z"/>
        <d v="2025-03-11T00:00:00Z"/>
        <d v="2025-03-21T00:00:00Z"/>
        <d v="2025-03-12T00:00:00Z"/>
        <d v="2025-03-17T00:00:00Z"/>
        <d v="2025-03-24T00:00:00Z"/>
        <d v="2025-03-10T00:00:00Z"/>
        <d v="2025-03-14T00:00:00Z"/>
        <d v="2025-04-17T00:00:00Z"/>
        <d v="2025-03-16T00:00:00Z"/>
        <d v="2025-04-04T00:00:00Z"/>
        <d v="2025-04-07T00:00:00Z"/>
        <d v="2025-04-15T00:00:00Z"/>
        <d v="2025-04-25T00:00:00Z"/>
        <d v="2025-05-16T00:00:00Z"/>
        <d v="2025-04-14T00:00:00Z"/>
        <d v="2025-03-28T00:00:00Z"/>
        <d v="2025-03-06T00:00:00Z"/>
        <d v="2025-03-20T00:00:00Z"/>
        <d v="2025-04-09T00:00:00Z"/>
        <d v="2025-04-11T00:00:00Z"/>
        <d v="2025-03-13T00:00:00Z"/>
        <d v="2025-04-08T00:00:00Z"/>
        <d v="2025-04-30T00:00:00Z"/>
        <d v="2025-04-21T00:00:00Z"/>
        <d v="2025-06-02T00:00:00Z"/>
        <d v="2025-06-10T00:00:00Z"/>
        <d v="2025-03-30T00:00:00Z"/>
        <d v="2025-03-26T00:00:00Z"/>
        <d v="2025-06-20T00:00:00Z"/>
        <d v="2025-02-10T00:00:00Z"/>
        <d v="2025-05-19T00:00:00Z"/>
        <d v="2025-04-24T00:00:00Z"/>
        <d v="2025-06-26T00:00:00Z"/>
        <d v="2025-05-23T00:00:00Z"/>
        <d v="2025-05-06T00:00:00Z"/>
        <d v="2025-05-24T00:00:00Z"/>
        <d v="2025-06-05T00:00:00Z"/>
        <d v="2025-05-27T00:00:00Z"/>
        <d v="2025-06-12T00:00:00Z"/>
        <d v="2025-05-28T00:00:00Z"/>
        <d v="2025-06-16T00:00:00Z"/>
        <d v="2025-06-18T00:00:00Z"/>
        <d v="2025-06-11T00:00:00Z"/>
        <d v="2025-06-23T00:00:00Z"/>
        <d v="2025-02-03T00:00:00Z"/>
        <d v="2025-06-04T00:00:00Z"/>
        <d v="2025-05-22T00:00:00Z"/>
        <d v="2025-06-22T00:00:00Z"/>
        <d v="2025-07-16T00:00:00Z"/>
        <d v="2025-06-19T00:00:00Z"/>
        <d v="2025-07-01T00:00:00Z"/>
        <d v="2025-06-17T00:00:00Z"/>
        <d v="2025-06-13T00:00:00Z"/>
        <d v="2025-07-03T00:00:00Z"/>
        <d v="2024-10-18T00:00:00Z"/>
        <d v="2025-05-29T00:00:00Z"/>
        <d v="2025-06-30T00:00:00Z"/>
        <d v="2025-03-07T00:00:00Z"/>
        <d v="2024-09-08T00:00:00Z"/>
        <d v="2024-10-08T00:00:00Z"/>
        <d v="2024-11-13T00:00:00Z"/>
        <d v="2024-12-10T00:00:00Z"/>
        <d v="2024-12-04T00:00:00Z"/>
        <d v="2024-06-07T00:00:00Z"/>
        <d v="2024-05-31T00:00:00Z"/>
        <d v="2025-02-23T00:00:00Z"/>
        <d v="2024-11-07T00:00:00Z"/>
        <d v="2024-11-28T00:00:00Z"/>
        <d v="2024-12-18T00:00:00Z"/>
        <d v="2025-02-11T00:00:00Z"/>
        <d v="2025-02-07T00:00:00Z"/>
        <d v="2024-09-05T00:00:00Z"/>
        <d v="2024-12-13T00:00:00Z"/>
        <d v="2024-03-08T00:00:00Z"/>
        <d v="2024-04-22T00:00:00Z"/>
        <d v="2024-05-17T00:00:00Z"/>
        <d v="2024-04-24T00:00:00Z"/>
        <d v="2024-05-24T00:00:00Z"/>
        <d v="2024-07-19T00:00:00Z"/>
        <d v="2024-08-09T00:00:00Z"/>
        <d v="2024-07-01T00:00:00Z"/>
        <d v="2024-08-26T00:00:00Z"/>
        <d v="2024-09-17T00:00:00Z"/>
        <d v="2024-09-25T00:00:00Z"/>
        <d v="2024-09-30T00:00:00Z"/>
        <d v="2024-10-10T00:00:00Z"/>
        <d v="2024-12-02T00:00:00Z"/>
        <d v="2025-01-06T00:00:00Z"/>
        <d v="2025-01-13T00:00:00Z"/>
        <d v="2024-06-26T00:00:00Z"/>
        <d v="2024-08-07T00:00:00Z"/>
        <d v="2024-07-11T00:00:00Z"/>
        <d v="2024-09-16T00:00:00Z"/>
        <d v="2024-11-14T00:00:00Z"/>
        <d v="2024-03-22T00:00:00Z"/>
        <d v="2024-04-06T00:00:00Z"/>
        <d v="2024-04-07T00:00:00Z"/>
        <d v="2024-06-04T00:00:00Z"/>
        <d v="2024-10-11T00:00:00Z"/>
        <d v="2024-03-23T00:00:00Z"/>
        <d v="2024-04-04T00:00:00Z"/>
        <d v="2024-04-09T00:00:00Z"/>
        <d v="2024-05-21T00:00:00Z"/>
        <d v="2024-05-27T00:00:00Z"/>
        <d v="2024-08-27T00:00:00Z"/>
        <d v="2025-04-12T00:00:00Z"/>
        <d v="2024-02-28T00:00:00Z"/>
        <d v="2024-05-28T00:00:00Z"/>
        <d v="2024-09-23T00:00:00Z"/>
        <d v="2024-06-30T00:00:00Z"/>
        <d v="2024-09-20T00:00:00Z"/>
        <d v="2024-10-07T00:00:00Z"/>
        <d v="2024-03-27T00:00:00Z"/>
        <d v="2024-04-13T00:00:00Z"/>
        <d v="2024-04-27T00:00:00Z"/>
        <d v="2024-01-15T00:00:00Z"/>
        <d v="2024-01-14T00:00:00Z"/>
        <d v="2025-03-18T00:00:00Z"/>
        <d v="2024-05-18T00:00:00Z"/>
        <d v="2024-06-19T00:00:00Z"/>
        <d v="2024-10-09T00:00:00Z"/>
        <d v="2024-11-12T00:00:00Z"/>
        <d v="2024-12-19T00:00:00Z"/>
        <d v="2025-02-22T00:00:00Z"/>
        <d v="2024-03-26T00:00:00Z"/>
        <d v="2024-05-20T00:00:00Z"/>
        <d v="2024-07-08T00:00:00Z"/>
        <d v="2024-11-22T00:00:00Z"/>
        <d v="2024-10-31T00:00:00Z"/>
        <d v="2024-07-15T00:00:00Z"/>
        <d v="2024-09-24T00:00:00Z"/>
        <d v="2024-02-15T00:00:00Z"/>
        <d v="2024-04-26T00:00:00Z"/>
        <d v="2024-06-03T00:00:00Z"/>
        <d v="2024-04-12T00:00:00Z"/>
        <d v="2024-07-09T00:00:00Z"/>
        <d v="2024-09-29T00:00:00Z"/>
        <d v="2024-10-06T00:00:00Z"/>
        <d v="2024-10-16T00:00:00Z"/>
        <d v="2024-09-19T00:00:00Z"/>
        <d v="2024-03-28T00:00:00Z"/>
        <d v="2024-10-17T00:00:00Z"/>
        <d v="2025-04-29T00:00:00Z"/>
        <d v="2024-03-18T00:00:00Z"/>
        <d v="2024-08-14T00:00:00Z"/>
        <d v="2024-09-01T00:00:00Z"/>
        <d v="2024-11-15T00:00:00Z"/>
        <d v="2025-01-03T00:00:00Z"/>
        <d v="2024-07-18T00:00:00Z"/>
        <d v="2025-07-11T00:00:00Z"/>
        <d v="2025-07-18T00:00:00Z"/>
        <d v="2025-07-21T00:00:00Z"/>
        <d v="2025-07-22T00:00:00Z"/>
        <d v="2025-07-24T00:00:00Z"/>
        <d v="2025-07-25T00:00:00Z"/>
        <d v="2025-07-28T00:00:00Z"/>
        <d v="2025-06-24T00:00:00Z"/>
        <d v="2025-06-27T00:00:00Z"/>
        <d v="2025-01-31T00:00:00Z"/>
        <d v="2025-07-07T00:00:00Z"/>
        <d v="2025-07-09T00:00:00Z"/>
        <d v="2025-07-17T00:00:00Z"/>
        <d v="2025-07-29T00:00:00Z"/>
        <d v="2025-07-31T00:00:00Z"/>
      </sharedItems>
    </cacheField>
    <cacheField name="Commission" numFmtId="166">
      <sharedItems containsString="0" containsBlank="1" containsNumber="1">
        <n v="14.0"/>
        <m/>
        <n v="40.0"/>
        <n v="125.0"/>
        <n v="20.0"/>
        <n v="130.0"/>
        <n v="112.5"/>
        <n v="157.48"/>
        <n v="50.0"/>
        <n v="450.0"/>
        <n v="43.75"/>
        <n v="62.5"/>
        <n v="200.0"/>
        <n v="45.0"/>
        <n v="46.0"/>
        <n v="75.0"/>
        <n v="90.0"/>
        <n v="16.0"/>
        <n v="37.5"/>
        <n v="150.0"/>
        <n v="87.5"/>
        <n v="159.29999999999998"/>
        <n v="100.0"/>
        <n v="135.0"/>
        <n v="60.32"/>
        <n v="250.0"/>
        <n v="30.0"/>
        <n v="22.5"/>
        <n v="82.5"/>
        <n v="41.25"/>
        <n v="70.0"/>
        <n v="120.0"/>
        <n v="60.0"/>
        <n v="180.0"/>
        <n v="80.0"/>
        <n v="105.0"/>
        <n v="157.944"/>
        <n v="312.5"/>
        <n v="209.76000000000002"/>
        <n v="71.587"/>
        <n v="34.6"/>
        <n v="360.0"/>
        <n v="187.5"/>
        <n v="210.0"/>
        <n v="117.99"/>
        <n v="540.0"/>
        <n v="114.75"/>
        <n v="97.5"/>
        <n v="0.0"/>
        <n v="195.0"/>
        <n v="34.0"/>
        <n v="240.0"/>
        <n v="225.0"/>
        <n v="300.0"/>
        <n v="58.5"/>
        <n v="285.0"/>
        <n v="253.125"/>
        <n v="15.0"/>
        <n v="600.0"/>
        <n v="99.99999999999999"/>
        <n v="270.0"/>
        <n v="174.6"/>
        <n v="58.2"/>
        <n v="291.0"/>
        <n v="175.0"/>
        <n v="555.0"/>
        <n v="375.0"/>
        <n v="282.0"/>
        <n v="750.0"/>
        <n v="255.0"/>
        <n v="330.0"/>
        <n v="202.5"/>
        <n v="165.6"/>
        <n v="165.039"/>
        <n v="420.0"/>
        <n v="281.25"/>
        <n v="118.52699999999999"/>
        <n v="123.21600000000001"/>
        <n v="165.0"/>
        <n v="152.49"/>
        <n v="111.0"/>
        <n v="390.0"/>
        <n v="147.861"/>
        <n v="33.333333333333336"/>
        <n v="989.4"/>
        <n v="199.99999999999997"/>
        <n v="186.0"/>
        <n v="33.75"/>
        <n v="65.22"/>
        <n v="500.0"/>
        <n v="937.5"/>
        <n v="93.0"/>
        <n v="264.0"/>
        <n v="387.0"/>
        <n v="252.0"/>
        <n v="180.6"/>
        <n v="57.0"/>
        <n v="1733.0"/>
        <n v="140.0"/>
        <n v="25.0"/>
        <n v="56.25"/>
        <n v="235.0"/>
        <n v="26.0"/>
        <n v="28.8"/>
        <n v="280.0"/>
        <n v="900.0"/>
        <n v="1350.0"/>
        <n v="176.4"/>
        <n v="117.8175"/>
        <n v="67.5"/>
        <n v="630.0"/>
        <n v="765.0"/>
        <n v="384.0"/>
      </sharedItems>
    </cacheField>
    <cacheField name="Facture envoyé" numFmtId="4">
      <sharedItems containsBlank="1">
        <b v="1"/>
        <b v="0"/>
        <m/>
      </sharedItems>
    </cacheField>
    <cacheField name="Mail" numFmtId="0">
      <sharedItems containsBlank="1">
        <m/>
        <s v="fgirault3@gmail.com"/>
        <s v="lilyy.nl@grapperagency.com"/>
        <s v="orane.baron1403@gmail.com"/>
        <e v="#N/A"/>
        <s v="imlolytahproacc@gmail.com"/>
        <s v="cmepls.pro@gmail.com"/>
        <s v="lola140204@gmail.com"/>
        <s v="juliane.bernard57@icloud.com"/>
        <s v="linamokrane75@yahoo.fr"/>
        <s v="alicemauguin.l@gmail.com"/>
        <s v="lauclr.pro@gmail.com"/>
        <s v="chiara@grapperagency.com"/>
        <s v="terpperrine@gmail.com"/>
        <s v="lovelyMytb@gmail.com "/>
        <s v="pauline@grapperagency.com"/>
        <s v="liserdg.pro@gmail.com "/>
        <s v="jeannebayart@gmail.com"/>
        <s v="marylinezh@gmail.com "/>
        <s v="anaiswry@yahoo.fr"/>
        <s v="iimslmapro@outlook.fr"/>
        <s v="shaaadl.pro@gmail.com"/>
        <s v="jasminepro26@icloud.com "/>
        <s v="asmae-nemar@hotmail.fr "/>
        <s v="truttirachel@gmail.com"/>
        <s v="arwen.mechineau@outlook.fr"/>
        <s v="ciman530@gmail.com"/>
        <s v="moped@grapperagency.com"/>
        <s v="Douns.collab@gmail.com"/>
        <s v="hello.gurbet@gmail.com "/>
        <s v="amani.mee10@gmail.com"/>
        <s v="hidaya.7bl@gmail.com "/>
        <s v="Sirine.yza@gmail.com"/>
        <s v="aubeneauu@gmail.com "/>
        <s v="stzmarine6@gmail.com"/>
        <s v="c_15e3504fd6fde5b88106b6d99934e830e051067bbd4af855bfd432d30fc2f262@group.calendar.google.com"/>
        <s v="Lyassa.ospro@gmail.com "/>
        <s v="farahdisiaque@gmail.com"/>
        <s v="nidal.daghmi.pro@gmail.com "/>
        <s v="contact.amandambt@gmail.com "/>
        <s v="Fontanel.lily@gmail.com"/>
      </sharedItems>
    </cacheField>
    <cacheField name="Event Brouillon" numFmtId="0">
      <sharedItems containsBlank="1">
        <m/>
        <b v="0"/>
        <b v="1"/>
      </sharedItems>
    </cacheField>
    <cacheField name="Calendar ID pour brouillon" numFmtId="0">
      <sharedItems containsBlank="1">
        <m/>
        <s v="c_b412638d97e7dcffa392ccd62e6d5e2eccb052c0c08de7e1e7d547811d81c44c@group.calendar.google.com"/>
        <s v="c_665764ca21c8e4b3814e25bf24bc7074fa55890dce5d4073abb0fdddc70649d4@group.calendar.google.com"/>
        <s v="c_b9aea0629908ddbafe7229688ea55dc9d65b9e6b1a8ed4492c7ca84aa703d076@group.calendar.google.com"/>
        <e v="#N/A"/>
        <s v="c_007bb5dfd61adc34e7d7f1093213e03f31b2abfb546bee3afc00b412de414680@group.calendar.google.com"/>
        <s v="c_15e3504fd6fde5b88106b6d99934e830e051067bbd4af855bfd432d30fc2f262@group.calendar.google.com"/>
        <s v="Done"/>
        <s v="c_8f3f6ef786f2df9238426a478307dbddffb576ace587133cfa65ca553e2f967a@group.calendar.google.com"/>
        <s v="c_f6970d92e9be72b1307e3c015a265d69ae87140c691e7728bc83462544d82455@group.calendar.google.com"/>
        <s v="c_569af196f9b5e28fc536ca0422e6405e6d4e402300b9504eaa944f45c672daff@group.calendar.google.com"/>
        <s v="c_d711460494b2c9d7a466bc3cd0cd029a9c5b76b083052f7dc41ad949a3753d20@group.calendar.google.com"/>
        <s v="c_a715193c206b2aa1e4b81b8a3772df33bf92c92611202a890a6bccecb2131fcb@group.calendar.google.com"/>
        <s v="c_68f94d9ebfae6399f09ec01b19d2012d5d2b7c5efbd47328c79c373cbeec7a5b@group.calendar.google.com"/>
        <s v="c_3454aaede6db5cd8de24b4c70b8c6f3570b98e436e1f71e91d12b7a673ab3f97@group.calendar.google.com"/>
        <s v="c_2754856c5047affc6767bb85fb787591389bf7d14d3afd368efdff9979492ab5@group.calendar.google.com"/>
        <s v="c_9384058245a0bc66157c09691047ea8f88622323c6761b8606c18d9b08ee0bf8@group.calendar.google.com"/>
        <s v="c_b534e1be73647e660d74cbb308a8c39b0102a8b56261b3886e0967d9ee34f368@group.calendar.google.com"/>
        <s v="c_8d6793f7bb6abb58456593287891e1c91528d006316df4ef7bdb59fa0d40b64f@group.calendar.google.com"/>
        <s v="c_35f3aada7c9c0ba626ac56e6cf10c5959c56663450ffd058a5bdc005508d0954@group.calendar.google.com"/>
        <s v="c_14943542450de5ffc0c20a93db15c7c0757a89aaa373292182138a3a691be245@group.calendar.google.com"/>
        <s v="c_df86b3d6c5aa83af7e7dadc1108907ecb89d8fc7e4b645a62e375b31e7b5e3a3@group.calendar.google.com"/>
        <s v="c_0d9eaa4cfb55a8e552117f53a91a7c3c2f5164632253d0e265f7de4e3a4737c4@group.calendar.google.com"/>
        <s v="c_2208b8e561439ebc2637feb15fe2d308d5719cc64460071de6ba0c674eba6118@group.calendar.google.com"/>
        <s v="c_db1fbd259183311b30d5bfa9e5494d85e4aa71562c2d699763ba11e15f3e8a3b@group.calendar.google.com"/>
        <s v="c_a80d776e58d8881ef4e876da99555e813842eeed9733f23e6f4b85d237e1fdec@group.calendar.google.com"/>
        <s v="c_3d8e6f3013c2064d1cf20c38ef5246d33ef6635ebbbd3c9abb7c506fa9eefde3@group.calendar.google.com"/>
        <s v="c_0fe46f911aa7c417189a62fdd8716ddaaef232a02bd45c49b9c02c6d6e2e4815@group.calendar.google.com"/>
        <s v="c_4bf2087a99450838a520f4ce4fc6de01f87130a4f381347449792eaf1546cc46@group.calendar.google.com"/>
        <s v="c_056be6e79a6fa62e8f2a68280313995615b47a17f2b3679481d262413ec95701@group.calendar.google.com"/>
        <s v="c_82243c858a94977b161cc883035793aa376a03b467dcc33d001d9ca49835cdb3@group.calendar.google.com"/>
        <s v="c_d2ee2c2110f1f2bc5b089d0edb8b480581f78d93077274c225fcfc530518b2ca@group.calendar.google.com"/>
        <s v="c_c2a91e309d1b6dc37cabc837fe79ebdcdbabcaff13a6376ec109ab3d73862812@group.calendar.google.com"/>
        <s v="c_2ab5bc877123c6d06b681700306d382bcc765d7810badc543daeacf05260ecd9@group.calendar.google.com"/>
        <s v="Error: Calendar not found!"/>
        <s v="c_311aaffc8651807276a982d2e3621559621998746b9adad33a9304b73b24dbd9@group.calendar.google.com"/>
        <s v="c_3049f29ec7ef21ab890fb708cade8a20fa94574faa4b9a9f528d8a665fbc6262@group.calendar.google.com"/>
        <s v="c_ebde6df3eb6b0899fbe6696247d2e4255b950c6e1d491bbce480648f603c2f22@group.calendar.google.com"/>
        <s v="c_6fd5f3c25278bd569c413814d6452fc4f9cb936bb38174e89b1cb54f9ec7c89d@group.calendar.google.com"/>
        <s v="c_63ea68c9b2bd76e0f3279abf94d6d8255c36c6dc090b9a1df4d31db84c3a049c@group.calendar.google.com"/>
        <s v="Error: The parameters (String,String,(class)) don't match the method signature for CalendarApp.Calendar.createAllDayEvent."/>
        <s v="c_ef2f5a817a776785477f597bd1081d6a57d8380a8013026b8ce9895920f902e2@group.calendar.google.com"/>
        <s v="c_82544f5a034269c2d78a04494afd80a3940635f25bd2a7f23eb7c2af3d0dd46f@group.calendar.google.com"/>
      </sharedItems>
    </cacheField>
    <cacheField name="Event Post" numFmtId="0">
      <sharedItems containsBlank="1">
        <m/>
        <b v="0"/>
        <b v="1"/>
      </sharedItems>
    </cacheField>
    <cacheField name="Calendar ID Post" numFmtId="0">
      <sharedItems containsBlank="1">
        <m/>
        <s v="c_b412638d97e7dcffa392ccd62e6d5e2eccb052c0c08de7e1e7d547811d81c44c@group.calendar.google.com"/>
        <s v="c_665764ca21c8e4b3814e25bf24bc7074fa55890dce5d4073abb0fdddc70649d4@group.calendar.google.com"/>
        <s v="Done"/>
        <e v="#N/A"/>
        <s v="c_b9aea0629908ddbafe7229688ea55dc9d65b9e6b1a8ed4492c7ca84aa703d076@group.calendar.google.com"/>
        <s v="c_8f3f6ef786f2df9238426a478307dbddffb576ace587133cfa65ca553e2f967a@group.calendar.google.com"/>
        <s v="c_f6970d92e9be72b1307e3c015a265d69ae87140c691e7728bc83462544d82455@group.calendar.google.com"/>
        <s v="c_569af196f9b5e28fc536ca0422e6405e6d4e402300b9504eaa944f45c672daff@group.calendar.google.com"/>
        <s v="c_d711460494b2c9d7a466bc3cd0cd029a9c5b76b083052f7dc41ad949a3753d20@group.calendar.google.com"/>
        <s v="c_a715193c206b2aa1e4b81b8a3772df33bf92c92611202a890a6bccecb2131fcb@group.calendar.google.com"/>
        <s v="c_007bb5dfd61adc34e7d7f1093213e03f31b2abfb546bee3afc00b412de414680@group.calendar.google.com"/>
        <s v="c_15e3504fd6fde5b88106b6d99934e830e051067bbd4af855bfd432d30fc2f262@group.calendar.google.com"/>
        <s v="Error: Invalid dates"/>
        <s v="c_6fd5f3c25278bd569c413814d6452fc4f9cb936bb38174e89b1cb54f9ec7c89d@group.calendar.google.com"/>
        <s v="c_3d8e6f3013c2064d1cf20c38ef5246d33ef6635ebbbd3c9abb7c506fa9eefde3@group.calendar.google.com"/>
        <s v="c_68f94d9ebfae6399f09ec01b19d2012d5d2b7c5efbd47328c79c373cbeec7a5b@group.calendar.google.com"/>
        <s v="c_3454aaede6db5cd8de24b4c70b8c6f3570b98e436e1f71e91d12b7a673ab3f97@group.calendar.google.com"/>
        <s v="c_2754856c5047affc6767bb85fb787591389bf7d14d3afd368efdff9979492ab5@group.calendar.google.com"/>
        <s v="c_9384058245a0bc66157c09691047ea8f88622323c6761b8606c18d9b08ee0bf8@group.calendar.google.com"/>
        <s v="Error: Calendar not found!"/>
        <s v="c_8d6793f7bb6abb58456593287891e1c91528d006316df4ef7bdb59fa0d40b64f@group.calendar.google.com"/>
        <s v="c_35f3aada7c9c0ba626ac56e6cf10c5959c56663450ffd058a5bdc005508d0954@group.calendar.google.com"/>
        <s v="c_14943542450de5ffc0c20a93db15c7c0757a89aaa373292182138a3a691be245@group.calendar.google.com"/>
        <s v="c_df86b3d6c5aa83af7e7dadc1108907ecb89d8fc7e4b645a62e375b31e7b5e3a3@group.calendar.google.com"/>
        <s v="c_0d9eaa4cfb55a8e552117f53a91a7c3c2f5164632253d0e265f7de4e3a4737c4@group.calendar.google.com"/>
        <s v="c_d2ee2c2110f1f2bc5b089d0edb8b480581f78d93077274c225fcfc530518b2ca@group.calendar.google.com"/>
        <s v="c_db1fbd259183311b30d5bfa9e5494d85e4aa71562c2d699763ba11e15f3e8a3b@group.calendar.google.com"/>
        <s v="c_a80d776e58d8881ef4e876da99555e813842eeed9733f23e6f4b85d237e1fdec@group.calendar.google.com"/>
        <s v="c_2208b8e561439ebc2637feb15fe2d308d5719cc64460071de6ba0c674eba6118@group.calendar.google.com"/>
        <s v="c_b534e1be73647e660d74cbb308a8c39b0102a8b56261b3886e0967d9ee34f368@group.calendar.google.com"/>
        <s v="c_0fe46f911aa7c417189a62fdd8716ddaaef232a02bd45c49b9c02c6d6e2e4815@group.calendar.google.com"/>
        <s v="c_056be6e79a6fa62e8f2a68280313995615b47a17f2b3679481d262413ec95701@group.calendar.google.com"/>
        <s v="c_4bf2087a99450838a520f4ce4fc6de01f87130a4f381347449792eaf1546cc46@group.calendar.google.com"/>
        <s v="c_82243c858a94977b161cc883035793aa376a03b467dcc33d001d9ca49835cdb3@group.calendar.google.com"/>
        <s v="c_c2a91e309d1b6dc37cabc837fe79ebdcdbabcaff13a6376ec109ab3d73862812@group.calendar.google.com"/>
        <s v="c_311aaffc8651807276a982d2e3621559621998746b9adad33a9304b73b24dbd9@group.calendar.google.com"/>
        <s v="c_3049f29ec7ef21ab890fb708cade8a20fa94574faa4b9a9f528d8a665fbc6262@group.calendar.google.com"/>
        <s v="c_ebde6df3eb6b0899fbe6696247d2e4255b950c6e1d491bbce480648f603c2f22@group.calendar.google.com"/>
        <s v="c_2ab5bc877123c6d06b681700306d382bcc765d7810badc543daeacf05260ecd9@group.calendar.google.com"/>
        <s v="c_ef2f5a817a776785477f597bd1081d6a57d8380a8013026b8ce9895920f902e2@group.calendar.google.com"/>
        <s v="c_82544f5a034269c2d78a04494afd80a3940635f25bd2a7f23eb7c2af3d0dd46f@group.calendar.google.com"/>
      </sharedItems>
    </cacheField>
    <cacheField name="Date Estimée de Réception" numFmtId="0">
      <sharedItems containsDate="1" containsString="0" containsBlank="1">
        <m/>
        <d v="2024-09-04T00:00:00Z"/>
      </sharedItems>
    </cacheField>
    <cacheField name="Date Réelle de Réception" numFmtId="0">
      <sharedItems containsString="0" containsBlank="1">
        <m/>
      </sharedItems>
    </cacheField>
    <cacheField name="Status Colis" numFmtId="0">
      <sharedItems containsBlank="1">
        <m/>
        <s v="Reçu"/>
        <s v="Pas reçu"/>
        <s v="En Attente"/>
      </sharedItems>
    </cacheField>
    <cacheField name="Commentaires" numFmtId="0">
      <sharedItems containsString="0" containsBlank="1">
        <m/>
      </sharedItems>
    </cacheField>
    <cacheField name="ID Form" numFmtId="0">
      <sharedItems containsBlank="1">
        <m/>
        <s v="1F40mnL3JpqXpe0o5qrbDG4GuV9h68eR7gA-3pUAyNHM"/>
      </sharedItems>
    </cacheField>
  </cacheFields>
</pivotCacheDefinition>
</file>

<file path=xl/pivotCache/pivotCacheDefinition10.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L200" sheet="Facturation"/>
  </cacheSource>
  <cacheFields>
    <cacheField name="Date" numFmtId="164">
      <sharedItems containsDate="1" containsString="0" containsBlank="1">
        <d v="2025-01-20T00:00:00Z"/>
        <d v="2025-01-23T00:00:00Z"/>
        <d v="2025-01-27T00:00:00Z"/>
        <d v="2025-02-20T00:00:00Z"/>
        <d v="2025-02-08T00:00:00Z"/>
        <d v="2025-02-09T00:00:00Z"/>
        <d v="2025-03-07T00:00:00Z"/>
        <d v="2025-02-12T00:00:00Z"/>
        <d v="2025-02-14T00:00:00Z"/>
        <d v="2025-02-15T00:00:00Z"/>
        <d v="2025-02-17T00:00:00Z"/>
        <d v="2025-02-22T00:00:00Z"/>
        <d v="2025-02-21T00:00:00Z"/>
        <d v="2025-02-26T00:00:00Z"/>
        <d v="2025-03-10T00:00:00Z"/>
        <d v="2025-03-17T00:00:00Z"/>
        <d v="2025-02-27T00:00:00Z"/>
        <d v="2025-02-28T00:00:00Z"/>
        <d v="2025-03-04T00:00:00Z"/>
        <d v="2025-01-29T00:00:00Z"/>
        <d v="2025-03-06T00:00:00Z"/>
        <d v="2025-03-20T00:00:00Z"/>
        <d v="2025-05-18T00:00:00Z"/>
        <d v="2025-03-24T00:00:00Z"/>
        <d v="2025-05-06T00:00:00Z"/>
        <d v="2025-03-27T00:00:00Z"/>
        <d v="2025-03-18T00:00:00Z"/>
        <d v="2025-03-19T00:00:00Z"/>
        <d v="2025-03-28T00:00:00Z"/>
        <d v="2025-03-21T00:00:00Z"/>
        <d v="2025-03-31T00:00:00Z"/>
        <d v="2025-03-26T00:00:00Z"/>
        <d v="2025-04-07T00:00:00Z"/>
        <d v="2025-04-10T00:00:00Z"/>
        <d v="2025-04-04T00:00:00Z"/>
        <d v="2025-04-14T00:00:00Z"/>
        <d v="2025-04-21T00:00:00Z"/>
        <d v="2025-04-11T00:00:00Z"/>
        <d v="2025-04-15T00:00:00Z"/>
        <d v="2025-03-13T00:00:00Z"/>
        <d v="2025-04-12T00:00:00Z"/>
        <d v="2025-04-13T00:00:00Z"/>
        <d v="2025-04-16T00:00:00Z"/>
        <d v="2025-04-09T00:00:00Z"/>
        <d v="2025-04-25T00:00:00Z"/>
        <d v="2025-04-27T00:00:00Z"/>
        <d v="2025-04-22T00:00:00Z"/>
        <d v="2025-04-23T00:00:00Z"/>
        <d v="2025-04-28T00:00:00Z"/>
        <d v="2025-05-02T00:00:00Z"/>
        <d v="2025-05-04T00:00:00Z"/>
        <d v="2025-05-07T00:00:00Z"/>
        <d v="2025-05-14T00:00:00Z"/>
        <d v="2025-05-16T00:00:00Z"/>
        <d v="2025-05-19T00:00:00Z"/>
        <d v="2025-05-20T00:00:00Z"/>
        <d v="2025-05-21T00:00:00Z"/>
        <d v="2025-05-25T00:00:00Z"/>
        <d v="2025-05-26T00:00:00Z"/>
        <d v="2025-05-27T00:00:00Z"/>
        <d v="2025-06-02T00:00:00Z"/>
        <d v="2025-06-09T00:00:00Z"/>
        <d v="2025-06-15T00:00:00Z"/>
        <d v="2025-06-16T00:00:00Z"/>
        <d v="2025-06-18T00:00:00Z"/>
        <d v="2025-06-19T00:00:00Z"/>
        <d v="2025-06-22T00:00:00Z"/>
        <d v="2025-06-24T00:00:00Z"/>
        <d v="2025-06-25T00:00:00Z"/>
        <d v="2025-06-26T00:00:00Z"/>
        <d v="2025-06-27T00:00:00Z"/>
        <d v="2025-06-29T00:00:00Z"/>
        <d v="2025-07-02T00:00:00Z"/>
        <d v="2025-07-06T00:00:00Z"/>
        <d v="2025-07-07T00:00:00Z"/>
        <d v="2025-07-08T00:00:00Z"/>
        <d v="2025-07-09T00:00:00Z"/>
        <d v="2025-07-10T00:00:00Z"/>
        <d v="2025-07-14T00:00:00Z"/>
        <d v="2025-07-15T00:00:00Z"/>
        <d v="2025-07-17T00:00:00Z"/>
        <d v="2025-07-18T00:00:00Z"/>
        <d v="2025-07-20T00:00:00Z"/>
        <d v="2025-07-23T00:00:00Z"/>
        <d v="2025-07-25T00:00:00Z"/>
        <d v="2025-07-27T00:00:00Z"/>
        <d v="2025-07-28T00:00:00Z"/>
        <d v="2025-07-30T00:00:00Z"/>
        <m/>
      </sharedItems>
    </cacheField>
    <cacheField name="Talent" numFmtId="0">
      <sharedItems containsBlank="1">
        <s v="Lola"/>
        <s v="11"/>
        <s v="Gurbet"/>
        <s v="Anaïs"/>
        <s v="Aïcha"/>
        <s v="Pauline"/>
        <s v="__"/>
        <s v="Dounia"/>
        <s v="Lily N + Mary"/>
        <s v="Lily Noël"/>
        <s v="5"/>
        <s v="Jeanne"/>
        <s v="Camille"/>
        <s v="Amani + Hidaya"/>
        <s v="Hidaya"/>
        <s v="Salma"/>
        <s v="Melissa  "/>
        <s v="Pauline/Gurbet"/>
        <s v="4 T"/>
        <s v="Nidal"/>
        <s v="Melissa/Dounia"/>
        <s v="Juliane, Pauline, Aïcha"/>
        <s v="Farah"/>
        <s v="Sirine"/>
        <s v="Chiara"/>
        <s v="Juliane  "/>
        <s v="Perrine"/>
        <s v="Melissa"/>
        <s v="Lily, Aicha"/>
        <s v="Juliane"/>
        <s v="Eloise"/>
        <s v="Morgane"/>
        <s v="Dounia/Sirine"/>
        <s v="Melissa Moped"/>
        <s v="Marine"/>
        <s v="Imane, Juliane, Anaïs"/>
        <s v="Sofia"/>
        <s v="Sarah, Camille, Marine"/>
        <s v="---"/>
        <s v="Orane / Camille"/>
        <s v="Sirine Dounia"/>
        <s v="Sarah"/>
        <s v="Asmae"/>
        <s v="Pauline Asmae"/>
        <s v="Morgane Asmae"/>
        <s v="Lola H"/>
        <s v="Aicha"/>
        <s v="Amani  "/>
        <s v="Sirine + Juliette"/>
        <s v="Laura"/>
        <s v="Eiliassa"/>
        <s v="Orane / Juliane"/>
        <s v="Orane"/>
        <s v="Juliette"/>
        <m/>
      </sharedItems>
    </cacheField>
    <cacheField name="Marque" numFmtId="0">
      <sharedItems containsBlank="1">
        <s v="Musc Intime"/>
        <s v="Myriam K"/>
        <s v="Yepoda"/>
        <s v="Haru Haru Wonder"/>
        <s v="Hacoo"/>
        <s v="Woo L'Oreal Revitalift"/>
        <s v="Roadget Sheglam"/>
        <s v="Woo Pauline Mediat"/>
        <s v="Remington "/>
        <s v="SKIN1004"/>
        <s v="Sheglam Roadget"/>
        <s v="Wandernana"/>
        <s v="Glamstar / Stylevana"/>
        <s v="Dynveo 18h08"/>
        <s v="Biocyte"/>
        <s v="WOO LRP"/>
        <s v="Leffen Uberliss"/>
        <s v="Capcut Byte Dance"/>
        <s v="WOO NYX"/>
        <s v="DR Group Darry Ring"/>
        <s v="Iherb OKEV"/>
        <s v="Laboratoires Vitarmonyl Vitavea"/>
        <s v="BEYOND Luxéol"/>
        <s v="EMF Musc Intime"/>
        <s v="DFS Co., Ltd. Haru Haru"/>
        <s v="Sheglam Roadget Lily"/>
        <s v="18h08 - SAS Dropery BYD"/>
        <s v="GOODBLIN LIMITED haCOO"/>
        <s v="Craver SKIN1004"/>
        <s v="WOO Redken"/>
        <s v="WOO Cerave"/>
        <s v="Aries Network Limited Voghion"/>
        <s v="WOO Mediat Redken"/>
        <s v="QAMIAB NAALI"/>
        <s v="Stargaze Monopoly Go"/>
        <s v="WOO MNY"/>
        <s v="TheBeautyGroup Current Body"/>
        <s v="Woo Inava"/>
        <s v="Sekaya Musc"/>
        <s v="Paalm Cosmetics"/>
        <s v="Naali"/>
        <s v="CAUDALIE "/>
        <s v="WOO NYX Butter"/>
        <s v="WOO Garnier"/>
        <s v="Shavest &amp; Co"/>
        <s v="KYRENA"/>
        <s v="WOO Garnier bronzant"/>
        <s v="Feel My Skin"/>
        <s v="Seyaka Musc Intime"/>
        <s v="Voodoo Sofia"/>
        <s v="Current Body The Beauty Tech"/>
        <s v="BYS "/>
        <s v="1108 SOS Beauty"/>
        <s v="Woo Uriage"/>
        <s v="The Beauty Tech Group / Current Body"/>
        <s v="The Beauty Tech Company ZIIP"/>
        <s v="Naali QAAMIAB"/>
        <s v="WOO Mixa"/>
        <s v="Dropery BYD"/>
        <s v="Accompte Mavatys"/>
        <s v="Content Lab Ali Express"/>
        <s v="BOLT Ducray"/>
        <s v="ISIS Pharma"/>
        <s v="Musc Intime Sekaya"/>
        <s v="Native Com. Sanytol"/>
        <s v="MAVATYS"/>
        <s v="Keracare Laseen"/>
        <s v="WOO NYX SMUSHY"/>
        <s v="My Little Box"/>
        <s v="Soeurrette Sanex"/>
        <s v="Lazartigue"/>
        <s v="Drunk Ele. Sparkle"/>
        <s v="WOO Mediat Lancome"/>
        <s v="Grin Live RoseSkinCo"/>
        <s v="Solinotes Parfums Corania"/>
        <s v="Influencer LTD - Head Shoulder"/>
        <s v="APR Medicube"/>
        <s v="Torras"/>
        <s v="GRUPO ZAVAZ S.L IT Fruit"/>
        <s v="The Founder Inc ANUA"/>
        <s v="Sheglam Roki Management"/>
        <s v="Shavest"/>
        <s v="Keemia Shein"/>
        <s v="YKONE Etiaxil"/>
        <s v="Groupe Primordial PERROY"/>
        <s v="SLEEP YTTP"/>
        <s v="Lab Upsalla Passion Marine"/>
        <s v="Influencer LTD - Nike"/>
        <s v="Bella Barnett Paypal"/>
        <m/>
      </sharedItems>
    </cacheField>
    <cacheField name="N° Facture" numFmtId="0">
      <sharedItems containsBlank="1">
        <s v="F250001"/>
        <s v="F250002"/>
        <s v="F250003"/>
        <s v="F250004"/>
        <s v="F250005"/>
        <s v="F250018"/>
        <s v="F250007"/>
        <s v="F250008"/>
        <s v="F250039"/>
        <s v="F250010"/>
        <s v="F250011"/>
        <s v="F250012"/>
        <s v="F250013"/>
        <s v="F250014"/>
        <s v="F250015"/>
        <s v="F250016"/>
        <s v="F250017"/>
        <s v="F250021"/>
        <s v="F250019"/>
        <s v="F250020"/>
        <s v="F250029"/>
        <s v="F250022"/>
        <s v="F250041"/>
        <s v="F250024"/>
        <s v="F250025"/>
        <s v="F250042"/>
        <s v="F250027"/>
        <s v="F250028"/>
        <s v="F250044"/>
        <s v="F250030"/>
        <s v="F250031"/>
        <s v="F250032"/>
        <s v="F250033"/>
        <s v="F250034"/>
        <s v="F250035"/>
        <s v="F250036"/>
        <s v="F250006"/>
        <s v="F250038"/>
        <s v="F250050"/>
        <s v="F250040"/>
        <s v="F250099"/>
        <s v="F250052"/>
        <s v="F250091"/>
        <s v="F250055"/>
        <s v="F250045"/>
        <s v="F250046"/>
        <s v="F250047"/>
        <s v="F250048"/>
        <s v="F250049"/>
        <s v="F250057"/>
        <s v="F250051"/>
        <s v="F250060"/>
        <s v="F250053"/>
        <s v="F250054"/>
        <s v="F250009"/>
        <s v="F250056"/>
        <s v="F250062"/>
        <s v="F250058"/>
        <s v="F250059"/>
        <s v="F250066"/>
        <s v="F250061"/>
        <s v="F250072"/>
        <s v="F250063"/>
        <s v="F250064"/>
        <s v="F250076"/>
        <s v="F250067"/>
        <s v="F250073"/>
        <s v="F250043"/>
        <s v="F250069"/>
        <s v="F250070"/>
        <s v="F250071"/>
        <s v="F250075"/>
        <s v="F250077"/>
        <s v="F250074"/>
        <s v="F250078"/>
        <s v="F250065"/>
        <s v="F250082"/>
        <s v="F250084"/>
        <s v="F250079"/>
        <s v="F250080"/>
        <s v="F250085"/>
        <s v="F250086"/>
        <s v="F250083"/>
        <s v="F250087"/>
        <s v="F250089"/>
        <s v="F250092"/>
        <s v="F250081"/>
        <s v="F250088"/>
        <s v="F250023"/>
        <s v="F250090"/>
        <s v="F250068"/>
        <s v="F250093"/>
        <s v="F250094"/>
        <s v="F250095"/>
        <s v="F250096"/>
        <s v="F250097"/>
        <s v="F250026"/>
        <s v="F250098"/>
        <s v="F250100"/>
        <s v="F250101"/>
        <s v="F250102"/>
        <s v="F250103"/>
        <s v="F250104"/>
        <s v="F250105"/>
        <s v="F250037"/>
        <s v="F250106"/>
        <s v="F250107"/>
        <s v="F250108"/>
        <s v="F250109"/>
        <s v="F250110"/>
        <s v="F250111"/>
        <s v="F250112"/>
        <s v="F250113"/>
        <s v="F250114"/>
        <s v="F250115"/>
        <s v="F250116"/>
        <s v="F250117"/>
        <s v="F250118"/>
        <s v="F250119"/>
        <s v="F250120"/>
        <s v="F250121"/>
        <s v="F250122"/>
        <s v="F250123"/>
        <s v="F250124"/>
        <s v="F250125"/>
        <s v="F250126"/>
        <s v="F250127"/>
        <s v="F250128"/>
        <s v="F250129"/>
        <s v="F250130"/>
        <s v="F250131"/>
        <s v="F250132"/>
        <s v="F250133"/>
        <s v="F250134"/>
        <s v="F250135"/>
        <s v="F250136"/>
        <s v="F250137"/>
        <s v="F250138"/>
        <s v="F250139"/>
        <s v="F250140"/>
        <s v="F250141"/>
        <s v="F250142"/>
        <s v="F250143"/>
        <s v="F250144"/>
        <s v="F250145"/>
        <s v="F250146"/>
        <s v="F250147"/>
        <s v="F250148"/>
        <s v="F250149"/>
        <s v="F250150"/>
        <s v="F250151"/>
        <s v="F250152"/>
        <s v="F250153"/>
        <s v="F250154"/>
        <s v="F250155"/>
        <s v="F250156"/>
        <s v="F250157"/>
        <s v="F250158"/>
        <s v="F250159"/>
        <s v="F250160"/>
        <s v="F250161"/>
        <s v="F250162"/>
        <s v="F250163"/>
        <s v="F250164"/>
        <s v="F250165"/>
        <s v="F250166"/>
        <s v="F250167"/>
        <s v="F250168"/>
        <s v="F250169"/>
        <s v="F250170"/>
        <s v="F250171"/>
        <s v="F250172"/>
        <m/>
      </sharedItems>
    </cacheField>
    <cacheField name="Montant" numFmtId="169">
      <sharedItems containsString="0" containsBlank="1" containsNumber="1">
        <n v="300.0"/>
        <n v="3410.0"/>
        <n v="400.0"/>
        <n v="892.61"/>
        <n v="1250.0"/>
        <n v="75.0"/>
        <n v="3720.0"/>
        <n v="2000.0"/>
        <n v="4600.0"/>
        <n v="650.0"/>
        <n v="450.0"/>
        <n v="200.0"/>
        <n v="2300.0"/>
        <n v="600.0"/>
        <n v="900.0"/>
        <m/>
        <n v="850.0"/>
        <n v="1300.0"/>
        <n v="202.5"/>
        <n v="800.0"/>
        <n v="1000.0"/>
        <n v="700.0"/>
        <n v="2500.0"/>
        <n v="150.0"/>
        <n v="1200.0"/>
        <n v="1500.0"/>
        <n v="950.0"/>
        <n v="750.0"/>
        <n v="500.0"/>
        <n v="1591.0"/>
        <n v="1600.0"/>
        <n v="1850.0"/>
        <n v="1100.0"/>
        <n v="1050.0"/>
        <n v="810.0"/>
        <n v="250.0"/>
        <n v="125.0"/>
        <n v="1550.0"/>
        <n v="4000.0"/>
        <n v="2833.71"/>
        <n v="1125.0"/>
        <n v="3740.0"/>
        <n v="2800.0"/>
        <n v="1800.0"/>
        <n v="4595.0"/>
        <n v="1068.0"/>
        <n v="350.0"/>
        <n v="395.09"/>
        <n v="325.0"/>
        <n v="4900.0"/>
        <n v="50.0"/>
        <n v="370.0"/>
        <n v="471.27"/>
        <n v="550.13"/>
        <n v="508.3"/>
        <n v="5700.0"/>
        <n v="3298.92"/>
        <n v="847.0"/>
        <n v="595.0"/>
        <n v="550.0"/>
        <n v="2970.0"/>
        <n v="3000.0"/>
        <n v="190.0"/>
      </sharedItems>
    </cacheField>
    <cacheField name="Bénéfice" numFmtId="169">
      <sharedItems containsString="0" containsBlank="1" containsNumber="1">
        <n v="90.0"/>
        <n v="1069.0"/>
        <n v="120.0"/>
        <n v="267.783"/>
        <n v="375.0"/>
        <n v="15.0"/>
        <n v="600.0"/>
        <n v="1330.0"/>
        <n v="195.0"/>
        <n v="112.5"/>
        <n v="60.0"/>
        <n v="690.0"/>
        <n v="180.0"/>
        <n v="270.0"/>
        <m/>
        <n v="150.0"/>
        <n v="255.0"/>
        <n v="390.0"/>
        <n v="50.625"/>
        <n v="240.0"/>
        <n v="835.0"/>
        <n v="250.0"/>
        <n v="210.0"/>
        <n v="750.0"/>
        <n v="45.0"/>
        <n v="360.0"/>
        <n v="450.0"/>
        <n v="335.0"/>
        <n v="505.0"/>
        <n v="125.0"/>
        <n v="318.20000000000005"/>
        <n v="400.0"/>
        <n v="555.0"/>
        <n v="330.0"/>
        <n v="40.0"/>
        <n v="315.0"/>
        <n v="202.5"/>
        <n v="700.0"/>
        <n v="75.0"/>
        <n v="312.5"/>
        <n v="37.5"/>
        <n v="465.0"/>
        <n v="1200.0"/>
        <n v="50.0"/>
        <n v="850.1129999999999"/>
        <n v="281.25"/>
        <n v="1165.0"/>
        <n v="840.0"/>
        <n v="513.0"/>
        <n v="1148.75"/>
        <n v="135.0"/>
        <n v="320.4"/>
        <n v="105.0"/>
        <n v="118.52699999999999"/>
        <n v="97.5"/>
        <n v="300.0"/>
        <n v="1345.0"/>
        <n v="225.0"/>
        <n v="111.0"/>
        <n v="117.8175"/>
        <n v="165.039"/>
        <n v="152.49"/>
        <n v="1710.0"/>
        <n v="989.6759999999999"/>
        <n v="254.1"/>
        <n v="178.5"/>
        <n v="165.0"/>
        <n v="420.0"/>
        <n v="891.0"/>
        <n v="900.0"/>
        <n v="100.0"/>
        <n v="80.0"/>
        <n v="57.0"/>
      </sharedItems>
    </cacheField>
    <cacheField name="Rémunération Talent" numFmtId="169">
      <sharedItems containsString="0" containsBlank="1" containsNumber="1">
        <n v="210.0"/>
        <n v="2341.0"/>
        <n v="280.0"/>
        <n v="624.827"/>
        <n v="875.0"/>
        <n v="60.0"/>
        <n v="2651.0"/>
        <n v="1400.0"/>
        <n v="3270.0"/>
        <n v="455.0"/>
        <n v="337.5"/>
        <n v="140.0"/>
        <n v="1610.0"/>
        <n v="420.0"/>
        <n v="630.0"/>
        <m/>
        <n v="450.0"/>
        <n v="595.0"/>
        <n v="910.0"/>
        <n v="151.875"/>
        <n v="560.0"/>
        <n v="650.0"/>
        <n v="490.0"/>
        <n v="1750.0"/>
        <n v="105.0"/>
        <n v="840.0"/>
        <n v="1050.0"/>
        <n v="240.0"/>
        <n v="615.0"/>
        <n v="245.0"/>
        <n v="350.0"/>
        <n v="375.0"/>
        <n v="1272.8"/>
        <n v="1200.0"/>
        <n v="1295.0"/>
        <n v="770.0"/>
        <n v="360.0"/>
        <n v="160.0"/>
        <n v="735.0"/>
        <n v="607.5"/>
        <n v="175.0"/>
        <n v="937.5"/>
        <n v="87.5"/>
        <n v="1085.0"/>
        <n v="2800.0"/>
        <n v="200.0"/>
        <n v="1983.5970000000002"/>
        <n v="843.75"/>
        <n v="2575.0"/>
        <n v="1960.0"/>
        <n v="1287.0"/>
        <n v="3446.25"/>
        <n v="315.0"/>
        <n v="747.6"/>
        <n v="276.563"/>
        <n v="590.0"/>
        <n v="227.5"/>
        <n v="700.0"/>
        <n v="3555.0"/>
        <n v="0.0"/>
        <n v="525.0"/>
        <n v="259.0"/>
        <n v="225.0"/>
        <n v="353.4525"/>
        <n v="385.091"/>
        <n v="355.81"/>
        <n v="3990.0"/>
        <n v="2309.244"/>
        <n v="592.9"/>
        <n v="416.5"/>
        <n v="385.0"/>
        <n v="780.0"/>
        <n v="2079.0"/>
        <n v="2100.0"/>
        <n v="400.0"/>
        <n v="120.0"/>
        <n v="133.0"/>
      </sharedItems>
    </cacheField>
    <cacheField name="Payé" numFmtId="0">
      <sharedItems containsBlank="1">
        <b v="1"/>
        <b v="0"/>
        <m/>
      </sharedItems>
    </cacheField>
    <cacheField name="VAT" numFmtId="0">
      <sharedItems containsString="0" containsBlank="1" containsNumber="1">
        <m/>
        <n v="94.5"/>
        <n v="136.5"/>
      </sharedItems>
    </cacheField>
    <cacheField name="Virement" numFmtId="0">
      <sharedItems containsBlank="1">
        <s v="à faire"/>
        <m/>
        <s v="reçu à faire attendre SASU"/>
        <s v="faire facture"/>
        <s v="à faire??"/>
        <s v="reçu à faire attendre SASU ligne séparée pour GUrbet"/>
        <s v="-21€ frais $"/>
        <s v="Lip Combo"/>
        <s v="-280€"/>
        <s v="virement fait à Perrine ACCOMPTE"/>
        <s v="-150€ pour Biocyte"/>
        <s v="-200 pour pauline"/>
        <s v="rajout de 50€ vs ancienne facture car oublie de 50€"/>
        <s v="-155 pour Pauline"/>
      </sharedItems>
    </cacheField>
    <cacheField name="date2" numFmtId="164">
      <sharedItems containsDate="1" containsString="0" containsBlank="1">
        <d v="2025-02-19T00:00:00Z"/>
        <d v="2025-02-22T00:00:00Z"/>
        <d v="2025-02-26T00:00:00Z"/>
        <d v="2025-03-31T00:00:00Z"/>
        <d v="2025-03-10T00:00:00Z"/>
        <d v="2025-03-11T00:00:00Z"/>
        <d v="2025-04-30T00:00:00Z"/>
        <d v="2025-04-10T00:00:00Z"/>
        <d v="2025-03-14T00:00:00Z"/>
        <d v="2025-03-16T00:00:00Z"/>
        <d v="2025-03-17T00:00:00Z"/>
        <d v="2025-04-18T00:00:00Z"/>
        <d v="2025-03-22T00:00:00Z"/>
        <d v="2025-03-23T00:00:00Z"/>
        <d v="2025-03-24T00:00:00Z"/>
        <d v="2025-04-09T00:00:00Z"/>
        <d v="2025-03-28T00:00:00Z"/>
        <d v="2025-05-09T00:00:00Z"/>
        <d v="2025-04-27T00:00:00Z"/>
        <d v="2025-03-29T00:00:00Z"/>
        <d v="2025-03-30T00:00:00Z"/>
        <d v="2025-04-03T00:00:00Z"/>
        <d v="2025-02-28T00:00:00Z"/>
        <d v="2025-04-05T00:00:00Z"/>
        <d v="2025-06-17T00:00:00Z"/>
        <d v="2025-04-23T00:00:00Z"/>
        <d v="2025-04-17T00:00:00Z"/>
        <d v="2025-04-20T00:00:00Z"/>
        <d v="2025-04-25T00:00:00Z"/>
        <d v="2025-04-26T00:00:00Z"/>
        <d v="2025-05-07T00:00:00Z"/>
        <d v="2025-05-31T00:00:00Z"/>
        <d v="2025-05-04T00:00:00Z"/>
        <d v="2025-04-12T00:00:00Z"/>
        <d v="2025-05-12T00:00:00Z"/>
        <d v="2025-05-13T00:00:00Z"/>
        <d v="2025-06-20T00:00:00Z"/>
        <d v="2025-05-21T00:00:00Z"/>
        <d v="2025-05-16T00:00:00Z"/>
        <d v="2025-05-25T00:00:00Z"/>
        <d v="2025-05-27T00:00:00Z"/>
        <d v="2025-05-22T00:00:00Z"/>
        <d v="2025-06-22T00:00:00Z"/>
        <d v="2025-05-28T00:00:00Z"/>
        <d v="2025-06-01T00:00:00Z"/>
        <d v="2025-06-03T00:00:00Z"/>
        <d v="2025-06-06T00:00:00Z"/>
        <d v="2025-06-13T00:00:00Z"/>
        <d v="2025-06-15T00:00:00Z"/>
        <d v="2025-06-18T00:00:00Z"/>
        <d v="2025-06-19T00:00:00Z"/>
        <d v="2025-06-24T00:00:00Z"/>
        <d v="2025-06-25T00:00:00Z"/>
        <d v="2025-06-26T00:00:00Z"/>
        <d v="2025-07-26T00:00:00Z"/>
        <d v="2025-07-02T00:00:00Z"/>
        <d v="2025-06-05T00:00:00Z"/>
        <d v="2025-07-05T00:00:00Z"/>
        <d v="2025-07-31T00:00:00Z"/>
        <d v="2025-07-09T00:00:00Z"/>
        <d v="2025-08-08T00:00:00Z"/>
        <d v="2025-07-15T00:00:00Z"/>
        <d v="2025-07-16T00:00:00Z"/>
        <d v="2025-08-15T00:00:00Z"/>
        <d v="2025-07-18T00:00:00Z"/>
        <d v="2025-07-19T00:00:00Z"/>
        <d v="2025-07-24T00:00:00Z"/>
        <d v="2025-07-27T00:00:00Z"/>
        <d v="2025-07-29T00:00:00Z"/>
        <d v="2025-08-01T00:00:00Z"/>
        <d v="2025-08-05T00:00:00Z"/>
        <d v="2025-08-06T00:00:00Z"/>
        <d v="2025-08-07T00:00:00Z"/>
        <d v="2025-08-09T00:00:00Z"/>
        <m/>
        <d v="2025-09-12T00:00:00Z"/>
        <d v="2025-08-13T00:00:00Z"/>
        <d v="2025-08-14T00:00:00Z"/>
        <d v="2025-08-16T00:00:00Z"/>
        <d v="2025-08-17T00:00:00Z"/>
        <d v="2025-09-18T00:00:00Z"/>
        <d v="2025-08-19T00:00:00Z"/>
        <d v="2025-08-22T00:00:00Z"/>
        <d v="2025-08-24T00:00:00Z"/>
        <d v="2025-08-26T00:00:00Z"/>
        <d v="2025-08-27T00:00:00Z"/>
        <d v="2025-08-29T00:00:00Z"/>
      </sharedItems>
    </cacheField>
    <cacheField name="Status" numFmtId="0">
      <sharedItems containsString="0" containsBlank="1">
        <m/>
      </sharedItems>
    </cacheField>
  </cacheFields>
</pivotCacheDefinition>
</file>

<file path=xl/pivotCache/pivotCacheDefinition1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AC1402" sheet="Global1"/>
  </cacheSource>
  <cacheFields>
    <cacheField name="Talent" numFmtId="0">
      <sharedItems containsBlank="1">
        <s v="Pauline"/>
        <s v="Chiara"/>
        <s v="Melissa"/>
        <s v="Camille"/>
        <s v="Lily Noël"/>
        <s v="Lina"/>
        <s v="Flavie"/>
        <s v="Jessica"/>
        <s v="Orane"/>
        <s v="Lola"/>
        <s v="Juliane"/>
        <s v="Alice"/>
        <s v="Laurie"/>
        <s v="Perrine"/>
        <s v="Morgane"/>
        <s v="Lise"/>
        <s v="Jeanne"/>
        <s v="Mary"/>
        <s v="Melissa P"/>
        <s v="Anaïs"/>
        <s v="Salma"/>
        <s v="Aïcha"/>
        <s v="Jasmine"/>
        <s v="Asmae"/>
        <s v="Rachel"/>
        <s v="Arwen"/>
        <s v="Iman"/>
        <s v="Moped"/>
        <s v="Dounia"/>
        <s v="Gurbet"/>
        <s v="Amani"/>
        <s v="Hidaya"/>
        <s v="Sirine"/>
        <s v="Eloise"/>
        <s v="Imane"/>
        <s v="Marine"/>
        <s v="Sofia"/>
        <s v="Sarah"/>
        <s v="Eiliassa"/>
        <s v="Farah"/>
        <s v="Estelle"/>
        <s v="Juliette"/>
        <s v="Nidal"/>
        <s v="Lola H."/>
        <s v="Morgane C"/>
        <s v="Chloe"/>
        <s v="Laura"/>
        <s v="Lilou"/>
        <s v="Lily"/>
        <s v="Amanda"/>
        <s v="Glenn"/>
        <s v="--"/>
        <s v="Amelle"/>
        <s v="Angie"/>
        <s v="Fanny"/>
        <s v="Laurine"/>
        <s v="Marlène"/>
        <s v="Migos Media"/>
        <s v="Romane"/>
        <s v="Maeva"/>
        <s v="Gurbet "/>
        <s v="Juliette D"/>
        <s v="Laura F"/>
        <m/>
      </sharedItems>
    </cacheField>
    <cacheField name="Date Création" numFmtId="164">
      <sharedItems containsDate="1" containsString="0" containsBlank="1">
        <d v="2024-03-01T00:00:00Z"/>
        <d v="2024-03-15T00:00:00Z"/>
        <m/>
        <d v="2024-03-30T00:00:00Z"/>
        <d v="2024-03-25T00:00:00Z"/>
        <d v="2024-04-08T00:00:00Z"/>
        <d v="2024-04-11T00:00:00Z"/>
        <d v="2024-03-21T00:00:00Z"/>
        <d v="2024-04-25T00:00:00Z"/>
        <d v="2024-04-19T00:00:00Z"/>
        <d v="2024-05-07T00:00:00Z"/>
        <d v="2024-05-06T00:00:00Z"/>
        <d v="2024-05-02T00:00:00Z"/>
        <d v="2024-05-13T00:00:00Z"/>
        <d v="2024-05-14T00:00:00Z"/>
        <d v="2024-03-20T00:00:00Z"/>
        <d v="2024-04-10T00:00:00Z"/>
        <d v="2024-05-30T00:00:00Z"/>
        <d v="2024-05-11T00:00:00Z"/>
        <d v="2024-04-30T00:00:00Z"/>
        <d v="2024-05-23T00:00:00Z"/>
        <d v="2024-05-16T00:00:00Z"/>
        <d v="2024-06-08T00:00:00Z"/>
        <d v="2024-06-20T00:00:00Z"/>
        <d v="2024-06-18T00:00:00Z"/>
        <d v="2024-06-12T00:00:00Z"/>
        <d v="2024-06-24T00:00:00Z"/>
        <d v="2024-06-11T00:00:00Z"/>
        <d v="2024-07-16T00:00:00Z"/>
        <d v="2024-07-25T00:00:00Z"/>
        <d v="2024-07-03T00:00:00Z"/>
        <d v="2024-06-17T00:00:00Z"/>
        <d v="2024-06-27T00:00:00Z"/>
        <d v="2024-07-06T00:00:00Z"/>
        <d v="2024-06-14T00:00:00Z"/>
        <d v="2024-07-24T00:00:00Z"/>
        <d v="2024-07-10T00:00:00Z"/>
        <d v="2024-08-01T00:00:00Z"/>
        <d v="2024-07-04T00:00:00Z"/>
        <d v="2024-07-23T00:00:00Z"/>
        <d v="2024-07-21T00:00:00Z"/>
        <d v="2024-08-06T00:00:00Z"/>
        <d v="2024-07-29T00:00:00Z"/>
        <d v="2024-07-30T00:00:00Z"/>
        <d v="2024-07-17T00:00:00Z"/>
        <d v="2024-08-02T00:00:00Z"/>
        <d v="2024-07-31T00:00:00Z"/>
        <d v="2024-08-21T00:00:00Z"/>
        <d v="2024-08-19T00:00:00Z"/>
        <d v="2024-08-13T00:00:00Z"/>
        <d v="2024-09-11T00:00:00Z"/>
        <d v="2024-08-16T00:00:00Z"/>
        <d v="2024-09-12T00:00:00Z"/>
        <d v="2024-08-23T00:00:00Z"/>
        <d v="2024-09-04T00:00:00Z"/>
        <d v="2025-05-20T00:00:00Z"/>
        <d v="2024-09-09T00:00:00Z"/>
        <d v="2024-08-28T00:00:00Z"/>
        <d v="2024-09-14T00:00:00Z"/>
        <d v="2024-09-13T00:00:00Z"/>
        <d v="2024-08-20T00:00:00Z"/>
        <d v="2024-09-26T00:00:00Z"/>
        <d v="2024-08-29T00:00:00Z"/>
        <d v="2025-05-13T00:00:00Z"/>
        <d v="2024-09-03T00:00:00Z"/>
        <d v="2024-09-27T00:00:00Z"/>
        <d v="2024-10-01T00:00:00Z"/>
        <d v="2025-05-07T00:00:00Z"/>
        <d v="2024-10-28T00:00:00Z"/>
        <d v="2024-09-10T00:00:00Z"/>
        <d v="2024-10-15T00:00:00Z"/>
        <d v="2024-10-29T00:00:00Z"/>
        <d v="2024-10-24T00:00:00Z"/>
        <d v="2024-10-02T00:00:00Z"/>
        <d v="2024-10-30T00:00:00Z"/>
        <d v="2024-10-14T00:00:00Z"/>
        <d v="2024-10-25T00:00:00Z"/>
        <d v="2024-11-05T00:00:00Z"/>
        <d v="2024-11-08T00:00:00Z"/>
        <d v="2024-11-04T00:00:00Z"/>
        <d v="2024-10-23T00:00:00Z"/>
        <d v="2024-11-29T00:00:00Z"/>
        <d v="2024-11-19T00:00:00Z"/>
        <d v="2024-12-09T00:00:00Z"/>
        <d v="2024-11-26T00:00:00Z"/>
        <d v="2024-11-25T00:00:00Z"/>
        <d v="2024-12-05T00:00:00Z"/>
        <d v="2024-12-16T00:00:00Z"/>
        <d v="2024-11-11T00:00:00Z"/>
        <d v="2024-12-03T00:00:00Z"/>
        <d v="2024-12-24T00:00:00Z"/>
        <d v="2025-02-20T00:00:00Z"/>
        <d v="2024-12-23T00:00:00Z"/>
        <d v="2025-01-07T00:00:00Z"/>
        <d v="2024-12-12T00:00:00Z"/>
        <d v="2025-01-21T00:00:00Z"/>
        <d v="2025-01-24T00:00:00Z"/>
        <d v="2025-01-17T00:00:00Z"/>
        <d v="2025-01-09T00:00:00Z"/>
        <d v="2025-01-27T00:00:00Z"/>
        <d v="2025-01-23T00:00:00Z"/>
        <d v="2024-10-22T00:00:00Z"/>
        <d v="2024-10-21T00:00:00Z"/>
        <d v="2025-01-22T00:00:00Z"/>
        <d v="2025-01-16T00:00:00Z"/>
        <d v="2025-02-12T00:00:00Z"/>
        <d v="2025-02-18T00:00:00Z"/>
        <d v="2025-01-29T00:00:00Z"/>
        <d v="2025-02-14T00:00:00Z"/>
        <d v="2025-02-15T00:00:00Z"/>
        <d v="2025-02-06T00:00:00Z"/>
        <d v="2025-02-21T00:00:00Z"/>
        <d v="2025-03-31T00:00:00Z"/>
        <d v="2025-02-26T00:00:00Z"/>
        <d v="2025-02-28T00:00:00Z"/>
        <d v="2025-02-25T00:00:00Z"/>
        <d v="2025-02-19T00:00:00Z"/>
        <d v="2025-03-11T00:00:00Z"/>
        <d v="2025-03-21T00:00:00Z"/>
        <d v="2025-03-12T00:00:00Z"/>
        <d v="2025-03-17T00:00:00Z"/>
        <d v="2025-03-24T00:00:00Z"/>
        <d v="2025-03-10T00:00:00Z"/>
        <d v="2025-03-14T00:00:00Z"/>
        <d v="2025-04-17T00:00:00Z"/>
        <d v="2025-03-16T00:00:00Z"/>
        <d v="2025-04-04T00:00:00Z"/>
        <d v="2025-04-07T00:00:00Z"/>
        <d v="2025-04-15T00:00:00Z"/>
        <d v="2025-04-25T00:00:00Z"/>
        <d v="2025-05-16T00:00:00Z"/>
        <d v="2025-04-14T00:00:00Z"/>
        <d v="2025-03-28T00:00:00Z"/>
        <d v="2025-03-06T00:00:00Z"/>
        <d v="2025-03-20T00:00:00Z"/>
        <d v="2025-04-09T00:00:00Z"/>
        <d v="2025-04-11T00:00:00Z"/>
        <d v="2025-03-13T00:00:00Z"/>
        <d v="2025-04-08T00:00:00Z"/>
        <d v="2025-04-30T00:00:00Z"/>
        <d v="2025-04-21T00:00:00Z"/>
        <d v="2025-06-02T00:00:00Z"/>
        <d v="2025-06-10T00:00:00Z"/>
        <d v="2025-03-30T00:00:00Z"/>
        <d v="2025-03-26T00:00:00Z"/>
        <d v="2025-06-20T00:00:00Z"/>
        <d v="2025-02-10T00:00:00Z"/>
        <d v="2025-05-19T00:00:00Z"/>
        <d v="2025-04-24T00:00:00Z"/>
        <d v="2025-06-26T00:00:00Z"/>
        <d v="2025-05-23T00:00:00Z"/>
        <d v="2025-05-06T00:00:00Z"/>
        <d v="2025-05-24T00:00:00Z"/>
        <d v="2025-06-05T00:00:00Z"/>
        <d v="2025-05-27T00:00:00Z"/>
        <d v="2025-06-12T00:00:00Z"/>
        <d v="2025-05-28T00:00:00Z"/>
        <d v="2025-06-16T00:00:00Z"/>
        <d v="2025-06-18T00:00:00Z"/>
        <d v="2025-06-11T00:00:00Z"/>
        <d v="2025-06-23T00:00:00Z"/>
        <d v="2025-02-03T00:00:00Z"/>
        <d v="2025-06-04T00:00:00Z"/>
        <d v="2025-05-22T00:00:00Z"/>
        <d v="2025-06-22T00:00:00Z"/>
        <d v="2025-07-16T00:00:00Z"/>
        <d v="2025-06-19T00:00:00Z"/>
        <d v="2025-07-01T00:00:00Z"/>
        <d v="2025-06-17T00:00:00Z"/>
        <d v="2025-06-13T00:00:00Z"/>
        <d v="2025-07-03T00:00:00Z"/>
        <d v="2024-10-18T00:00:00Z"/>
        <d v="2025-05-29T00:00:00Z"/>
        <d v="2025-06-30T00:00:00Z"/>
        <d v="2025-03-07T00:00:00Z"/>
        <d v="2024-09-08T00:00:00Z"/>
        <d v="2024-10-08T00:00:00Z"/>
        <d v="2024-11-13T00:00:00Z"/>
        <d v="2024-12-10T00:00:00Z"/>
        <d v="2024-12-04T00:00:00Z"/>
        <d v="2024-06-07T00:00:00Z"/>
        <d v="2024-05-31T00:00:00Z"/>
        <d v="2025-02-23T00:00:00Z"/>
        <d v="2024-11-07T00:00:00Z"/>
        <d v="2024-11-28T00:00:00Z"/>
        <d v="2024-12-18T00:00:00Z"/>
        <d v="2025-02-11T00:00:00Z"/>
        <d v="2025-02-07T00:00:00Z"/>
        <d v="2024-09-05T00:00:00Z"/>
        <d v="2024-12-13T00:00:00Z"/>
        <d v="2024-03-08T00:00:00Z"/>
        <d v="2024-04-22T00:00:00Z"/>
        <d v="2024-05-17T00:00:00Z"/>
        <d v="2024-04-24T00:00:00Z"/>
        <d v="2024-05-24T00:00:00Z"/>
        <d v="2024-07-19T00:00:00Z"/>
        <d v="2024-08-09T00:00:00Z"/>
        <d v="2024-07-01T00:00:00Z"/>
        <d v="2024-08-26T00:00:00Z"/>
        <d v="2024-09-17T00:00:00Z"/>
        <d v="2024-09-25T00:00:00Z"/>
        <d v="2024-09-30T00:00:00Z"/>
        <d v="2024-10-10T00:00:00Z"/>
        <d v="2024-12-02T00:00:00Z"/>
        <d v="2025-01-06T00:00:00Z"/>
        <d v="2025-01-13T00:00:00Z"/>
        <d v="2024-06-26T00:00:00Z"/>
        <d v="2024-08-07T00:00:00Z"/>
        <d v="2024-07-11T00:00:00Z"/>
        <d v="2024-09-16T00:00:00Z"/>
        <d v="2024-11-14T00:00:00Z"/>
        <d v="2024-03-22T00:00:00Z"/>
        <d v="2024-04-06T00:00:00Z"/>
        <d v="2024-04-07T00:00:00Z"/>
        <d v="2024-06-04T00:00:00Z"/>
        <d v="2024-10-11T00:00:00Z"/>
        <d v="2024-03-23T00:00:00Z"/>
        <d v="2024-04-04T00:00:00Z"/>
        <d v="2024-04-09T00:00:00Z"/>
        <d v="2024-05-21T00:00:00Z"/>
        <d v="2024-05-27T00:00:00Z"/>
        <d v="2024-08-27T00:00:00Z"/>
        <d v="2025-04-12T00:00:00Z"/>
        <d v="2024-02-28T00:00:00Z"/>
        <d v="2024-05-28T00:00:00Z"/>
        <d v="2024-09-23T00:00:00Z"/>
        <d v="2024-06-30T00:00:00Z"/>
        <d v="2024-09-20T00:00:00Z"/>
        <d v="2024-10-07T00:00:00Z"/>
        <d v="2024-03-27T00:00:00Z"/>
        <d v="2024-04-13T00:00:00Z"/>
        <d v="2024-04-27T00:00:00Z"/>
        <d v="2024-01-15T00:00:00Z"/>
        <d v="2024-01-14T00:00:00Z"/>
        <d v="2025-03-18T00:00:00Z"/>
        <d v="2024-05-18T00:00:00Z"/>
        <d v="2024-06-19T00:00:00Z"/>
        <d v="2024-10-09T00:00:00Z"/>
        <d v="2024-11-12T00:00:00Z"/>
        <d v="2024-12-19T00:00:00Z"/>
        <d v="2025-02-22T00:00:00Z"/>
        <d v="2024-03-26T00:00:00Z"/>
        <d v="2024-05-20T00:00:00Z"/>
        <d v="2024-07-08T00:00:00Z"/>
        <d v="2024-11-22T00:00:00Z"/>
        <d v="2024-10-31T00:00:00Z"/>
        <d v="2024-07-15T00:00:00Z"/>
        <d v="2024-09-24T00:00:00Z"/>
        <d v="2024-02-15T00:00:00Z"/>
        <d v="2024-04-26T00:00:00Z"/>
        <d v="2024-06-03T00:00:00Z"/>
        <d v="2024-04-12T00:00:00Z"/>
        <d v="2024-07-09T00:00:00Z"/>
        <d v="2024-09-29T00:00:00Z"/>
        <d v="2024-10-06T00:00:00Z"/>
        <d v="2024-10-16T00:00:00Z"/>
        <d v="2024-09-19T00:00:00Z"/>
        <d v="2024-03-28T00:00:00Z"/>
        <d v="2024-10-17T00:00:00Z"/>
        <d v="2025-04-29T00:00:00Z"/>
        <d v="2024-03-18T00:00:00Z"/>
        <d v="2024-08-14T00:00:00Z"/>
        <d v="2024-09-01T00:00:00Z"/>
        <d v="2024-11-15T00:00:00Z"/>
        <d v="2025-01-03T00:00:00Z"/>
        <d v="2024-07-18T00:00:00Z"/>
        <d v="2025-07-11T00:00:00Z"/>
        <d v="2025-07-18T00:00:00Z"/>
        <d v="2025-07-21T00:00:00Z"/>
        <d v="2025-07-22T00:00:00Z"/>
        <d v="2025-07-24T00:00:00Z"/>
        <d v="2025-07-25T00:00:00Z"/>
        <d v="2025-07-28T00:00:00Z"/>
        <d v="2025-06-24T00:00:00Z"/>
        <d v="2025-07-14T00:00:00Z"/>
        <d v="2025-06-27T00:00:00Z"/>
        <d v="2025-01-31T00:00:00Z"/>
        <d v="2025-07-07T00:00:00Z"/>
        <d v="2025-07-09T00:00:00Z"/>
        <d v="2025-07-17T00:00:00Z"/>
        <d v="2025-07-29T00:00:00Z"/>
        <d v="2025-07-31T00:00:00Z"/>
      </sharedItems>
    </cacheField>
    <cacheField name="Marque" numFmtId="3">
      <sharedItems containsBlank="1">
        <s v="BYS Maquillage"/>
        <s v="Yepoda"/>
        <s v="Rimmel London"/>
        <s v="SHEIN"/>
        <s v="Yves Rocher"/>
        <s v="Temu"/>
        <s v="Anua"/>
        <s v="SOS Beauty"/>
        <s v="Haru Haru Wonder"/>
        <s v="Maybelline"/>
        <s v="Koru"/>
        <s v="PINKO PAZZESCO"/>
        <s v="GHD"/>
        <s v="SKIN1004"/>
        <s v="Les Pistolets en Plastique"/>
        <s v="Rose Skin Co."/>
        <s v="Skin &amp; Out"/>
        <s v="Dyson"/>
        <s v="Satinée"/>
        <s v="BodyCross"/>
        <s v="Garnier"/>
        <s v="Eau Thermale Jonzac"/>
        <s v="So Bio Etic"/>
        <s v="Terre de Mars"/>
        <s v="Commonlabs"/>
        <s v="BENEFIT"/>
        <s v="Anastasia Beverly Hills"/>
        <s v="Grande Cosmetics"/>
        <s v="Mixa"/>
        <s v="My House of Jewels"/>
        <s v="Uriage"/>
        <s v="Erborian"/>
        <s v="Lancôme "/>
        <s v="Nocibé"/>
        <s v="Crocs"/>
        <s v="JOLT"/>
        <s v="Ducray"/>
        <s v="Bioré"/>
        <s v="La Roche Posay"/>
        <s v="Yesstyle"/>
        <s v="Sheglam"/>
        <s v="Abib"/>
        <s v="Bershka"/>
        <s v="Dr.Althea"/>
        <s v="Stylevana"/>
        <s v="Dreame"/>
        <s v="Lancôme"/>
        <s v="Wandernana"/>
        <s v="Essence"/>
        <s v="Monopoly Go"/>
        <s v="Frank Provost"/>
        <s v="Myriam K Paris"/>
        <s v="Sol De Janeiro"/>
        <s v="Mixsoon"/>
        <s v="Current Body"/>
        <s v="Aïa Curl"/>
        <s v="Aromazone"/>
        <s v="iHerb"/>
        <s v="Mova"/>
        <s v="L'Oréal"/>
        <s v="Hacoo"/>
        <s v="Biocyte"/>
        <s v="Musc Intime"/>
        <s v="NYX"/>
        <s v="L'Oreal"/>
        <s v="Remington"/>
        <s v="Dynveo"/>
        <s v="Vitavea"/>
        <s v="Uberliss"/>
        <s v="Luxéol"/>
        <s v="Darry Ring"/>
        <s v="Capcut"/>
        <s v="Redken"/>
        <s v="Naali"/>
        <s v="Cerave"/>
        <s v="Paalm Cosmetics"/>
        <s v="Shavest"/>
        <s v="Inava"/>
        <s v="Cellublue"/>
        <s v="Caudalie"/>
        <s v="Voghion"/>
        <s v="BeReal"/>
        <s v="Current Body "/>
        <s v="Ali Express"/>
        <s v="Keracare"/>
        <s v="ZIIP"/>
        <s v="Feel My Skin"/>
        <s v="BYD"/>
        <s v="ISIS Pharma"/>
        <s v="Sanytol"/>
        <s v="Mavatys"/>
        <s v="Sanex"/>
        <s v="My Little Box "/>
        <s v="Lazartigue"/>
        <s v="Solinotes"/>
        <s v="It Fruit"/>
        <s v="TORRAS"/>
        <s v="Medicube"/>
        <s v="H&amp;S"/>
        <s v="Perroy Parfum"/>
        <s v="Nike"/>
        <s v="Bella Barrnett"/>
        <s v="Passion Marine"/>
        <s v="Avene"/>
        <s v="Beauty Of Joseon"/>
        <s v="Etiaxil"/>
        <s v="Just Spin"/>
        <s v="PlanJoy"/>
        <s v="YTTP"/>
        <s v="Sanytol "/>
        <s v="Dior"/>
        <s v="Pretty Little Things"/>
        <s v="L'Univers de Baya"/>
        <s v="Bob Oré"/>
        <s v="YSL"/>
        <s v="Ouvéa"/>
        <s v="Cider"/>
        <s v="Milk Make Up"/>
        <s v="SPA &amp; BIEN ÊTRE - GRAVITI"/>
        <s v="Ole Henriksen"/>
        <s v="Rare Beauty"/>
        <s v="Lancôme #MWL"/>
        <s v="Clarine"/>
        <s v="SHU UEMURA"/>
        <s v="Aveda"/>
        <s v="Clinique"/>
        <s v="KIEHLS"/>
        <s v="Embryolisse"/>
        <s v="Focus Skincare"/>
        <s v="MILK"/>
        <s v="Superdry"/>
        <s v="Prada"/>
        <s v="YSL Stylo Touche Éclat"/>
        <s v="R.E.M Beauty"/>
        <s v="IT Cosmetics"/>
        <s v="Lancôme - HYPNOSE DRAMA 🖤"/>
        <s v="Charlotte Tilburry (Nice Work)"/>
        <s v="YSL Beauty Summer Box"/>
        <s v="Fenty"/>
        <s v="Dr. Dennis Gross (Nice Work)"/>
        <s v="YSL Blushs "/>
        <s v="Valentino"/>
        <s v="Huda Beauty"/>
        <s v="Sephora"/>
        <s v="Charlotte Tilburry"/>
        <s v="The Inkey List"/>
        <s v="Cecotec"/>
        <s v="Vichy"/>
        <s v="Flower Knows"/>
        <s v="Rituals"/>
        <s v="Respire"/>
        <s v="LANEIGE"/>
        <s v="Glow Recipe"/>
        <s v="Franck Provost"/>
        <s v="MAC Cosmetics"/>
        <s v="Milk Makeup (Nice Work)"/>
        <s v="Typology"/>
        <s v="Kiehl's"/>
        <s v="JW PEI"/>
        <s v="Bloom"/>
        <s v="Nars"/>
        <s v="The Commense"/>
        <s v="Bijoux Divins"/>
        <s v="Biotherm"/>
        <s v="Courrèges (Nice Work)"/>
        <s v="Pulpe de Vie"/>
        <s v="Dieti Natura"/>
        <s v="Make Up For Ever"/>
        <s v="Jimmy Fairly"/>
        <s v="Lili Sidonio"/>
        <s v="Dr Jart +"/>
        <s v="Gallinée"/>
        <s v="Evoluderm"/>
        <s v="Drunk Elephant"/>
        <s v="Shokz"/>
        <s v="Fresh"/>
        <s v="Bourjois"/>
        <s v="Too Faced"/>
        <s v="L'Oréal Professionnel"/>
        <s v="NARS (Nice Work)"/>
        <s v="Fenty (Nice Work)"/>
        <s v="Black &amp; White Burger"/>
        <s v="Daylo"/>
        <s v="Maria Nila"/>
        <s v="The Inkey List (Nice Work)"/>
        <s v="Wonderskin"/>
        <s v="Olaplex (Nice Work)"/>
        <s v="Kurku-ma"/>
        <s v="Origins"/>
        <s v="Kielh's"/>
        <s v="SAYANA"/>
        <s v="Havaianas"/>
        <s v="Réelle"/>
        <s v="Rare Beauty (Nice Work)"/>
        <s v="Boohoo"/>
        <s v="Kylie"/>
        <s v="Eau Thermale Jonzac "/>
        <s v="Hawkers"/>
        <s v="The Ordinary"/>
        <s v="Myrimimi"/>
        <s v="Fenty Skin"/>
        <s v="L'Oreal Luxe"/>
        <s v="Maybelline Concours"/>
        <s v="Sol de Janeiro (Nice Work)"/>
        <s v="TOMO"/>
        <s v="TABASQUISHY"/>
        <s v="Armani Beauty"/>
        <s v="Summer Fridays"/>
        <s v="Lanolips"/>
        <s v="Kiko Milano"/>
        <s v="Halal Nutrition"/>
        <s v="Kylie Cosmetics"/>
        <s v="My Little Box"/>
        <s v="Cuure"/>
        <s v="Interview"/>
        <s v="Le Petit Lunetier"/>
        <s v="Maybelline "/>
        <s v="Kalista"/>
        <s v="Neutrogena"/>
        <s v="Néonail"/>
        <s v="Milk Make Up (Nice Work)"/>
        <s v="Ongle24"/>
        <s v="Bobbi Brown"/>
        <s v="Axis-Y"/>
        <s v="Filorga"/>
        <s v="YSL Beauty Summer Box (Nice Work)"/>
        <s v="Estée Lauder"/>
        <s v="ULIKE"/>
        <s v="La Boutique du Coiffeur"/>
        <s v="Weleda"/>
        <s v="Seasonly"/>
        <s v="YSL "/>
        <s v="Air Up"/>
        <s v="Saforelle"/>
        <s v="Chantelle"/>
        <s v="Lancôme Event"/>
        <s v="Hourglass"/>
        <s v="Celimax"/>
        <s v="Dexeryl"/>
        <s v="Steam One "/>
        <s v="Talisma"/>
        <s v="Owari"/>
        <s v="No More Beauty"/>
        <s v="EA Pharma"/>
        <s v="Mymosa"/>
        <s v="Nuxe"/>
        <s v="Coco &amp; Eve"/>
        <s v="Divine Vanille"/>
        <s v="Arencia"/>
        <s v="Axis Y"/>
        <m/>
      </sharedItems>
    </cacheField>
    <cacheField name="Complément">
      <sharedItems containsBlank="1" containsMixedTypes="1" containsNumber="1" containsInteger="1">
        <m/>
        <s v="CA"/>
        <s v="BOURS"/>
        <s v="Lancôme #MWL"/>
        <n v="2.0"/>
        <s v="GRWM for bed"/>
        <s v="Whats in my bag"/>
        <n v="1.0"/>
        <s v="Woo Juicy Tubes"/>
        <s v="Army"/>
        <s v="Shein deals "/>
        <s v="nov"/>
        <s v="janv"/>
        <s v="AMZ"/>
        <s v="Juicy"/>
        <s v="Sun Serum"/>
        <s v="Poremizing"/>
        <s v="PM Clay Stick"/>
        <s v="Relief"/>
        <s v="2-Double Cleansing"/>
        <s v="3-Sun Serum Hyalu"/>
        <s v="4-Tone Brightening"/>
        <s v="Tiktok"/>
        <s v="Mega Haul + Full Face Campaign"/>
        <s v="5- Glow Project"/>
        <s v="Black Friday et du Cyber Monday de SHEIN"/>
        <s v=" 💎SHEGLAM Partnership: SHEGLAM Liquid Fam Festival Glow Set"/>
        <s v="déc"/>
        <s v="👐️ SHEGLAM: Partnership Opportunity"/>
        <s v="1-PM Clay Stick"/>
        <s v="TT"/>
        <s v="Revitalift"/>
        <s v="poremizing quick clay stick mask "/>
        <s v="Poremizing Clay Stick Mask "/>
        <s v="hello kitty"/>
        <s v="février"/>
        <s v="Bold Booster Lip Combo Campaign"/>
        <s v="Big Cil mars"/>
        <s v="Blowdry"/>
        <s v="mars"/>
        <s v="THE Adventure Time X SHEGLAM COLLECTION"/>
        <s v="avril"/>
        <s v="Full SkinCare Routine in 1 Box"/>
        <s v="Double Cleansing"/>
        <s v="Big Cil avril"/>
        <s v="Lissage avril "/>
        <s v="Compléments alimentaire mai"/>
        <s v="Big Cil juin"/>
        <s v="Big Cil mai"/>
        <s v="Hyalu-Cica Sunserum "/>
        <s v="mai"/>
        <s v="Glow project "/>
        <s v="#1Bean Essence + Bean Cream + Centella Sun Cream routine "/>
        <s v="Tone-Brightening Ampoule"/>
        <s v="Glow Project"/>
        <s v="PM Stick "/>
        <s v="Lissage juin"/>
        <s v="skin care routine for beginners "/>
        <s v="Stick Mask"/>
        <s v="Beginner Routine"/>
        <s v="SKIN MASK CLAY"/>
        <s v="Tone Brightening"/>
        <s v="ad"/>
        <s v="UGC Trousse"/>
        <s v="Essentials home"/>
        <s v="UGC"/>
        <s v="Beach day "/>
        <s v="Festival outfitxtravel"/>
        <s v="Essentials home "/>
        <s v="#2 Bean Essence"/>
        <s v="Beach day"/>
        <s v="Bean Essence + Bean Cream + Centella Sun Cream routine"/>
        <s v="Bean Collagen Hydrogel Mask Pack"/>
        <s v="#3 Bean Collagen Hydrogel Mask Pack"/>
        <s v="Festival outfit "/>
        <s v="Collagen Cleansing Balm"/>
        <s v="Centella Sun Cream"/>
        <s v="Bean Cleansing Oil + Centella Cleansing Foam routine"/>
        <s v="Sunscreen Comparison"/>
        <s v="Soondy Centella Asiatica Essnece, Glacier Waster Hyaluronic Acid Serum, Bean Essence Layering"/>
        <s v="#4 Centella Sun Cream"/>
        <s v="Temps forts "/>
        <s v="skin care for beginners "/>
        <s v="sun serum real"/>
        <s v="lash idole"/>
        <s v="Masque"/>
        <s v="Tone brightening "/>
        <s v="PAS REÇU"/>
        <s v="Bean Essence"/>
        <s v=" Precision Sculpt"/>
        <s v="GLOW Project (Hyalu-Cica sun Serum + Probio-cica ampoule)"/>
        <s v="Halloween"/>
        <n v="3.0"/>
        <s v="SPF"/>
        <s v="LIP IDÔLE 💄"/>
        <s v="Juicy Tubes"/>
        <s v="Apres Collection Calendrier"/>
        <s v="Candy Glow"/>
        <s v="LASH IDÔLE"/>
        <s v="Saint Valentin"/>
        <s v="Produits Cultes"/>
        <s v="Best sellers"/>
        <s v="Loveshin &amp; Candy Glaze "/>
        <s v="2024 Black Friday Product Review"/>
        <s v="fev"/>
        <s v="creme solaire"/>
        <s v="Nice Work"/>
        <s v="Calendrier"/>
        <s v="Mascara Flutter Extension"/>
        <s v="Loveshine Plumping Lip Gloss"/>
        <s v="SHEIN Grosses Remises Day ! 🔥 Réglez votre rappel maintenant !"/>
        <s v="Fenty (Nice Work)"/>
        <s v="Hydra Jelly Pocket Lip Jam Campaign"/>
        <s v="Brumes"/>
        <s v="Pimple Patch"/>
        <s v="sérum + gel crème hyalu B5"/>
        <s v="Bell Hypoallergenique"/>
        <s v="CandyGlow"/>
        <s v="Patch"/>
        <s v="Revitalift IG"/>
        <s v="Noël"/>
        <s v="Sélection"/>
        <s v="Lissage mars"/>
        <s v="Mascara"/>
        <s v="Poremizing Light Gel Cream"/>
        <s v="Skincare Routine for Beginners"/>
        <s v="Collagen Glass Skin Mask"/>
        <s v="GLOW Project (Hyalu-Cica sun Serum + Probio-cica ampoule) "/>
        <s v="Cica-Hyal Sun Stick"/>
        <s v="#5 Bean Cleansing Oil + Centella Cleansing Foam routine"/>
        <s v="Centella Clenasing Foam + Centella Toner Pad + Soondy Centella Asiatica Essnece + Bean Cream + Centella Sun Cream Routine"/>
        <s v="Tone-Brightening Ampoule "/>
        <s v="#6 Soondy Centella Asiatica Essnece, Glacier Waster Hyaluronic Acid Serum, Bean Essence Layering"/>
        <s v="#7 Bean Cream"/>
        <s v="#8 Soybean Milk Serum"/>
        <s v="#9 Cica-Hyal Sun Stick"/>
        <s v="#10 Centella Clenasing Foam + Centella Toner Pad + Soondy Centella Asiatica Essnece + Bean Cream + Centella Sun Cream Routine"/>
        <s v="Complement juillet"/>
        <s v="Complement aout"/>
        <s v="Reel"/>
        <s v="Programmé en septembre "/>
      </sharedItems>
    </cacheField>
    <cacheField name=" Brouillon draft">
      <sharedItems containsDate="1" containsBlank="1" containsMixedTypes="1">
        <d v="2024-02-29T00:00:00Z"/>
        <d v="2024-03-14T00:00:00Z"/>
        <d v="2024-04-03T00:00:00Z"/>
        <d v="2024-04-05T00:00:00Z"/>
        <d v="2024-04-15T00:00:00Z"/>
        <d v="2024-04-19T00:00:00Z"/>
        <d v="2024-04-22T00:00:00Z"/>
        <d v="2024-04-26T00:00:00Z"/>
        <d v="2024-04-27T00:00:00Z"/>
        <d v="2024-04-28T00:00:00Z"/>
        <d v="2024-04-29T00:00:00Z"/>
        <d v="2024-05-06T00:00:00Z"/>
        <d v="2024-05-07T00:00:00Z"/>
        <d v="2024-05-08T00:00:00Z"/>
        <d v="2024-05-09T00:00:00Z"/>
        <d v="2024-05-12T00:00:00Z"/>
        <d v="2024-05-13T00:00:00Z"/>
        <d v="2024-05-15T00:00:00Z"/>
        <d v="2024-05-19T00:00:00Z"/>
        <d v="2024-05-24T00:00:00Z"/>
        <d v="2024-05-25T00:00:00Z"/>
        <d v="2024-05-26T00:00:00Z"/>
        <d v="2024-05-30T00:00:00Z"/>
        <d v="2024-06-12T00:00:00Z"/>
        <d v="2024-06-13T00:00:00Z"/>
        <d v="2024-06-14T00:00:00Z"/>
        <d v="2024-06-15T00:00:00Z"/>
        <d v="2024-06-18T00:00:00Z"/>
        <d v="2024-06-16T00:00:00Z"/>
        <d v="2024-06-17T00:00:00Z"/>
        <d v="2024-06-19T00:00:00Z"/>
        <d v="2024-06-20T00:00:00Z"/>
        <d v="2024-06-22T00:00:00Z"/>
        <d v="2024-06-23T00:00:00Z"/>
        <d v="2024-06-24T00:00:00Z"/>
        <d v="2024-06-25T00:00:00Z"/>
        <d v="2024-06-29T00:00:00Z"/>
        <d v="2024-07-02T00:00:00Z"/>
        <d v="2024-07-06T00:00:00Z"/>
        <d v="2024-07-07T00:00:00Z"/>
        <d v="2024-07-08T00:00:00Z"/>
        <d v="2024-07-10T00:00:00Z"/>
        <d v="2024-07-13T00:00:00Z"/>
        <d v="2024-07-17T00:00:00Z"/>
        <d v="2024-07-18T00:00:00Z"/>
        <d v="2024-07-19T00:00:00Z"/>
        <d v="2024-07-21T00:00:00Z"/>
        <d v="2024-07-22T00:00:00Z"/>
        <d v="2024-07-27T00:00:00Z"/>
        <d v="2024-07-29T00:00:00Z"/>
        <d v="2024-07-28T00:00:00Z"/>
        <d v="2024-07-30T00:00:00Z"/>
        <m/>
        <d v="2024-08-02T00:00:00Z"/>
        <d v="2024-08-07T00:00:00Z"/>
        <d v="2024-08-08T00:00:00Z"/>
        <d v="2024-08-11T00:00:00Z"/>
        <d v="2024-08-13T00:00:00Z"/>
        <d v="2024-08-14T00:00:00Z"/>
        <d v="2024-08-16T00:00:00Z"/>
        <d v="2024-08-18T00:00:00Z"/>
        <d v="2024-08-19T00:00:00Z"/>
        <d v="2024-08-20T00:00:00Z"/>
        <d v="2024-08-21T00:00:00Z"/>
        <d v="2024-08-22T00:00:00Z"/>
        <d v="2024-08-25T00:00:00Z"/>
        <d v="2024-08-28T00:00:00Z"/>
        <d v="2024-08-29T00:00:00Z"/>
        <d v="2024-08-30T00:00:00Z"/>
        <d v="2024-09-01T00:00:00Z"/>
        <d v="2024-09-02T00:00:00Z"/>
        <d v="2024-09-04T00:00:00Z"/>
        <d v="2024-09-08T00:00:00Z"/>
        <d v="2024-09-10T00:00:00Z"/>
        <d v="2024-09-12T00:00:00Z"/>
        <d v="2024-08-23T00:00:00Z"/>
        <d v="2024-09-13T00:00:00Z"/>
        <d v="2024-09-14T00:00:00Z"/>
        <d v="2024-09-16T00:00:00Z"/>
        <d v="2024-09-19T00:00:00Z"/>
        <d v="2024-09-22T00:00:00Z"/>
        <d v="2025-06-10T00:00:00Z"/>
        <d v="2024-09-23T00:00:00Z"/>
        <d v="2024-09-24T00:00:00Z"/>
        <d v="2024-09-28T00:00:00Z"/>
        <d v="2024-09-29T00:00:00Z"/>
        <d v="2024-10-06T00:00:00Z"/>
        <d v="2024-10-09T00:00:00Z"/>
        <d v="2024-10-07T00:00:00Z"/>
        <d v="2024-10-11T00:00:00Z"/>
        <d v="2024-10-16T00:00:00Z"/>
        <d v="2024-10-15T00:00:00Z"/>
        <d v="2024-09-21T00:00:00Z"/>
        <d v="2024-10-17T00:00:00Z"/>
        <d v="2024-10-18T00:00:00Z"/>
        <d v="2024-10-23T00:00:00Z"/>
        <d v="2025-06-11T00:00:00Z"/>
        <d v="2024-10-25T00:00:00Z"/>
        <d v="2024-10-27T00:00:00Z"/>
        <d v="2024-11-02T00:00:00Z"/>
        <d v="2024-11-03T00:00:00Z"/>
        <d v="2024-10-28T00:00:00Z"/>
        <d v="2024-10-30T00:00:00Z"/>
        <d v="2024-11-04T00:00:00Z"/>
        <d v="2024-11-05T00:00:00Z"/>
        <d v="2025-06-15T00:00:00Z"/>
        <d v="2024-10-24T00:00:00Z"/>
        <d v="2024-11-07T00:00:00Z"/>
        <d v="2024-11-10T00:00:00Z"/>
        <d v="2024-11-12T00:00:00Z"/>
        <d v="2024-11-06T00:00:00Z"/>
        <d v="2024-11-17T00:00:00Z"/>
        <d v="2024-11-11T00:00:00Z"/>
        <d v="2024-11-18T00:00:00Z"/>
        <d v="2024-11-14T00:00:00Z"/>
        <d v="2024-11-15T00:00:00Z"/>
        <d v="2024-11-19T00:00:00Z"/>
        <d v="2024-11-22T00:00:00Z"/>
        <d v="2024-11-20T00:00:00Z"/>
        <d v="2024-11-21T00:00:00Z"/>
        <d v="2024-11-24T00:00:00Z"/>
        <d v="2024-11-25T00:00:00Z"/>
        <d v="2024-11-28T00:00:00Z"/>
        <d v="2024-11-26T00:00:00Z"/>
        <d v="2024-11-27T00:00:00Z"/>
        <d v="2024-12-11T00:00:00Z"/>
        <s v="ANNULÉ NE PAS SUPP"/>
        <d v="2024-12-14T00:00:00Z"/>
        <d v="2024-12-15T00:00:00Z"/>
        <d v="2024-11-29T00:00:00Z"/>
        <d v="2024-12-03T00:00:00Z"/>
        <d v="2024-12-16T00:00:00Z"/>
        <d v="2025-02-11T00:00:00Z"/>
        <d v="2024-12-19T00:00:00Z"/>
        <d v="2024-12-20T00:00:00Z"/>
        <d v="2024-12-22T00:00:00Z"/>
        <d v="2025-01-03T00:00:00Z"/>
        <d v="2024-12-25T00:00:00Z"/>
        <d v="2024-12-27T00:00:00Z"/>
        <d v="2025-01-20T00:00:00Z"/>
        <d v="2024-12-12T00:00:00Z"/>
        <d v="2025-01-02T00:00:00Z"/>
        <d v="2025-01-10T00:00:00Z"/>
        <d v="2025-03-07T00:00:00Z"/>
        <d v="2025-01-21T00:00:00Z"/>
        <d v="2025-01-24T00:00:00Z"/>
        <d v="2025-01-26T00:00:00Z"/>
        <d v="2025-01-28T00:00:00Z"/>
        <d v="2025-01-30T00:00:00Z"/>
        <d v="2025-01-29T00:00:00Z"/>
        <d v="2025-02-05T00:00:00Z"/>
        <d v="2025-01-31T00:00:00Z"/>
        <d v="2025-02-03T00:00:00Z"/>
        <d v="2025-02-06T00:00:00Z"/>
        <d v="2025-02-13T00:00:00Z"/>
        <d v="2025-02-12T00:00:00Z"/>
        <d v="2025-02-14T00:00:00Z"/>
        <d v="2025-02-15T00:00:00Z"/>
        <d v="2025-02-16T00:00:00Z"/>
        <d v="2025-02-20T00:00:00Z"/>
        <d v="2025-02-19T00:00:00Z"/>
        <d v="2025-02-21T00:00:00Z"/>
        <d v="2025-02-23T00:00:00Z"/>
        <d v="2025-02-27T00:00:00Z"/>
        <d v="2025-02-24T00:00:00Z"/>
        <d v="2025-03-01T00:00:00Z"/>
        <d v="2025-02-25T00:00:00Z"/>
        <d v="2025-03-12T00:00:00Z"/>
        <d v="2025-03-02T00:00:00Z"/>
        <d v="2025-02-28T00:00:00Z"/>
        <d v="2025-03-05T00:00:00Z"/>
        <d v="2025-03-08T00:00:00Z"/>
        <d v="2025-04-16T00:00:00Z"/>
        <d v="2025-03-09T00:00:00Z"/>
        <d v="2025-03-10T00:00:00Z"/>
        <d v="2025-03-11T00:00:00Z"/>
        <d v="2025-03-14T00:00:00Z"/>
        <d v="2025-04-22T00:00:00Z"/>
        <d v="2025-03-16T00:00:00Z"/>
        <d v="2025-03-17T00:00:00Z"/>
        <d v="2025-03-13T00:00:00Z"/>
        <d v="2025-03-18T00:00:00Z"/>
        <d v="2025-03-23T00:00:00Z"/>
        <d v="2025-03-24T00:00:00Z"/>
        <d v="2025-04-20T00:00:00Z"/>
        <d v="2025-03-26T00:00:00Z"/>
        <d v="2025-03-19T00:00:00Z"/>
        <d v="2025-03-20T00:00:00Z"/>
        <d v="2025-04-01T00:00:00Z"/>
        <d v="2025-03-27T00:00:00Z"/>
        <d v="2025-03-30T00:00:00Z"/>
        <d v="2025-04-02T00:00:00Z"/>
        <d v="2025-04-04T00:00:00Z"/>
        <d v="2025-04-03T00:00:00Z"/>
        <d v="2025-04-10T00:00:00Z"/>
        <d v="2025-04-11T00:00:00Z"/>
        <d v="2025-04-14T00:00:00Z"/>
        <d v="2025-05-08T00:00:00Z"/>
        <d v="2025-04-13T00:00:00Z"/>
        <d v="2025-04-15T00:00:00Z"/>
        <d v="2025-04-17T00:00:00Z"/>
        <d v="2025-04-18T00:00:00Z"/>
        <d v="2025-04-19T00:00:00Z"/>
        <d v="2025-05-26T00:00:00Z"/>
        <d v="2025-04-23T00:00:00Z"/>
        <d v="2025-04-24T00:00:00Z"/>
        <d v="2025-04-26T00:00:00Z"/>
        <d v="2025-04-27T00:00:00Z"/>
        <d v="2025-04-28T00:00:00Z"/>
        <d v="2025-04-29T00:00:00Z"/>
        <d v="2025-05-04T00:00:00Z"/>
        <d v="2025-04-30T00:00:00Z"/>
        <d v="2025-05-01T00:00:00Z"/>
        <d v="2025-05-06T00:00:00Z"/>
        <d v="2025-05-07T00:00:00Z"/>
        <d v="2025-05-03T00:00:00Z"/>
        <d v="2025-05-05T00:00:00Z"/>
        <d v="2025-06-29T00:00:00Z"/>
        <d v="2025-06-30T00:00:00Z"/>
        <d v="2025-05-14T00:00:00Z"/>
        <d v="2025-05-09T00:00:00Z"/>
        <d v="2025-05-13T00:00:00Z"/>
        <d v="2025-07-03T00:00:00Z"/>
        <d v="2025-05-17T00:00:00Z"/>
        <d v="2025-05-15T00:00:00Z"/>
        <d v="2025-05-16T00:00:00Z"/>
        <d v="2025-05-21T00:00:00Z"/>
        <d v="2025-05-22T00:00:00Z"/>
        <d v="2025-05-24T00:00:00Z"/>
        <d v="2025-07-07T00:00:00Z"/>
        <d v="2025-07-15T00:00:00Z"/>
        <d v="2025-06-01T00:00:00Z"/>
        <d v="2025-06-02T00:00:00Z"/>
        <d v="2025-05-28T00:00:00Z"/>
        <d v="2025-05-30T00:00:00Z"/>
        <d v="2025-06-05T00:00:00Z"/>
        <d v="2025-06-08T00:00:00Z"/>
        <d v="2025-06-12T00:00:00Z"/>
        <d v="2024-12-04T00:00:00Z"/>
        <d v="2025-06-13T00:00:00Z"/>
        <d v="2025-06-24T00:00:00Z"/>
        <d v="2025-06-17T00:00:00Z"/>
        <d v="2025-06-19T00:00:00Z"/>
        <d v="2025-06-20T00:00:00Z"/>
        <d v="2025-06-22T00:00:00Z"/>
        <d v="2025-06-25T00:00:00Z"/>
        <d v="2025-05-27T00:00:00Z"/>
        <d v="2025-06-07T00:00:00Z"/>
        <d v="2025-06-27T00:00:00Z"/>
        <d v="2025-07-02T00:00:00Z"/>
        <d v="2025-07-01T00:00:00Z"/>
        <d v="2025-07-24T00:00:00Z"/>
        <d v="2025-02-26T00:00:00Z"/>
        <d v="2025-01-11T00:00:00Z"/>
        <d v="2025-06-21T00:00:00Z"/>
        <d v="2025-07-19T00:00:00Z"/>
        <d v="2025-06-04T00:00:00Z"/>
        <d v="2025-07-08T00:00:00Z"/>
        <d v="2025-07-05T00:00:00Z"/>
        <d v="2025-07-06T00:00:00Z"/>
        <d v="2025-07-10T00:00:00Z"/>
        <d v="2025-07-04T00:00:00Z"/>
        <d v="2025-07-09T00:00:00Z"/>
        <d v="2025-07-14T00:00:00Z"/>
        <d v="2025-07-11T00:00:00Z"/>
        <d v="2025-07-13T00:00:00Z"/>
        <d v="2025-07-17T00:00:00Z"/>
        <d v="2025-07-23T00:00:00Z"/>
        <d v="2025-07-18T00:00:00Z"/>
        <d v="2025-07-20T00:00:00Z"/>
        <d v="2025-07-22T00:00:00Z"/>
        <d v="2025-07-25T00:00:00Z"/>
        <d v="2025-08-03T00:00:00Z"/>
        <s v=" "/>
        <d v="2025-07-26T00:00:00Z"/>
        <d v="2025-07-27T00:00:00Z"/>
        <d v="2025-07-28T00:00:00Z"/>
        <d v="2025-07-29T00:00:00Z"/>
        <d v="2025-06-26T00:00:00Z"/>
        <d v="2025-07-30T00:00:00Z"/>
        <d v="2025-07-31T00:00:00Z"/>
        <d v="2025-08-04T00:00:00Z"/>
        <d v="2025-08-05T00:00:00Z"/>
        <d v="2025-08-10T00:00:00Z"/>
        <d v="2025-08-14T00:00:00Z"/>
        <d v="2025-08-18T00:00:00Z"/>
        <d v="2025-08-19T00:00:00Z"/>
        <d v="2025-08-20T00:00:00Z"/>
        <d v="2025-08-25T00:00:00Z"/>
        <d v="2025-09-01T00:00:00Z"/>
        <d v="2025-09-02T00:00:00Z"/>
        <d v="2025-09-14T00:00:00Z"/>
        <d v="2025-09-28T00:00:00Z"/>
        <d v="2025-10-10T00:00:00Z"/>
      </sharedItems>
    </cacheField>
    <cacheField name="Date Début">
      <sharedItems containsDate="1" containsBlank="1" containsMixedTypes="1">
        <m/>
        <d v="2024-03-19T00:00:00Z"/>
        <d v="2024-05-14T00:00:00Z"/>
        <d v="2024-05-25T00:00:00Z"/>
        <d v="2024-05-27T00:00:00Z"/>
        <d v="2024-06-10T00:00:00Z"/>
        <d v="2024-06-18T00:00:00Z"/>
        <d v="2024-06-19T00:00:00Z"/>
        <d v="2024-06-16T00:00:00Z"/>
        <d v="2024-06-24T00:00:00Z"/>
        <d v="2024-07-06T00:00:00Z"/>
        <d v="2024-06-17T00:00:00Z"/>
        <d v="2024-07-01T00:00:00Z"/>
        <d v="2024-07-10T00:00:00Z"/>
        <d v="2024-06-25T00:00:00Z"/>
        <d v="2024-07-19T00:00:00Z"/>
        <d v="2024-08-18T00:00:00Z"/>
        <d v="2024-09-02T00:00:00Z"/>
        <d v="2024-09-16T00:00:00Z"/>
        <d v="2024-10-20T00:00:00Z"/>
        <d v="2025-05-01T00:00:00Z"/>
        <d v="2024-11-01T00:00:00Z"/>
        <d v="2024-11-13T00:00:00Z"/>
        <d v="2024-11-10T00:00:00Z"/>
        <d v="2024-12-10T00:00:00Z"/>
        <d v="2025-01-31T00:00:00Z"/>
        <d v="2025-02-03T00:00:00Z"/>
        <d v="2025-02-13T00:00:00Z"/>
        <d v="2025-01-23T00:00:00Z"/>
        <d v="2025-03-01T00:00:00Z"/>
        <d v="2025-02-28T00:00:00Z"/>
        <d v="2025-02-15T00:00:00Z"/>
        <d v="2025-05-21T00:00:00Z"/>
        <d v="2025-06-05T00:00:00Z"/>
        <d v="2025-07-16T00:00:00Z"/>
        <d v="2025-06-22T00:00:00Z"/>
        <d v="2025-07-01T00:00:00Z"/>
        <s v=" "/>
        <d v="2025-01-09T00:00:00Z"/>
        <d v="2024-09-13T00:00:00Z"/>
        <d v="2024-10-16T00:00:00Z"/>
        <d v="2024-11-18T00:00:00Z"/>
        <d v="2024-01-11T00:00:00Z"/>
        <d v="2024-12-06T00:00:00Z"/>
        <d v="2025-02-27T00:00:00Z"/>
        <d v="2025-04-08T00:00:00Z"/>
        <d v="2025-01-27T00:00:00Z"/>
        <d v="2024-11-11T00:00:00Z"/>
        <d v="2024-11-28T00:00:00Z"/>
        <d v="2024-12-21T00:00:00Z"/>
        <d v="2025-01-13T00:00:00Z"/>
        <d v="2025-02-11T00:00:00Z"/>
        <d v="2025-03-06T00:00:00Z"/>
        <d v="2024-04-01T00:00:00Z"/>
        <d v="2024-04-08T00:00:00Z"/>
        <d v="2024-02-29T00:00:00Z"/>
        <d v="2024-04-18T00:00:00Z"/>
        <d v="2024-06-07T00:00:00Z"/>
        <d v="2024-03-21T00:00:00Z"/>
        <d v="2024-06-20T00:00:00Z"/>
        <d v="2024-07-08T00:00:00Z"/>
        <d v="2024-07-29T00:00:00Z"/>
        <d v="2024-09-01T00:00:00Z"/>
        <d v="2024-09-12T00:00:00Z"/>
        <d v="2024-09-23T00:00:00Z"/>
        <d v="2024-09-28T00:00:00Z"/>
        <d v="2024-09-30T00:00:00Z"/>
        <d v="2024-10-01T00:00:00Z"/>
        <d v="2024-10-12T00:00:00Z"/>
        <d v="2024-11-06T00:00:00Z"/>
        <d v="2024-12-04T00:00:00Z"/>
        <d v="2025-01-16T00:00:00Z"/>
        <d v="2025-01-20T00:00:00Z"/>
        <d v="2024-04-15T00:00:00Z"/>
        <d v="2024-03-26T00:00:00Z"/>
        <d v="2024-04-20T00:00:00Z"/>
        <d v="2024-08-26T00:00:00Z"/>
        <d v="2024-02-28T00:00:00Z"/>
        <d v="2024-04-05T00:00:00Z"/>
        <d v="2024-09-26T00:00:00Z"/>
        <d v="2024-03-01T00:00:00Z"/>
        <d v="2024-10-24T00:00:00Z"/>
        <d v="2024-08-29T00:00:00Z"/>
        <d v="2024-11-15T00:00:00Z"/>
        <d v="2025-02-25T00:00:00Z"/>
        <d v="2024-09-25T00:00:00Z"/>
        <d v="2024-08-06T00:00:00Z"/>
        <d v="2024-08-09T00:00:00Z"/>
        <d v="2024-12-12T00:00:00Z"/>
        <d v="2025-03-25T00:00:00Z"/>
        <d v="2024-07-27T00:00:00Z"/>
        <d v="2024-04-13T00:00:00Z"/>
        <d v="2023-03-23T00:00:00Z"/>
        <d v="2024-08-16T00:00:00Z"/>
        <d v="2024-11-04T00:00:00Z"/>
        <d v="2024-10-29T00:00:00Z"/>
        <d v="2024-01-06T00:00:00Z"/>
        <d v="2025-01-24T00:00:00Z"/>
        <d v="2025-01-29T00:00:00Z"/>
        <d v="2025-02-05T00:00:00Z"/>
        <d v="2024-03-20T00:00:00Z"/>
        <d v="2024-09-14T00:00:00Z"/>
        <d v="2024-10-10T00:00:00Z"/>
        <d v="2024-10-02T00:00:00Z"/>
        <d v="2024-06-14T00:00:00Z"/>
        <d v="2025-01-28T00:00:00Z"/>
        <d v="2024-06-01T00:00:00Z"/>
        <d v="2024-06-11T00:00:00Z"/>
        <d v="2024-12-03T00:00:00Z"/>
        <d v="2024-04-04T00:00:00Z"/>
        <d v="2024-06-27T00:00:00Z"/>
        <d v="2024-07-18T00:00:00Z"/>
        <d v="2024-10-28T00:00:00Z"/>
        <n v="-619148.0"/>
        <d v="2024-10-30T00:00:00Z"/>
        <d v="2024-12-11T00:00:00Z"/>
        <d v="2024-12-02T00:00:00Z"/>
        <d v="2025-01-25T00:00:00Z"/>
        <d v="2024-06-08T00:00:00Z"/>
        <d v="2024-10-25T00:00:00Z"/>
        <d v="2024-03-22T00:00:00Z"/>
        <d v="2024-07-26T00:00:00Z"/>
        <d v="2024-11-08T00:00:00Z"/>
        <d v="2025-09-08T00:00:00Z"/>
        <d v="2025-03-26T00:00:00Z"/>
        <d v="2025-08-10T00:00:00Z"/>
      </sharedItems>
    </cacheField>
    <cacheField name="Date Fin">
      <sharedItems containsDate="1" containsBlank="1" containsMixedTypes="1">
        <d v="2024-03-08T00:00:00Z"/>
        <d v="2024-03-19T00:00:00Z"/>
        <m/>
        <d v="2024-04-06T00:00:00Z"/>
        <d v="2024-04-09T00:00:00Z"/>
        <d v="2024-04-19T00:00:00Z"/>
        <d v="2024-04-22T00:00:00Z"/>
        <d v="2024-04-18T00:00:00Z"/>
        <d v="2024-04-26T00:00:00Z"/>
        <d v="2024-05-02T00:00:00Z"/>
        <d v="2024-05-01T00:00:00Z"/>
        <d v="2024-05-04T00:00:00Z"/>
        <d v="2024-05-08T00:00:00Z"/>
        <d v="2024-05-07T00:00:00Z"/>
        <d v="2024-05-10T00:00:00Z"/>
        <d v="2024-05-13T00:00:00Z"/>
        <d v="2024-05-18T00:00:00Z"/>
        <d v="2024-05-14T00:00:00Z"/>
        <d v="2024-05-17T00:00:00Z"/>
        <d v="2024-05-23T00:00:00Z"/>
        <d v="2024-05-27T00:00:00Z"/>
        <d v="2024-05-29T00:00:00Z"/>
        <d v="2024-05-30T00:00:00Z"/>
        <d v="2024-05-31T00:00:00Z"/>
        <d v="2024-06-16T00:00:00Z"/>
        <d v="2024-06-17T00:00:00Z"/>
        <d v="2024-06-20T00:00:00Z"/>
        <d v="2024-06-22T00:00:00Z"/>
        <d v="2024-06-19T00:00:00Z"/>
        <d v="2024-06-23T00:00:00Z"/>
        <d v="2024-06-25T00:00:00Z"/>
        <d v="2024-06-24T00:00:00Z"/>
        <d v="2024-06-29T00:00:00Z"/>
        <d v="2024-07-06T00:00:00Z"/>
        <d v="2024-06-28T00:00:00Z"/>
        <d v="2024-07-01T00:00:00Z"/>
        <d v="2024-06-26T00:00:00Z"/>
        <d v="2024-06-30T00:00:00Z"/>
        <d v="2024-07-10T00:00:00Z"/>
        <d v="2024-07-07T00:00:00Z"/>
        <d v="2024-07-14T00:00:00Z"/>
        <d v="2024-07-12T00:00:00Z"/>
        <d v="2024-07-23T00:00:00Z"/>
        <d v="2024-07-24T00:00:00Z"/>
        <d v="2024-07-22T00:00:00Z"/>
        <d v="2024-07-21T00:00:00Z"/>
        <d v="2024-07-25T00:00:00Z"/>
        <d v="2024-09-06T00:00:00Z"/>
        <d v="2024-07-26T00:00:00Z"/>
        <d v="2024-08-01T00:00:00Z"/>
        <d v="2024-09-08T00:00:00Z"/>
        <d v="2024-08-06T00:00:00Z"/>
        <d v="2024-08-03T00:00:00Z"/>
        <d v="2024-08-02T00:00:00Z"/>
        <d v="2024-07-20T00:00:00Z"/>
        <d v="2024-07-30T00:00:00Z"/>
        <d v="2024-08-09T00:00:00Z"/>
        <d v="2024-08-16T00:00:00Z"/>
        <d v="2024-08-08T00:00:00Z"/>
        <d v="2024-08-15T00:00:00Z"/>
        <d v="2024-09-07T00:00:00Z"/>
        <d v="2024-08-22T00:00:00Z"/>
        <d v="2024-08-25T00:00:00Z"/>
        <d v="2024-08-18T00:00:00Z"/>
        <d v="2024-08-21T00:00:00Z"/>
        <d v="2024-08-20T00:00:00Z"/>
        <d v="2024-08-23T00:00:00Z"/>
        <d v="2024-09-02T00:00:00Z"/>
        <d v="2024-08-28T00:00:00Z"/>
        <d v="2024-08-24T00:00:00Z"/>
        <d v="2024-08-30T00:00:00Z"/>
        <d v="2024-09-13T00:00:00Z"/>
        <d v="2024-09-18T00:00:00Z"/>
        <d v="2024-09-19T00:00:00Z"/>
        <d v="2024-09-09T00:00:00Z"/>
        <d v="2024-10-02T00:00:00Z"/>
        <d v="2024-10-11T00:00:00Z"/>
        <d v="2024-09-23T00:00:00Z"/>
        <d v="2024-09-21T00:00:00Z"/>
        <d v="2024-10-06T00:00:00Z"/>
        <d v="2024-09-20T00:00:00Z"/>
        <d v="2024-08-10T00:00:00Z"/>
        <d v="2024-09-25T00:00:00Z"/>
        <d v="2025-06-15T00:00:00Z"/>
        <d v="2024-09-30T00:00:00Z"/>
        <d v="2024-09-26T00:00:00Z"/>
        <d v="2024-10-03T00:00:00Z"/>
        <d v="2024-11-02T00:00:00Z"/>
        <d v="2024-11-15T00:00:00Z"/>
        <d v="2024-11-01T00:00:00Z"/>
        <d v="2024-11-08T00:00:00Z"/>
        <d v="2024-10-27T00:00:00Z"/>
        <d v="2024-10-26T00:00:00Z"/>
        <d v="2024-10-28T00:00:00Z"/>
        <d v="2025-06-14T00:00:00Z"/>
        <d v="2024-11-05T00:00:00Z"/>
        <d v="2024-11-16T00:00:00Z"/>
        <d v="2024-11-10T00:00:00Z"/>
        <d v="2024-11-12T00:00:00Z"/>
        <d v="2024-11-11T00:00:00Z"/>
        <d v="2025-06-17T00:00:00Z"/>
        <d v="2024-10-22T00:00:00Z"/>
        <d v="2024-11-07T00:00:00Z"/>
        <d v="2025-02-10T00:00:00Z"/>
        <d v="2024-11-09T00:00:00Z"/>
        <d v="2024-11-29T00:00:00Z"/>
        <d v="2024-12-03T00:00:00Z"/>
        <d v="2024-11-19T00:00:00Z"/>
        <d v="2024-11-30T00:00:00Z"/>
        <d v="2024-11-20T00:00:00Z"/>
        <d v="2024-11-27T00:00:00Z"/>
        <d v="2024-11-22T00:00:00Z"/>
        <d v="2024-11-26T00:00:00Z"/>
        <d v="2024-12-02T00:00:00Z"/>
        <d v="2024-12-09T00:00:00Z"/>
        <d v="2024-11-28T00:00:00Z"/>
        <d v="2024-12-15T00:00:00Z"/>
        <d v="2024-12-17T00:00:00Z"/>
        <d v="2024-12-01T00:00:00Z"/>
        <d v="2024-12-10T00:00:00Z"/>
        <d v="2025-03-05T00:00:00Z"/>
        <d v="2024-12-25T00:00:00Z"/>
        <d v="2024-12-19T00:00:00Z"/>
        <d v="2024-12-29T00:00:00Z"/>
        <d v="2025-01-03T00:00:00Z"/>
        <d v="2025-01-09T00:00:00Z"/>
        <d v="2025-01-10T00:00:00Z"/>
        <d v="2025-01-23T00:00:00Z"/>
        <d v="2025-01-24T00:00:00Z"/>
        <d v="2025-01-25T00:00:00Z"/>
        <d v="2025-01-05T00:00:00Z"/>
        <d v="2025-01-20T00:00:00Z"/>
        <d v="2025-01-13T00:00:00Z"/>
        <d v="2025-03-10T00:00:00Z"/>
        <d v="2025-01-29T00:00:00Z"/>
        <d v="2025-01-15T00:00:00Z"/>
        <d v="2025-01-30T00:00:00Z"/>
        <d v="2025-01-22T00:00:00Z"/>
        <d v="2025-02-07T00:00:00Z"/>
        <d v="2025-02-19T00:00:00Z"/>
        <d v="2025-01-31T00:00:00Z"/>
        <d v="2025-02-04T00:00:00Z"/>
        <d v="2025-02-05T00:00:00Z"/>
        <d v="2025-02-14T00:00:00Z"/>
        <d v="2025-02-08T00:00:00Z"/>
        <d v="2025-02-16T00:00:00Z"/>
        <d v="2025-02-20T00:00:00Z"/>
        <d v="2025-02-21T00:00:00Z"/>
        <d v="2025-02-26T00:00:00Z"/>
        <d v="2025-02-27T00:00:00Z"/>
        <d v="2025-02-22T00:00:00Z"/>
        <d v="2025-02-25T00:00:00Z"/>
        <d v="2025-02-13T00:00:00Z"/>
        <d v="2025-03-31T00:00:00Z"/>
        <d v="2025-03-04T00:00:00Z"/>
        <d v="2025-03-15T00:00:00Z"/>
        <d v="2025-03-12T00:00:00Z"/>
        <d v="2025-04-21T00:00:00Z"/>
        <d v="2025-03-13T00:00:00Z"/>
        <d v="2025-03-16T00:00:00Z"/>
        <d v="2025-03-18T00:00:00Z"/>
        <d v="2025-03-22T00:00:00Z"/>
        <d v="2025-04-23T00:00:00Z"/>
        <d v="2025-03-29T00:00:00Z"/>
        <d v="2025-03-24T00:00:00Z"/>
        <d v="2025-03-14T00:00:00Z"/>
        <d v="2025-03-19T00:00:00Z"/>
        <d v="2025-03-30T00:00:00Z"/>
        <d v="2025-04-26T00:00:00Z"/>
        <d v="2025-03-21T00:00:00Z"/>
        <d v="2025-05-24T00:00:00Z"/>
        <d v="2025-04-01T00:00:00Z"/>
        <d v="2025-04-04T00:00:00Z"/>
        <d v="2025-03-28T00:00:00Z"/>
        <d v="2025-04-06T00:00:00Z"/>
        <d v="2025-04-07T00:00:00Z"/>
        <d v="2025-02-28T00:00:00Z"/>
        <d v="2025-01-14T00:00:00Z"/>
        <d v="2025-04-10T00:00:00Z"/>
        <d v="2025-03-26T00:00:00Z"/>
        <d v="2025-04-09T00:00:00Z"/>
        <d v="2025-04-12T00:00:00Z"/>
        <d v="2025-04-16T00:00:00Z"/>
        <d v="2025-04-19T00:00:00Z"/>
        <d v="2025-05-09T00:00:00Z"/>
        <d v="2025-04-18T00:00:00Z"/>
        <d v="2025-04-25T00:00:00Z"/>
        <d v="2025-04-24T00:00:00Z"/>
        <d v="2025-04-27T00:00:00Z"/>
        <d v="2025-05-19T00:00:00Z"/>
        <d v="2025-05-30T00:00:00Z"/>
        <d v="2025-04-29T00:00:00Z"/>
        <d v="2025-05-01T00:00:00Z"/>
        <d v="2025-04-30T00:00:00Z"/>
        <d v="2025-05-31T00:00:00Z"/>
        <s v="31/04/2025"/>
        <d v="2025-03-06T00:00:00Z"/>
        <d v="2025-05-04T00:00:00Z"/>
        <d v="2025-05-05T00:00:00Z"/>
        <d v="2025-05-02T00:00:00Z"/>
        <d v="2025-05-14T00:00:00Z"/>
        <d v="2025-05-23T00:00:00Z"/>
        <d v="2025-05-08T00:00:00Z"/>
        <d v="2025-05-21T00:00:00Z"/>
        <d v="2025-05-10T00:00:00Z"/>
        <d v="2025-05-16T00:00:00Z"/>
        <d v="2025-05-25T00:00:00Z"/>
        <d v="2025-06-22T00:00:00Z"/>
        <d v="2025-06-30T00:00:00Z"/>
        <d v="2025-05-20T00:00:00Z"/>
        <d v="2025-05-15T00:00:00Z"/>
        <d v="2025-05-17T00:00:00Z"/>
        <d v="2025-07-08T00:00:00Z"/>
        <d v="2025-05-29T00:00:00Z"/>
        <d v="2025-05-22T00:00:00Z"/>
        <d v="2025-07-13T00:00:00Z"/>
        <d v="2025-07-16T00:00:00Z"/>
        <d v="2025-01-17T00:00:00Z"/>
        <d v="2025-06-10T00:00:00Z"/>
        <d v="2025-06-04T00:00:00Z"/>
        <d v="2025-06-05T00:00:00Z"/>
        <d v="2025-02-11T00:00:00Z"/>
        <d v="2025-06-11T00:00:00Z"/>
        <d v="2025-06-13T00:00:00Z"/>
        <d v="2025-04-22T00:00:00Z"/>
        <d v="2025-06-25T00:00:00Z"/>
        <d v="2025-06-18T00:00:00Z"/>
        <d v="2025-06-26T00:00:00Z"/>
        <d v="2025-06-24T00:00:00Z"/>
        <d v="2025-06-29T00:00:00Z"/>
        <d v="2025-07-03T00:00:00Z"/>
        <d v="2025-06-20T00:00:00Z"/>
        <d v="2025-06-28T00:00:00Z"/>
        <d v="2025-07-26T00:00:00Z"/>
        <s v="31/06/2025"/>
        <d v="2025-07-07T00:00:00Z"/>
        <d v="2025-07-18T00:00:00Z"/>
        <d v="2025-06-27T00:00:00Z"/>
        <d v="2025-07-11T00:00:00Z"/>
        <d v="2025-07-04T00:00:00Z"/>
        <d v="2025-07-17T00:00:00Z"/>
        <d v="2025-07-05T00:00:00Z"/>
        <d v="2024-07-13T00:00:00Z"/>
        <d v="2025-07-10T00:00:00Z"/>
        <d v="2025-07-14T00:00:00Z"/>
        <d v="2025-07-19T00:00:00Z"/>
        <d v="2025-07-20T00:00:00Z"/>
        <d v="2025-07-22T00:00:00Z"/>
        <d v="2025-07-27T00:00:00Z"/>
        <d v="2025-07-23T00:00:00Z"/>
        <d v="2025-07-25T00:00:00Z"/>
        <d v="2025-08-15T00:00:00Z"/>
        <d v="2025-07-31T00:00:00Z"/>
        <d v="2025-07-28T00:00:00Z"/>
        <d v="2025-07-29T00:00:00Z"/>
        <d v="2025-08-10T00:00:00Z"/>
        <d v="2025-06-21T00:00:00Z"/>
        <d v="2025-01-28T00:00:00Z"/>
        <d v="2025-06-19T00:00:00Z"/>
        <d v="2024-10-04T00:00:00Z"/>
        <d v="2024-11-25T00:00:00Z"/>
        <d v="2025-08-07T00:00:00Z"/>
        <d v="2025-06-09T00:00:00Z"/>
        <d v="2024-10-10T00:00:00Z"/>
        <d v="2024-10-25T00:00:00Z"/>
        <d v="2024-10-30T00:00:00Z"/>
        <d v="2024-12-24T00:00:00Z"/>
        <d v="2024-07-08T00:00:00Z"/>
        <d v="2025-03-20T00:00:00Z"/>
        <d v="2025-04-28T00:00:00Z"/>
        <d v="2024-09-22T00:00:00Z"/>
        <d v="2024-12-22T00:00:00Z"/>
        <d v="2025-01-11T00:00:00Z"/>
        <d v="2025-03-17T00:00:00Z"/>
        <d v="2024-05-09T00:00:00Z"/>
        <d v="2024-12-28T00:00:00Z"/>
        <d v="2025-01-04T00:00:00Z"/>
        <d v="2024-04-14T00:00:00Z"/>
        <d v="2024-04-29T00:00:00Z"/>
        <d v="2024-05-11T00:00:00Z"/>
        <d v="2024-05-28T00:00:00Z"/>
        <d v="2024-06-02T00:00:00Z"/>
        <d v="2024-06-05T00:00:00Z"/>
        <d v="2024-06-07T00:00:00Z"/>
        <d v="2024-06-21T00:00:00Z"/>
        <d v="2024-07-03T00:00:00Z"/>
        <d v="2024-07-15T00:00:00Z"/>
        <d v="2024-07-28T00:00:00Z"/>
        <d v="2024-09-16T00:00:00Z"/>
        <d v="2024-09-27T00:00:00Z"/>
        <d v="2024-10-07T00:00:00Z"/>
        <d v="2024-10-20T00:00:00Z"/>
        <d v="2024-10-21T00:00:00Z"/>
        <d v="2025-02-06T00:00:00Z"/>
        <d v="2025-02-17T00:00:00Z"/>
        <d v="2025-02-23T00:00:00Z"/>
        <d v="2024-03-01T00:00:00Z"/>
        <d v="2024-12-12T00:00:00Z"/>
        <d v="2024-04-07T00:00:00Z"/>
        <d v="2024-04-11T00:00:00Z"/>
        <d v="2024-04-21T00:00:00Z"/>
        <d v="2024-05-19T00:00:00Z"/>
        <d v="2024-05-20T00:00:00Z"/>
        <d v="2024-08-11T00:00:00Z"/>
        <d v="2024-10-15T00:00:00Z"/>
        <d v="2025-02-15T00:00:00Z"/>
        <d v="2025-03-08T00:00:00Z"/>
        <d v="2024-07-16T00:00:00Z"/>
        <d v="2024-09-15T00:00:00Z"/>
        <d v="2024-10-17T00:00:00Z"/>
        <d v="2024-12-16T00:00:00Z"/>
        <d v="2024-11-14T00:00:00Z"/>
        <d v="2024-10-05T00:00:00Z"/>
        <d v="2025-03-11T00:00:00Z"/>
        <d v="2024-08-07T00:00:00Z"/>
        <d v="2024-08-26T00:00:00Z"/>
        <d v="2024-04-28T00:00:00Z"/>
        <d v="2024-05-03T00:00:00Z"/>
        <d v="2024-05-25T00:00:00Z"/>
        <d v="2025-01-02T00:00:00Z"/>
        <d v="2024-08-12T00:00:00Z"/>
        <d v="2024-04-30T00:00:00Z"/>
        <d v="2024-05-12T00:00:00Z"/>
        <d v="2024-04-10T00:00:00Z"/>
        <d v="2024-11-24T00:00:00Z"/>
        <n v="-619359.0"/>
        <d v="2024-04-15T00:00:00Z"/>
        <d v="2024-08-04T00:00:00Z"/>
        <d v="2024-09-03T00:00:00Z"/>
        <d v="2024-10-16T00:00:00Z"/>
        <d v="2024-12-13T00:00:00Z"/>
        <d v="2025-01-06T00:00:00Z"/>
        <d v="2025-02-24T00:00:00Z"/>
        <d v="2024-12-21T00:00:00Z"/>
        <d v="2024-06-27T00:00:00Z"/>
        <d v="2024-09-01T00:00:00Z"/>
        <d v="2024-10-31T00:00:00Z"/>
        <d v="2024-11-23T00:00:00Z"/>
        <d v="2024-02-15T00:00:00Z"/>
        <d v="2024-05-15T00:00:00Z"/>
        <d v="2024-06-14T00:00:00Z"/>
        <d v="2024-07-27T00:00:00Z"/>
        <d v="2024-09-14T00:00:00Z"/>
        <d v="2024-09-17T00:00:00Z"/>
        <d v="2024-10-08T00:00:00Z"/>
        <d v="2024-06-08T00:00:00Z"/>
        <d v="2024-06-11T00:00:00Z"/>
        <d v="2024-12-20T00:00:00Z"/>
        <d v="2023-02-01T00:00:00Z"/>
        <d v="2024-02-01T00:00:00Z"/>
        <d v="2024-03-28T00:00:00Z"/>
        <d v="2024-03-31T00:00:00Z"/>
        <d v="2024-08-29T00:00:00Z"/>
        <d v="2024-11-03T00:00:00Z"/>
        <d v="2024-12-06T00:00:00Z"/>
        <d v="2024-12-23T00:00:00Z"/>
        <d v="2024-07-11T00:00:00Z"/>
        <d v="2024-08-19T00:00:00Z"/>
        <d v="2025-03-27T00:00:00Z"/>
        <d v="2025-09-15T00:00:00Z"/>
        <d v="2025-08-03T00:00:00Z"/>
        <d v="2025-05-18T00:00:00Z"/>
        <d v="2025-08-14T00:00:00Z"/>
        <d v="2025-08-08T00:00:00Z"/>
        <d v="2025-08-24T00:00:00Z"/>
        <d v="2025-08-13T00:00:00Z"/>
        <d v="2025-09-03T00:00:00Z"/>
        <d v="2025-08-21T00:00:00Z"/>
        <d v="2025-09-06T00:00:00Z"/>
        <d v="2025-09-01T00:00:00Z"/>
        <d v="2025-09-08T00:00:00Z"/>
        <d v="2025-09-19T00:00:00Z"/>
        <d v="2025-09-09T00:00:00Z"/>
        <d v="2025-10-03T00:00:00Z"/>
        <d v="2025-10-15T00:00:00Z"/>
      </sharedItems>
    </cacheField>
    <cacheField name="Status" numFmtId="0">
      <sharedItems containsBlank="1">
        <s v="Fait"/>
        <s v="Facture à envoyer"/>
        <s v="Script Revision Marque"/>
        <s v="Video Validée Marque"/>
        <s v="Video Revision Marque"/>
        <m/>
        <s v="Colis Reçu?"/>
        <s v="Script Validée Marque"/>
      </sharedItems>
    </cacheField>
    <cacheField name="Commentaire" numFmtId="0">
      <sharedItems containsBlank="1">
        <m/>
        <s v="ne pas mentionner d'autres marques 7 jours avant et après @ "/>
        <s v="resultat concours"/>
        <s v="en attente validation marque"/>
        <s v="VALIDÉ"/>
        <s v="Preview Validée"/>
        <s v="⚠️⚠️ demander à Inès code promo vs lien (car code différent)"/>
        <s v="à envoyer à la marque"/>
        <s v="en attente validation"/>
        <s v="envoyer facture"/>
        <s v="en attente info facturation"/>
        <s v="Ne pas envoyer facture au client mais faire une factureEn $$ une fois reception et convertion"/>
        <s v="brief partagé"/>
        <s v="ne pas poster 24h après ⚠️ verifier date (colis reçu le 23/05 = 3S)"/>
        <s v="en attente affiliate code"/>
        <s v="video"/>
        <s v="pas d'autres collabs 3 jours avant et après"/>
        <s v="commande passée"/>
        <s v="⚠️"/>
        <s v="date post à confirmer"/>
        <s v="DESCRIPTION (changement à faire) =&gt; Nouveautés @Anastasia Beverly Hills : Beauty balm &amp; Blurring serum blush ✨ Available from xxxx at Sephora all shades online and limited assortment in store #AD #ABHBLUSH #BLUSHHACK #LIQUIDBLUSH #ABHBeautyBalm #Anastasia"/>
        <s v="DESCRIPTION (changement à faire) =&gt;Makeup After Beachhh with Beauty Balm and Blurring Serum Blush @ANASTASIABEVERLYHILLS available from xxxx at Sephora all shades online and limited assortment in store. (il faudra remplacer les xx par la date de sortie, j"/>
        <s v="brouillon"/>
        <s v="DESCRIPTION (changement à faire) =&gt;⚠️ Date sortie SEPHORA"/>
        <s v="envoyer video à jour que Lily a partagé le 13/08"/>
        <s v="SUN SERUM"/>
        <s v="Partager ad code // DESCRIPTION (changement à faire) =&gt; The perfect complexion for this summer is: Beauty Balm and Blurring Serum Blush by @ANASTASIABEVERLYHILLS vavailable from xxxx (à remplacer par la date quand nous l'aurons) at Sephora all shades onli"/>
        <s v="une fois le paiement paypal faire facture pour € exact"/>
        <s v="DESCRIPTION (changement à faire) =&gt;"/>
        <s v="ajouter avant après"/>
        <s v="attendre retour autres factures"/>
        <s v="pas poster +3/-3   // partager ad code"/>
        <s v="envoyer facture 09/09 avec médiatisation + contenu"/>
        <s v="pas possible de poster le 23"/>
        <s v="⚠️ Dates Mixa -3+3 pas de collabs // date à confirmer"/>
        <s v="à poster"/>
        <s v="médiatisation à confirmer +100€"/>
        <s v="recuperer lien tacké pour IGs"/>
        <s v="IG"/>
        <s v="à refaire (réhaussement de cils)"/>
        <s v="24h no post any // 3 weeks of use"/>
        <s v="faire valider le contenu"/>
        <s v="+code boost"/>
        <s v="pas de média"/>
        <s v="date à définir"/>
        <s v="PERSONALISATION"/>
        <s v="draft: 3 jours apres reception // 26/09/2024 au plus tard // pas de post 12h apres poster"/>
        <s v="modif sur caption"/>
        <s v="Woo Juicy Tubes"/>
        <s v="facture à envoyer mais attendre ad code JEANNE"/>
        <s v="attendre Code boost"/>
        <s v="Facture à faire"/>
        <s v="Tracking Link 72h BIO https://testsgz.app.link/4hqEOX8xbNb"/>
        <s v="modifier caption  / pas de post 24h"/>
        <s v="en attente colis"/>
        <s v="18h"/>
        <s v="(+ usage rights + TikTok spark ads + IG ad codes"/>
        <s v="Reception Colis"/>
        <s v="video+ description"/>
        <s v="activer la fonctionnalité &quot;collaboration commercial&quot;"/>
        <s v="j'ai envoyé une facture en € mais c'est en dollar"/>
        <s v="125 de media à confimer "/>
        <s v="date à confirmer (7jours apres réception colis"/>
        <s v="commande"/>
        <s v="30j Myriam K entre chaque mois"/>
        <s v="cross post IG TT"/>
        <s v="mediat"/>
        <s v="ajouter lien en bio"/>
        <s v="Cross post IG + story swipe"/>
        <s v="rajouter code + 23% par contre impossible de refaire video modifs"/>
        <s v="mais ajouter ingrédient"/>
        <s v="facture faite"/>
        <s v="boost"/>
        <s v="preview"/>
        <s v="attente reception colis"/>
        <s v="facture au 3/03 à faire et envoyer"/>
        <s v="voir pour ajouter Ad"/>
        <s v=" "/>
        <s v="TT + Médiat"/>
        <s v="script idée creat TT médiat : du 1er au 27 avril !"/>
        <s v="médiat de 100€ en plus validée?"/>
        <s v="IGS à partager      IGs+ TIKTOK"/>
        <s v="1 TT"/>
        <s v="Pendant le repas"/>
        <s v="IG Reel médiat 01/03 au 27/03"/>
        <s v="02/03=&gt; idée creative ///// 10/03/2025 brouillon"/>
        <s v="1 IG reel + 1 IGs (3sets) AD CODE⚠️"/>
        <s v="dont 250€ de mediat"/>
        <s v="contrat à faire"/>
        <s v="en attente retour de la marque pour feu vert post"/>
        <s v="poster et partager ad code avant 12h"/>
        <s v="TT"/>
        <s v="x3 videos "/>
        <s v="pas besoin de valider preview 2 stories (10/04 et 11/04)"/>
        <s v="link in bio"/>
        <s v="avec ad code"/>
        <s v="⚠️changement facture - se referer au mail"/>
        <s v="médiatisation"/>
        <s v="dont 250€ mediat"/>
        <s v="integration produit"/>
        <s v="IG reel"/>
        <s v="350€ au lieu de 195 pour la derniere"/>
        <s v="IGS  "/>
        <s v="23/04/2025 preview et 16/04 idée creative"/>
        <s v="script  et preview le 01/05/2025"/>
        <s v="script"/>
        <s v="TT IGreel SNAP"/>
        <s v="poster sur TT"/>
        <s v="81€ en option?"/>
        <s v=": https://amzn.to/3Eubtp1"/>
        <s v="Comme beaucoup de followers lui demandent comment faire partir les taches d’acné, elle pourrait créer une vidéo sous l’un de ces formats : « J’ai trouvé un appareil magique pour éliminer les taches d’acné ! » Je présente le produit en détail.Je montre com"/>
        <s v="avec 100e d'ad code inclu"/>
        <s v="vidéo ok descritpion a modifier"/>
        <s v="TT add code a recup"/>
        <s v="GR check dates"/>
        <s v="pas besoin de revision"/>
        <s v="verifier si Lily a posté et partager lien video"/>
        <s v="Video tournée avant Script // envoyer video quand meme"/>
        <s v="partager les captions modifier repost ig"/>
        <s v="Contenu attendu par la marque"/>
        <s v="IGs ANAIS20 20% valable sur ensemble produit du site"/>
        <s v="médiat"/>
        <s v="TT ANAIS20 20% valable sur ensemble produit du site"/>
        <s v="Script 18/06 TT"/>
        <s v="One INS reel + 30 days ad &amp; organic usage rights+ link in bio"/>
        <s v="idée creative"/>
        <s v="manque HD + Sous Titres"/>
        <s v="idée creative à partager"/>
        <s v="TT + Tiktok Shop (reassort le 12/06"/>
        <s v="Script 18/06 IG + Cross Post Reel + IGs"/>
        <s v="UGC"/>
        <s v="Beach Babe Hair Waver Campaign"/>
        <s v="partager les stats dès le 18 juillet ?"/>
        <s v="Tiktok/ pas chez elle avant le 1 er juillet "/>
        <s v="Tiktok"/>
        <s v="partager dès le 24/07 les screens des statistiques de son contenu UGC aussi cession de droit partager la video en HD"/>
        <s v="4EX"/>
        <s v="TT + IGr"/>
        <s v="on a pas le brief"/>
        <s v="n'a pas le produit"/>
        <s v="avec mediat"/>
        <s v="IG + TT cross post + ad code +UGC"/>
        <s v="3 videos"/>
        <s v="Code promo perso à partager"/>
        <s v="mettre explications en anglais"/>
        <s v="⚠️ Gifting voir avec Gauthier "/>
        <s v="POUR CONTENU UGC AVANT AGENCE"/>
        <s v="TT + Tiktok Shop"/>
        <s v="partager stats"/>
        <s v="pas fait "/>
        <s v="16h30"/>
        <s v="partager à Jolt les détails pour la campagne (date, orna...)"/>
        <s v=": #Kiehlsfrance (TikTok) et @kiehlsfrance (Instagram) et le hashtag : #HYDRATATION"/>
        <s v="Fonctionnement Nice Work"/>
        <s v="3 contenus // pas d'exclu"/>
        <s v="https://docs.google.com/presentation/d/1q4NE7BfV_3-rP4IUQJmAq-Et7OVpK16CYhR5OVpmQYo/edit?usp=sharing"/>
        <s v="Fonctionnement Nice Work - Envoyer lien marque"/>
        <s v="Affiliation 10% // 2 post/mois"/>
        <s v="https://www.tiktok.com/@lavishhcam/video/7384102579849956641?lang=en"/>
        <s v="Reçu"/>
        <s v="Médiatisation "/>
        <s v="envoyer facture MÉDIA EN OPTION 250€ 4semaines 7-18 Octobre"/>
        <s v="Google Ads"/>
        <s v="La semaine du 1er avril"/>
        <s v="7 jours après reception sac"/>
        <s v="ATTENTION NOUVEAU BRIEF?"/>
        <s v="La semaine du 15 avril"/>
        <s v="VOIR MAIL POUR BRIEF"/>
        <s v="⚠️chiara_12  + Lien dans bio"/>
        <s v="Libre"/>
        <s v="Tester les produits et leur faire un retour. Si tu aimes pourquoi pas poster sur Tiktok"/>
        <s v="Photo avant/après"/>
        <s v="pas reçu"/>
        <s v="⚠️bleulividee_12 + Lien dans Bio"/>
        <s v="story juste"/>
        <s v="X2 video"/>
        <s v="en attente Micro Entreprise Jeanne"/>
        <s v="Brief dans mail Sparkle"/>
        <s v="colis pas encore reçu (30/11)"/>
        <s v="Contenu libre"/>
        <s v="laurine_12 + Lien dans bio"/>
        <s v="Post obligatoire sans brief"/>
        <s v="attendre description"/>
        <s v="Dès que possible"/>
        <s v="à poster dès que possible"/>
        <s v="retard livraison"/>
        <s v="Nice Work Fonctionnement "/>
        <s v="https://www.tiktok.com/@lilyy.nl/video/7361800761090526497"/>
        <s v="Attendre avant de facturer Médiatisation "/>
        <s v="Showroom 16h"/>
        <s v="RDV 11h Showroom"/>
        <s v="pas de preview"/>
        <s v="Nice Work"/>
        <s v="https://www.tiktok.com/@melf.fnt/video/7384078329554423073"/>
        <s v="D'ici 2 semaines après 20/03/24"/>
        <s v="https://www.tiktok.com/@melf.fnt/video/7360752268607491360"/>
        <s v="En attente date"/>
        <s v="colis confidentiel jussqu'au 08/10"/>
        <s v="Rappel"/>
        <s v="https://www.tiktok.com/@morgane.mrckk/video/7384031967643307296"/>
        <s v="10h à 18h"/>
        <s v="partager video TT"/>
        <s v="en attente validation contrat"/>
        <s v="Brief"/>
        <s v="Dès réception colis"/>
        <s v="ads big cils"/>
        <s v="RDV 12h Showroom"/>
        <s v="description"/>
        <s v="mercredi 18/09, de 19h à 21h30,"/>
        <s v="IG + TT Cross Post"/>
        <s v="n'a pas reçu les produits"/>
        <s v="demander ce qu'elle pense du produit"/>
        <s v="colis non reçu"/>
        <s v="1 mois d'utilisation? si elle a bien utiliser le produit? lui rappeler de bien mettre photo avant/après dans l video"/>
        <s v="acheter produit Script 18/06 IG + Cross Post Reel + IGs"/>
        <s v="colis recu ? "/>
        <s v="colis recu oui "/>
        <s v="colis recu ? oui "/>
        <s v="IG + Cross post TT"/>
        <s v="x5"/>
        <s v="x6"/>
      </sharedItems>
    </cacheField>
    <cacheField name="Description rapide de la demande" numFmtId="0">
      <sharedItems containsBlank="1">
        <s v="vidéo dédiée maquillage avec la marque Bell."/>
        <s v="post obligatoire avec brief"/>
        <s v="post obligatoire  "/>
        <s v="Brief à respecter"/>
        <s v="Thème du book"/>
        <m/>
        <s v="Post Obligatoire "/>
        <s v="Brief dans mail"/>
        <s v="Ne pas poster / Suivre brief"/>
        <s v="Post avec brief"/>
        <s v="Libre"/>
        <s v="Seeding"/>
        <s v="NiceWork"/>
        <s v="Nice Work"/>
        <s v="Post Obligatoire"/>
        <s v="Fonctionnement Nice Work"/>
        <s v="Pas de brief"/>
        <s v="Consignes Nice Work"/>
        <s v="Post obligatoire sans brief"/>
        <s v="1 Tiktok + 1 Reel"/>
        <s v="1 Tiktok + 1 IG story"/>
        <s v="Post non obligatoire"/>
        <s v="Libre - colis presse"/>
        <s v="Evenement"/>
        <s v="Sans obligation de post"/>
        <s v="Obligation de post"/>
        <s v="Nice Work Fonctionnement"/>
        <s v="Médiatisation"/>
        <s v="Apport D'affaire"/>
        <s v="Promouvoir les 2 produits"/>
        <s v="Voir Brief mail"/>
        <s v="Event"/>
      </sharedItems>
    </cacheField>
    <cacheField name="Format (influence vs UGC)" numFmtId="166">
      <sharedItems containsBlank="1">
        <s v="Influence"/>
        <m/>
        <s v="UGC "/>
        <s v="UGC"/>
        <s v="Evenement"/>
        <s v="Skeepers"/>
        <s v="Interview"/>
        <s v="Médiatisation"/>
      </sharedItems>
    </cacheField>
    <cacheField name="Rémunération totale">
      <sharedItems containsBlank="1" containsMixedTypes="1" containsNumber="1">
        <n v="70.0"/>
        <n v="130.0"/>
        <n v="200.0"/>
        <s v="Gifting + Médiatisation"/>
        <s v="20€/semaine de médiatisation"/>
        <n v="350.0"/>
        <s v="Comptabilisé"/>
        <n v="500.0"/>
        <n v="150.0"/>
        <s v="Gifting"/>
        <n v="100.0"/>
        <m/>
        <n v="650.0"/>
        <n v="450.0"/>
        <n v="629.92"/>
        <n v="1800.0"/>
        <n v="175.0"/>
        <n v="250.0"/>
        <n v="1000.0"/>
        <n v="230.0"/>
        <n v="300.0"/>
        <n v="80.0"/>
        <n v="531.0"/>
        <n v="400.0"/>
        <n v="241.28"/>
        <n v="75.0"/>
        <n v="275.0"/>
        <n v="137.5"/>
        <n v="600.0"/>
        <n v="526.48"/>
        <n v="625.0"/>
        <n v="1250.0"/>
        <n v="800.0"/>
        <n v="699.2"/>
        <n v="225.0"/>
        <n v="1500.0"/>
        <n v="357.935"/>
        <n v="173.0"/>
        <n v="1200.0"/>
        <n v="233.33333333333334"/>
        <n v="750.0"/>
        <n v="700.0"/>
        <n v="393.3"/>
        <n v="125.0"/>
        <n v="382.5"/>
        <n v="325.0"/>
        <n v="0.0"/>
        <n v="170.0"/>
        <n v="900.0"/>
        <n v="375.0"/>
        <n v="195.0"/>
        <n v="950.0"/>
        <n v="1012.5"/>
        <n v="2000.0"/>
        <n v="333.3333333333333"/>
        <n v="582.0"/>
        <n v="291.0"/>
        <n v="970.0"/>
        <n v="1850.0"/>
        <n v="940.0"/>
        <n v="2500.0"/>
        <n v="850.0"/>
        <n v="1100.0"/>
        <n v="810.0"/>
        <n v="552.0"/>
        <n v="550.13"/>
        <n v="1400.0"/>
        <n v="1125.0"/>
        <n v="395.09"/>
        <n v="410.72"/>
        <n v="550.0"/>
        <n v="508.3"/>
        <n v="370.0"/>
        <n v="1300.0"/>
        <n v="492.87"/>
        <n v="166.66666666666666"/>
        <n v="3298.0"/>
        <n v="666.6666666666666"/>
        <n v="620.0"/>
        <n v="112.5"/>
        <n v="217.4"/>
        <n v="3125.0"/>
        <n v="266.6666666666667"/>
        <n v="310.0"/>
        <n v="880.0"/>
        <n v="1290.0"/>
        <n v="840.0"/>
        <n v="602.0"/>
        <n v="190.0"/>
        <s v="Affiliation"/>
        <s v="10% Commission"/>
        <s v="Showroom"/>
        <s v="Evenement"/>
        <n v="235.0"/>
        <n v="144.0"/>
        <s v="Affiliate"/>
        <s v="Event"/>
        <n v="933.3333333333334"/>
        <n v="3000.0"/>
        <n v="4500.0"/>
        <n v="588.0"/>
        <n v="471.27"/>
        <s v="PR"/>
        <n v="2985.0"/>
        <n v="270.0"/>
        <n v="2100.0"/>
        <n v="2550.0"/>
        <n v="1280.0"/>
      </sharedItems>
    </cacheField>
    <cacheField name="Date Stats">
      <sharedItems containsDate="1" containsString="0" containsBlank="1" containsMixedTypes="1">
        <m/>
        <d v="2024-04-16T00:00:00Z"/>
        <d v="2024-04-29T00:00:00Z"/>
        <d v="2024-04-25T00:00:00Z"/>
        <d v="2024-05-08T00:00:00Z"/>
        <d v="2024-05-11T00:00:00Z"/>
        <d v="2024-05-31T00:00:00Z"/>
        <n v="105.0"/>
        <n v="96.25"/>
        <n v="280.0"/>
        <n v="140.0"/>
        <n v="350.0"/>
        <n v="420.0"/>
      </sharedItems>
    </cacheField>
    <cacheField name="Lien video" numFmtId="0">
      <sharedItems containsBlank="1">
        <m/>
        <s v="https://www.tiktok.com/@melf.fnt/video/7382192283279494432"/>
        <s v="https://www.tiktok.com/@lilyy.nl/video/7383728309110050080"/>
        <s v="https://www.tiktok.com/@lolatagliaferroo/video/7383998473613479201"/>
        <s v="https://www.tiktok.com/@lavishhcam/video/7390792553022442784?lang=en"/>
        <s v="https://www.tiktok.com/@chiaraaaa.bnc/video/7391058568260111649"/>
        <s v="https://www.tiktok.com/@lina.mkrn2/video/7390790437969104161"/>
        <s v="https://www.tiktok.com/@perrine.trp/video/7391590382611516705"/>
        <s v="https://www.tiktok.com/@morgane.mrckk/video/7390710366738681121"/>
        <s v="https://www.tiktok.com/@perrine.trp/video/7394891259883654433"/>
        <s v="https://www.tiktok.com/@___oraane/video/7392965105924738336"/>
        <s v="https://www.tiktok.com/@paupibeauty/video/7395224727377251617"/>
        <s v="https://www.tiktok.com/@lolatagliaferroo/video/7395519666556259616"/>
        <s v="https://www.tiktok.com/@melf.fnt/video/7393286593676660000"/>
        <s v="https://www.tiktok.com/@perrine.trp/video/7393392477878701345"/>
        <s v="https://www.tiktok.com/@morgane.mrckk/video/7394042444519591201"/>
        <s v="https://www.tiktok.com/@paupibeauty/video/7394501330364075296"/>
        <s v="https://www.tiktok.com/@paupibeauty/video/7397449808555937056?_r=1&amp;_t=8oSOvlgWeMi"/>
        <s v="https://www.tiktok.com/@lolatagliaferroo/video/7398086597721263393"/>
        <s v="https://www.tiktok.com/@___oraane/video/7398548157925248288"/>
        <s v="https://vm.tiktok.com/ZGenfd12c/"/>
        <s v="https://www.tiktok.com/@liserdg/video/7397464254451911969"/>
        <s v="https://www.tiktok.com/@liserdg/video/7401195152984870176"/>
        <s v="https://www.tiktok.com/@lilyy.nl/video/7403767696283766048"/>
        <s v="https://www.tiktok.com/@morgane.mrckk/video/7411931626252422433"/>
        <s v="https://www.tiktok.com/@___oraane/video/7403673068578688289"/>
        <s v="https://www.tiktok.com/@lavishhcam/video/7406036857340824865?lang=en"/>
        <s v="https://www.tiktok.com/@lilyy.nl/video/7407093682731502880"/>
        <s v="https://www.tiktok.com/@paupibeauty/video/7403439757415533856?_r=1&amp;_t=8otpeszl9rE"/>
        <s v="https://www.tiktok.com/@perrine.trp/video/7411953653143129376"/>
        <s v="https://www.tiktok.com/@lavishhcam/video/7407487090046389537?lang=en"/>
        <s v="https://www.tiktok.com/@melf.fnt/video/7408135764502007073"/>
        <s v="https://www.tiktok.com/@lavishhcam/video/7406708879695875360?lang=en"/>
        <s v="https://www.tiktok.com/@lavishhcam/video/7411562966337834272?lang=en"/>
        <s v="https://www.tiktok.com/@morgane.mrckk/video/7406767459749055777"/>
        <s v="https://www.tiktok.com/@lilyy.nl/video/7411947131440827681"/>
        <s v="https://www.tiktok.com/@julianebernard/video/7415999447202663713"/>
        <s v="https://www.tiktok.com/@lilyy.nl/video/7412698376162135328"/>
        <s v="https://www.tiktok.com/@melf.fnt/video/7421252203458874656"/>
        <s v="https://www.tiktok.com/@melf.fnt/video/7417119746270776609"/>
        <s v="https://www.tiktok.com/@melf.fnt/video/7422703664969616673"/>
        <s v="https://www.tiktok.com/@paupibeauty/video/7416729046316338465?_r=1&amp;_t=8psjQcSNmPA"/>
        <s v="https://www.tiktok.com/@jessicadcstr/video/7401576606319398177"/>
        <s v="https://tiktok.com/@mary.zhh/video/7416774634885926176?lang=en"/>
        <s v="https://www.tiktok.com/@chiaraaaa.bnc/video/7417486710386232609"/>
        <s v="https://www.tiktok.com/@perrine.trp/video/7420530124208016672"/>
        <s v="https://www.tiktok.com/@paupibeauty/video/7418269204975078689"/>
        <s v="https://www.tiktok.com/@jeanne_bayart/video/7425572834992344353?_r=1&amp;_t=8qXCYC0RFJY"/>
        <s v="https://www.tiktok.com/@jeanne_bayart/video/7437562970659491105?lang=en"/>
        <s v="https://www.tiktok.com/@___oraane/video/7434852783339195681?lang=en"/>
        <s v="https://www.tiktok.com/@melf.fnt/video/7430522334919822624"/>
        <s v="https://www.tiktok.com/@liserdg/video/7430136572063796513?lang=en"/>
        <s v="https://www.tiktok.com/@liserdg/video/7432768931619802401?lang=en"/>
        <s v="https://www.tiktok.com/@morgane.mrckk/video/7430757799249988896?lang=en"/>
        <s v="https://www.tiktok.com/@shaa_dl/video/7515842386795187478"/>
        <s v="https://www.tiktok.com/@___oraane/video/7419283054981664033"/>
        <s v="https://www.tiktok.com/@anaiswairyy/video/7433837110584479008?lang=en"/>
        <s v="https://www.tiktok.com/@chiaraaaa.bnc/video/7438003860733578528?lang=en"/>
        <s v="https://www.tiktok.com/@morgane.mrckk/video/7437476392905805089?lang=en"/>
        <s v="https://www.tiktok.com/@iimslma/video/7436438336383880480?lang=en"/>
        <s v="https://www.tiktok.com/@melf.fnt/video/7436438601740668192?_r=1&amp;_t=8rKy09eXARN"/>
        <s v="https://www.tiktok.com/@lavishhcam/video/7437477138430741792"/>
        <s v="https://www.tiktok.com/@julianebernard/video/7437454498747927841?lang=en"/>
        <s v="https://www.tiktok.com/@melf.fnt/video/7437532619706731809"/>
        <s v="https://www.tiktok.com/@anaiswairyy/video/7455393883908771094?lang=en"/>
        <s v="https://www.tiktok.com/@anaiswairyy/video/7469871245606030614?lang=en"/>
        <s v="https://www.tiktok.com/@___oraane/video/7450792735776296214?lang=en"/>
        <s v="https://www.tiktok.com/@___oraane/video/7449648582451350806?lang=en"/>
        <s v="https://www.tiktok.com/@melf.fnt/video/7441913953858489633"/>
        <s v="https://www.tiktok.com/@paupibeauty/video/7442018892454694176?_r=1&amp;_t=8rkWjFn0wJa"/>
        <s v="https://www.tiktok.com/@anaiswairyy?lang=en"/>
        <s v="https://www.tiktok.com/@lilyy.nl/video/7443863318730689814"/>
        <s v="https://www.tiktok.com/@jeanne_bayart/video/7442798993492479265?lang=en"/>
        <s v="https://www.tiktok.com/@iman_cvls/video/7451924438834089238?_r=1&amp;_t=8sTta62xc1u"/>
        <s v="https://www.tiktok.com/@iman_cvls/video/7452023214944947478?_r=1&amp;_t=8sWEGQqinJO"/>
        <s v="https://www.tiktok.com/@iman_cvls/video/7452403635708775702"/>
        <s v="https://www.tiktok.com/@jasmiinelife/video/7453739165205777686?lang=en"/>
        <s v="https://www.tiktok.com/@lavishhcam/video/7463441462252932374"/>
        <s v="https://www.tiktok.com/@iimslma/video/7465383468805999894?_r=1&amp;_t=ZN-8tTXg6qHkUY"/>
        <s v="https://www.tiktok.com/@iman_cvls/video/7465390038260485398?_t=ZN-8tTZG4XbMr0&amp;_r=1"/>
        <s v="https://www.tiktok.com/@liserdg/video/7465785595495763222?lang=en"/>
        <s v="https://www.tiktok.com/@la_gur/video/7467998009230363926?lang=en"/>
        <s v="75 de media"/>
        <s v="https://www.tiktok.com/@dounsbnl/video/7471295610063310102"/>
        <s v="https://www.tiktok.com/@lolatagliaferroo?lang=en"/>
        <s v="https://www.tiktok.com/@___oraane/video/7471294678306934038?lang=en"/>
        <s v="https://www.tiktok.com/@shaa_dl/video/7471336075559046422"/>
        <s v="https://www.tiktok.com/@dounsbnl/video/7451645404535442710"/>
        <s v="https://www.tiktok.com/@anaiswairyy/video/7471353868702502166?lang=en"/>
        <s v="https://www.tiktok.com/@dounsbnl/video/7473150812873788674?_t=ZN-8u36zKwjrx0&amp;_r=1"/>
        <s v="https://www.tiktok.com/@lolatagliaferroo/video/7473819808870534422?lang=en"/>
        <s v="https://www.tiktok.com/@paupibeauty/video/7473538347969875222?_r=1&amp;_t=ZN-8u4tYDuW4wQ"/>
        <s v="https://www.tiktok.com/@perrine.trp/video/7476172058406194454?lang=en"/>
        <s v="https://www.tiktok.com/@eloiseaubeneauu/video/7482020827924401451"/>
        <s v="https://www.tiktok.com/@julianebernard/video/7496568197135486230?_r=1&amp;_t=ZN-8vmOTilRwgg"/>
        <s v="https://www.tiktok.com/@iimslma/video/7485792482345618710?_r=1&amp;_t=ZN-8uz1T2hjhy6"/>
        <s v="https://www.tiktok.com/@dounsbnl/video/7476794031935147286"/>
        <s v="https://www.tiktok.com/@eloiseaubeneauu/video/7495738839487581470?_t=ZP-8viaG7wegWt&amp;_r=1"/>
        <s v="https://www.tiktok.com/@lilyy.nl/video/7493984160173034774"/>
        <s v="https://www.tiktok.com/@ttemarine/video/7495056234014379266"/>
        <s v="https://www.tiktok.com/@ttemarine/video/7494670749865757974"/>
        <s v="https://www.tiktok.com/@julianebernard/video/7493986086654315798?lang=en"/>
        <s v="https://www.tiktok.com/@paupibeauty/video/7493948630144011542"/>
        <s v="https://www.tiktok.com/@lavishhcam/video/7495428391882198295"/>
        <s v="https://www.tiktok.com/@la_gur/video/7499405044245204246?lang=en"/>
        <s v="https://www.tiktok.com/@sarah.bdii/video/7499149208293788950"/>
        <s v="https://www.tiktok.com/@jasmiinelife/video/7499164614366645526?lang=en"/>
        <s v="https://www.tiktok.com/@ttemarine/video/7499519504368569622"/>
        <s v="https://www.tiktok.com/@lovelymorgane/video/7499894490853821718?_r=1&amp;_t=8kth38xkh3x"/>
        <s v="https://www.tiktok.com/@arwen.arwen1/video/7506934371669101846?lang=en"/>
        <s v="https://www.tiktok.com/@farahdisiaque/video/7505057972834372886"/>
        <s v="https://www.tiktok.com/@paupibeauty/video/7506557930817277206?_t=ZN-8wW7MsM3mNy&amp;_r=1"/>
        <s v="https://www.tiktok.com/@lavishhcam/video/7505069359010794774"/>
        <s v="https://www.tiktok.com/@paupibeauty/video/7507679880100810007?_r=1&amp;_t=ZN-8wbG54dkxtO"/>
        <s v="https://www.tiktok.com/@iam.sissou/video/7526589360469265686?is_from_webapp=1&amp;sender_device=pc&amp;web_id=7504317976587437590"/>
        <s v="https://www.tiktok.com/@mary.zhh/video/7462430581402520854"/>
        <s v="https://www.tiktok.com/@mary.zhh/video/7460561651675303190"/>
        <s v="https://www.tiktok.com/@paupibeauty/video/7439768252269546785?_r=1&amp;_t=8raH38QLVtG"/>
        <s v="https://www.tiktok.com/@amani_mee/video/7494728696528522518"/>
        <s v="https://vm.tiktok.com/ZNdPeJgF7/"/>
        <s v="https://www.tiktok.com/@ttemarine/video/7522142648207936790?_t=ZN-8xfVHZaTphe&amp;_r=1"/>
        <s v="https://www.tiktok.com/@iam.sissou/video/7513475563936369942"/>
        <s v="https://www.tiktok.com/@iimslma/video/7522888104374701335"/>
        <s v="https://drive.google.com/drive/folders/19ToYFCpY-wQNqLL1X6hkS610Je7ZJWpH?usp=sharing"/>
        <s v="https://drive.google.com/drive/folders/1cqb0DvHrI2AEf5Y1mODPl-Wb-x2ZpIBF?usp=sharing"/>
        <s v="https://www.tiktok.com/@shaa_dl/video/7525111945536523542?_r=1&amp;_t=ZN-8xwa2XIbgXO"/>
        <s v="https://www.instagram.com/p/DL9s1T-ucxx/?hl=fr"/>
        <s v="https://www.tiktok.com/@___oraane/video/7525503490924416279"/>
        <s v="https://www.tiktok.com/@julianebernard/video/7522838166227864854?lang=en"/>
        <s v="https://www.tiktok.com/@laudewit/video/7519192074919365920"/>
        <s v="https://www.tiktok.com/@asmaenel/video/7526542702301826326?is_from_webapp=1&amp;sender_device=pc&amp;web_id=7504317976587437590"/>
        <s v="https://www.tiktok.com/@shaa_dl/video/7525111987638979862?_r=1&amp;_t=ZN-8xwa1oeBxCQ"/>
        <s v="https://www.tiktok.com/@juliette.pn/video/7525473712418622742?is_from_webapp=1&amp;sender_device=pc&amp;web_id=7504317976587437590"/>
        <s v="https://www.tiktok.com/@laudewit/video/7525483945366998305"/>
        <s v="https://www.tiktok.com/@julianebernard/video/7526982773156924694?_r=1&amp;_t=ZN-8y1f4d2rh1K"/>
        <s v="https://www.tiktok.com/@la_gur/video/7528400374802173206"/>
        <s v="https://www.tiktok.com/@paupibeauty/video/7529220565756857622"/>
        <s v="https://vm.tiktok.com/ZNHp1gFdSuU6L-Orqzs/"/>
        <s v="https://www.tiktok.com/@melissa.pndd/video/7526574135296773398?is_from_webapp=1&amp;sender_device=pc&amp;web_id=7504317976587437590"/>
        <s v="https://www.tiktok.com/@laudewit/video/7529089646714735905"/>
        <s v="https://www.tiktok.com/@guenaire/video/7532570588146076950"/>
        <s v="https://www.tiktok.com/@laudewit/video/7525765188893674784"/>
        <s v="https://www.tiktok.com/@sarah.bdii/video/7516951979084598550"/>
        <s v="https://www.tiktok.com/@anaiswairyy/video/7466167514402229526?lang=en"/>
        <s v="https://www.tiktok.com/@melissa.pndd/video/7514352561562946838"/>
        <s v="https://vm.tiktok.com/ZNdyXTXHb/"/>
        <s v="https://www.instagram.com/reel/DLc5EB4ogna/?utm_source=ig_web_copy_link"/>
        <s v="https://www.tiktok.com/@glennwolff/video/7517353745353559318?is_from_webapp=1&amp;sender_device=pc&amp;web_id=7504317976587437590"/>
        <s v="https://www.instagram.com/reel/DLXs9HIijUX/?utm_source=ig_web_copy_link&amp;igsh=MzEyc2ZyNmFwZTMw"/>
        <s v="https://www.tiktok.com/@lolatagliaferroo/video/7520567485473492246?is_from_webapp=1&amp;sender_device=pc&amp;web_id=7504317976587437590"/>
        <s v="https://www.tiktok.com/@melissa.pndd/video/7519911199744494850?is_from_webapp=1&amp;sender_device=pc&amp;web_id=7504317976587437590"/>
        <s v="https://www.tiktok.com/@___oraane/video/7518063433611480343?_t=ZN-8xMoEPKM08s&amp;_r=1"/>
        <s v="https://www.tiktok.com/@paupibeauty/video/7521283052488641814?is_from_webapp=1&amp;sender_device=pc&amp;web_id=7504317976587437590"/>
        <s v="https://www.tiktok.com/@sarah.bdii/video/7532173540204891414"/>
        <s v="https://www.tiktok.com/@shaa_dl/video/7414067609177476384"/>
        <s v="https://www.tiktok.com/@shaa_dl/video/7430530285852167457"/>
        <s v="https://www.tiktok.com/@shaa_dl/video/7456916860278295830?_t=ZN-8sqlAIVsOJS&amp;_r=1"/>
        <s v="https://www.tiktok.com/@amandambt_/video/7483639690327788822?lang=en"/>
        <s v="La première à 1 min 17 https://vm.tiktok.com/ZNdMWypK4/ La seconde à 1 min 32 https://vm.tiktok.com/ZNdMWUM5e/"/>
        <s v="https://www.instagram.com/reel/DFqvAlCNUMN/"/>
        <s v="https://www.tiktok.com/@arwen.arwen1/video/7453509821812280598?lang=en"/>
        <s v="https://www.tiktok.com/@arwen.arwen1/video/7453509775200980246?lang=en"/>
        <s v="https://www.tiktok.com/@arwen.arwen1/video/7453530509163973910?lang=en"/>
        <s v="https://www.tiktok.com/@lavishhcam/video/7372599354646957344"/>
        <s v="https://www.tiktok.com/@lavishhcam/video/7370721490632772896?lang=en"/>
        <s v="https://www.tiktok.com/@lavishhcam/video/7374120668813659425"/>
        <s v="https://vm.tiktok.com/ZGeGrsEfX/"/>
        <s v="https://www.tiktok.com/@lavishhcam/video/7392636437163773217"/>
        <s v="https://www.tiktok.com/@lavishhcam/video/7401082023797902625?lang=en"/>
        <s v="https://www.tiktok.com/@lavishhcam/video/7401156666479119649?lang=en"/>
        <s v="https://www.tiktok.com/@lavishhcam/video/7415270528665046305?lang=en"/>
        <s v="https://www.tiktok.com/@lavishhcam/video/7414065973084359968?lang=en"/>
        <s v="https://www.tiktok.com/@lavishhcam/video/7421861704159464736?lang=en"/>
        <s v="https://www.tiktok.com/@lavishhcam/video/7421578850808646944"/>
        <s v="https://www.tiktok.com/@lavishhcam/video/7424528927714020641"/>
        <s v="https://tiktok.com/@lavishhcam/video/7428536491384638753"/>
        <s v="https://www.tiktok.com/@lavishhcam/video/7431968536773299489"/>
        <s v="https://www.tiktok.com/@lavishhcam/video/7431640311199255840"/>
        <s v="https://www.tiktok.com/@lavishhcam/video/7442372621200575776"/>
        <s v="https://www.tiktok.com/@lavishhcam/video/7451273510346820886"/>
        <s v="https://www.tiktok.com/@lavishhcam/video/7465046952749616406"/>
        <s v="https://www.tiktok.com/@lavishhcam/video/7462439461763157270"/>
        <s v="https://www.tiktok.com/@lavishhcam/video/7467602307832745238?_r=1&amp;_t=ZN-8tpZSV3gUPG"/>
        <s v="https://www.tiktok.com/@lavishhcam/video/7481621153107217686?_t=ZN-8ufuB4coZpW&amp;_r=1"/>
        <s v="https://www.tiktok.com/@lavishhcam/video/7480248461112216854?_t=ZN-8uksUX9QNRG&amp;_r=1"/>
        <s v="https://www.tiktok.com/@lavishhcam/video/7395231761887759649?lang=en"/>
        <s v="https://www.tiktok.com/@lavishhcam/video/7398186484789988641?lang=en"/>
        <s v="https://www.tiktok.com/@lavishhcam/video/7365759408892103969?lang=en"/>
        <s v="https://www.tiktok.com/@lavishhcam/video/7401530328214441248?lang=en"/>
        <s v="https://www.tiktok.com/@lavishhcam/video/7394844935842778400?lang=en"/>
        <s v="https://www.tiktok.com/@chiaraaaa.bnc/video/7391983750164319520?_r=1&amp;_t=8o3MXv1mvZJ"/>
        <s v="https://www.tiktok.com/@chiaraaaa.bnc/video/7394423173132913952"/>
        <s v="https://www.tiktok.com/@chiaraaaa.bnc/video/7405297473117310240"/>
        <s v="https://www.tiktok.com/@chiaraaaa.bnc/video/7404583889974480161"/>
        <s v="https://www.tiktok.com/@chiaraaaa.bnc/video/7416745525149584673"/>
        <s v="https://www.tiktok.com/@chiaraaaa.bnc/video/7415682356973014305?_r=1&amp;_t=8pnu1Dc4LKK"/>
        <s v="https://www.tiktok.com/@chiaraaaa.bnc/video/7426062687051713824?lang=en"/>
        <s v="https://www.tiktok.com/@chiaraaaa.bnc/video/7429003433572715809?lang=en"/>
        <s v="https://www.tiktok.com/@dounsbnl/video/7431205107913493793"/>
        <s v="https://www.tiktok.com/@dounsbnl/video/7474747644808613142"/>
        <s v="https://www.instagram.com/p/DHT2-JnIB-6/"/>
        <s v="https://www.instagram.com/reel/DJMIRWMoL9E/?igsh=MTY5bnFnZW5mZGI2dA=="/>
        <s v="https://www.tiktok.com/@eloiseaubeneauu/video/7483491441663036718?_t=ZT-8uoTJcOEruw&amp;_r=1"/>
        <s v="https://www.tiktok.com/@eloiseaubeneauu/video/7507226915682389279"/>
        <s v="https://www.instagram.com/reel/DJPcuR3Idt7/?igsh=OW9lOXZyc2hucGI="/>
        <s v="https://www.tiktok.com/@farahdisiaque/video/7483922941864955158?_t=ZN-8uqT7rbpmb8&amp;_r=1"/>
        <s v="c"/>
        <s v="https://www.tiktok.com/@bleulividee/video/7372251599776877856"/>
        <s v="https://vm.tiktok.com/ZGepDFE5y/"/>
        <s v="https://www.tiktok.com/@bleulividee/video/7391910299361709344"/>
        <s v="https://www.tiktok.com/@bleulividee/video/7392682253026970912"/>
        <s v="https://www.tiktok.com/@bleulividee/video/7410370727486049568"/>
        <s v="https://www.tiktok.com/@bleulividee/video/7375559768552770849"/>
        <s v="https://www.tiktok.com/@bleulividee/video/7393388652753194273"/>
        <s v="https://www.tiktok.com/@bleulividee/video/7397487380388744480"/>
        <s v="https://www.tiktok.com/@bleulividee/video/7365539403646651680"/>
        <s v="https://www.tiktok.com/@la_gur/photo/7457999858377428246?lang=en"/>
        <s v="https://www.tiktok.com/@la_gur/video/7485089693206433046?lang=en"/>
        <s v="https://www.tiktok.com/@la_gur/video/7495733948685815062?lang=en"/>
        <s v="https://drive.google.com/drive/folders/1bllXfbrb3bUB07wpoG2Ebl0SK0IzuWTC?usp=sharing"/>
        <s v="https://www.tiktok.com/@hidaya_bl/video/7484394919600213270"/>
        <s v="https://www.tiktok.com/@iman_cvls/video/7397858754177551649"/>
        <s v="https://www.tiktok.com/@iman_cvls/video/7404463230673849633"/>
        <s v="https://www.tiktok.com/@iman_cvls/video/7414564750392184096"/>
        <s v="https://www.tiktok.com/@iman_cvls/video/7430007298031930656?lang=en"/>
        <s v="https://www.tiktok.com/@iman_cvls/video/7442289270481636640?lang=en"/>
        <s v="https://www.tiktok.com/@iman_cvls/video/7458583066676710678?_t=ZN-8syYtKZMQGF&amp;_r=1"/>
        <s v="https://vm.tiktok.com/ZNdrMWKU9/   https://vm.tiktok.com/ZNdrMbUmK/&#10;"/>
        <s v="https://www.tiktok.com/@iman_cvls/video/7405646497515113761"/>
        <s v="https://www.tiktok.com/@jasmiinelife/video/7402157667159969057"/>
        <s v="https://www.tiktok.com/@jasmiinelife/video/7398942773430308128"/>
        <s v="https://www.tiktok.com/@jasmiinelife/video/7411133691189071137"/>
        <s v="https://www.tiktok.com/@jasmiinelife/video/7431849329335209249?_t=8qzxJsLvUuH&amp;_r=1"/>
        <s v="https://www.tiktok.com/@jasmiinelife/video/7481342810977881366?_r=1&amp;_t=ZN-8ued6vIUIJa"/>
        <s v="https://www.tiktok.com/@jasmiinelife/video/7478010649835064598?_t=ZN-8uksMc15EkI&amp;_r=1"/>
        <s v="https://vm.tiktok.com/ZNdr6BsyX/"/>
        <s v="https://www.tiktok.com/@jasmiinelife/video/7406012010816638240"/>
        <s v="https://www.instagram.com/reel/DAEGiSUicZy/"/>
        <s v="https://www.tiktok.com/@jeanne_bayart/video/7405111060274924832"/>
        <s v="https://www.tiktok.com/@jeanne_bayart/video/7401629838697565472"/>
        <s v="https://www.instagram.com/reel/DHYZokMIocA/?igsh=MXJmNGNqYzdlNjZ6eg%3D%3D"/>
        <s v="https://www.tiktok.com/@jessicadcstr/video/7374052571708771616"/>
        <s v="https://www.tiktok.com/@jessicadcstr/video/7375545597094464801"/>
        <s v="https://www.tiktok.com/@jessicadcstr/video/7388534640631450913"/>
        <s v="https://www.tiktok.com/@jessicadcstr/video/7389326468137995552"/>
        <s v="https://www.tiktok.com/@jessicadcstr/video/7402283442785766688"/>
        <s v="https://www.tiktok.com/@jessicadcstr/video/7400003750661819681"/>
        <s v="https://www.tiktok.com/@jessicadcstr/video/7401184127703108897"/>
        <s v="https://www.tiktok.com/@jessicadcstr/video/7379634512625487137"/>
        <s v="https://www.tiktok.com/@jessicadcstr/video/7370005908706921761?q=jessicadcstr%20aromazone&amp;t=1716383408647"/>
        <s v="https://www.tiktok.com/@julianebernard/video/7375950922876194080"/>
        <s v="https://www.tiktok.com/@julianebernard/video/7394526025591409952"/>
        <s v="https://www.tiktok.com/@julianebernard/video/7415662953526988065"/>
        <s v="https://www.tiktok.com/@julianebernard/video/7422201837324979489"/>
        <s v="https://www.tiktok.com/@julianebernard/video/7423819976387218720?lang=en"/>
        <s v="https://www.tiktok.com/@julianebernard/video/7428654055754353952?lang=en"/>
        <s v="https://www.tiktok.com/@julianebernard/video/7431227139405466912?lang=en"/>
        <s v="https://www.tiktok.com/@julianebernard/video/7470566844924005654?lang=en"/>
        <s v="https://www.tiktok.com/@julianebernard/video/7480957956545203478?_t=ZN-8uflzHw9hd0&amp;_r=1"/>
        <s v="https://www.tiktok.com/@julianebernard/video/7483144981474053398?_r=1&amp;_t=ZN-8umtSsTCOtq"/>
        <s v="https://www.tiktok.com/@julianebernard/video/7505188044769611030?_r=1&amp;_t=ZN-8wUPhwBCpra"/>
        <s v="https://www.tiktok.com/@julianebernard/video/7387355316817612064"/>
        <s v="https://www.tiktok.com/@laurieespamm/video/7373977897394048289"/>
        <s v="https://www.tiktok.com/@laurieespamm/video/7372894690884029729"/>
        <s v="https://www.tiktok.com/@laurieespamm/video/7385220213458980129"/>
        <s v="https://www.tiktok.com/@laurieespamm/video/7403685503830084896?_r=1&amp;_t=8ouxXOOFEH3"/>
        <s v="https://www.tiktok.com/@laurieespamm/video/7385584137039596833"/>
        <s v="https://www.tiktok.com/@lilyy.nl/video/7372250529398836512"/>
        <s v="https://www.tiktok.com/@lilyy.nl/video/7374127349601701153"/>
        <s v="https://www.tiktok.com/@lilyy.nl/video/7377465554560453921"/>
        <s v="https://www.tiktok.com/@lilyy.nl/video/7382595650866662688"/>
        <s v="https://www.tiktok.com/@lilyy.nl/video/7387413713944333601"/>
        <s v="https://www.tiktok.com/@lilyy.nl/video/7398197901182111008"/>
        <s v="https://www.tiktok.com/@lilyy.nl/video/7400071344089533728"/>
        <s v="https://www.tiktok.com/@lilyy.nl/video/7401181475330198816"/>
        <s v="https://www.tiktok.com/@lilyy.nl/video/7416387740951956768"/>
        <s v="https://www.tiktok.com/@lilyy.nl/video/7414163405205982497"/>
        <s v="https://www.tiktok.com/@lilyy.nl/video/7424229467951729953"/>
        <s v="https://www.tiktok.com/@lilyy.nl/video/7421229015719103776"/>
        <s v="https://www.tiktok.com/@lilyy.nl/video/7432644019890539808"/>
        <s v="https://www.tiktok.com/@lilyy.nl/video/7467121622500003094"/>
        <s v="https://www.tiktok.com/@lilyy.nl/video/7465615921470557462"/>
        <s v="https://www.tiktok.com/@lilyy.nl/video/7473378357531397398?_t=ZN-8uecd1X7Rby&amp;_r=1"/>
        <s v="https://www.tiktok.com/@lilyy.nl/video/7381865050685934881"/>
        <s v="https://www.tiktok.com/@lilyy.nl/video/7397468947290918176"/>
        <s v="https://www.tiktok.com/@lilyy.nl/video/7355571660520426784?q=lilyy.nl%20aromazone&amp;t=1716382679417"/>
        <s v="https://www.tiktok.com/@lilyy.nl/video/7407474534565154081"/>
        <s v="www.tiktok.com/@lilyy.nl/video/7402233435932216608?cid=NzQwMjIzNDY4NzAzMDE5OTA3Mg"/>
        <s v="https://www.tiktok.com/@lina.mkrn2/video/7384054300869217569?browserMode=1"/>
        <s v="https://www.tiktok.com/@liserdg/video/7399262478896614689"/>
        <s v="https://www.tiktok.com/@liserdg/video/7399698677285014817"/>
        <s v="https://www.tiktok.com/@liserdg/video/7404521868960501024"/>
        <s v="https://www.tiktok.com/@liserdg/video/7407523195101728033"/>
        <s v="https://www.tiktok.com/@liserdg/video/7418260695130623264"/>
        <s v="https://www.tiktok.com/@liserdg/video/7420486871957998880"/>
        <s v="https://www.tiktok.com/@liserdg/video/7431256738801667360?lang=en"/>
        <s v="https://www.tiktok.com/@liserdg/video/7441653570472135969?_t=8riqrKU7tr6&amp;_r=1"/>
        <s v="https://www.tiktok.com/@liserdg/video/7408641991967378720"/>
        <s v="https://www.tiktok.com/@liserdg/video/7381070326211317025"/>
        <s v="https://tiktok.com/@liserdg/video/7422323883673423136"/>
        <s v="https://www.tiktok.com/@lolatagliaferroo/video/7388560111800749345"/>
        <s v="https://www.tiktok.com/@lolatagliaferroo/video/7417167690537717024"/>
        <s v="https://www.tiktok.com/@lolatagliaferroo/video/7417539584071830816"/>
        <s v="https://www.tiktok.com/@lolatagliaferroo/video/7428671047366348065?lang=en"/>
        <s v="https://www.tiktok.com/@lolatagliaferroo/video/7445278458680266006?lang=en"/>
        <s v="https://www.tiktok.com/@melf.fnt/video/7372218331379666209"/>
        <s v="https://www.tiktok.com/@melf.fnt/video/7370750286744292641"/>
        <s v="https://www.tiktok.com/@melf.fnt/video/7383665768757579041"/>
        <s v="https://www.tiktok.com/@melf.fnt/video/7384078329554423073"/>
        <s v="https://www.tiktok.com/@melf.fnt/video/7388460088819797280"/>
        <s v="https://www.tiktok.com/@melf.fnt/video/7391885588057656609"/>
        <s v="https://www.tiktok.com/@melf.fnt/video/7399939773575613728"/>
        <s v="https://www.tiktok.com/@melf.fnt/video/7416390437692280096"/>
        <s v="https://www.tiktok.com/@melf.fnt/video/7415636160636013856"/>
        <s v="https://www.tiktok.com/@melf.fnt/video/7417407814903057697"/>
        <s v="https://www.tiktok.com/@melf.fnt/video/7422664116545801504"/>
        <s v="https://www.tiktok.com/@melf.fnt/video/7431619697042296096"/>
        <s v="https://www.tiktok.com/@melf.fnt/video/7428571977918500128"/>
        <s v="https://www.tiktok.com/@melf.fnt/video/7375924184494476577"/>
        <s v="https://www.tiktok.com/@melf.fnt/video/7395873680867233057"/>
        <s v="https://www.tiktok.com/@melf.fnt/video/7364824274315529505"/>
        <s v="https://www.tiktok.com/@melf.fnt/video/7400756804549971232"/>
        <s v="https://www.tiktok.com/@morgane.mrckk/video/7384031967643307296"/>
        <s v="https://www.tiktok.com/@morgane.mrckk/video/7402654625314196769"/>
        <s v="https://www.tiktok.com/@morgane.mrckk/video/7414534348910775584"/>
        <s v="https://www.tiktok.com/@morgane.mrckk/video/7413431476252970272"/>
        <s v="https://www.tiktok.com/@morgane.mrckk/video/7412302749104114977"/>
        <s v="https://www.tiktok.com/@morgane.mrckk/video/7423352236501241121"/>
        <s v="https://www.tiktok.com/@morgane.mrckk/video/7424156968429833504?lang=en"/>
        <s v="https://www.tiktok.com/@morgane.mrckk/video/7436771318671953185?lang=en"/>
        <s v="https://www.tiktok.com/@morgane.mrckk/video/7385545243870973216"/>
        <s v="https://www.tiktok.com/@morgane.mrckk/video/7397382935453764896"/>
        <s v="https://www.tiktok.com/@morgane.mrckk/video/7381070101392477472"/>
        <s v="https://www.tiktok.com/@morgane.mrckk/video/7416632134347033889"/>
        <s v="https://www.instagram.com/p/DF3IS0nN9_G/?img_index=1"/>
        <s v="https://www.instagram.com/p/DHTVmb9tQrc/"/>
        <s v="https://www.instagram.com/p/DJtb4I3NWCt/?img_index=1&amp;igsh=cHBsdGw3bjhsaTd2"/>
        <s v="https://www.tiktok.com/@___oraane/video/7370306532183002401"/>
        <s v="https://www.tiktok.com/@___oraane/video/7385808181940784417"/>
        <s v="https://www.tiktok.com/@___oraane/video/7396281714101734689"/>
        <s v="https://www.tiktok.com/@___oraane/video/7398824092297612576"/>
        <s v="https://www.tiktok.com/@___oraane/video/7408970007402663200"/>
        <s v="https://www.tiktok.com/@___oraane/video/7422246939724385569?lang=en"/>
        <s v="https://www.tiktok.com/@___oraane/video/7427080640987712800?lang=en"/>
        <s v="https://www.tiktok.com/@___oraane/video/7476554634371337495?_t=ZN-8uksMQy8spa&amp;_r=1"/>
        <s v="https://www.tiktok.com/@___oraane/video/7497260335687142678?_r=1&amp;_t=ZN-8wK7rhJ1GDe"/>
        <s v="https://www.tiktok.com/@___oraane/video/7375468422068571424?_r=1&amp;_t=8krP3tfqVUH"/>
        <s v="https://www.tiktok.com/@___oraane/video/7410372109068766496"/>
        <s v="https://www.tiktok.com/@paupibeauty/video/7376008068775120160"/>
        <s v="https://vm.tiktok.com/ZGeb3qMjG/"/>
        <s v="https://www.tiktok.com/@paupibeauty/video/7388913023471176993"/>
        <s v="https://www.tiktok.com/@paupibeauty/video/7391913188587048224"/>
        <s v="https://www.tiktok.com/@paupibeauty/video/7391464252877442336"/>
        <s v="https://www.tiktok.com/@paupibeauty/video/7399701843338612001?_r=1&amp;_t=8ocjkRHNArg"/>
        <s v="https://www.tiktok.com/@paupibeauty/video/7397104051248188704"/>
        <s v="https://www.tiktok.com/@paupibeauty/video/7409632617487699233?_r=1&amp;_t=8pifPT1JA5h"/>
        <s v="https://www.tiktok.com/@paupibeauty/video/7422233100345806113?_r=1&amp;_t=8qHw0Tc0W3d"/>
        <s v="https://www.tiktok.com/@paupibeauty/video/7433470283073244449"/>
        <s v="https://vm.tiktok.com/ZGdLKEWpH/"/>
        <s v="https://www.tiktok.com/@paupibeauty/video/7469447565080005910"/>
        <s v="https://www.tiktok.com/@paupibeauty/video/7483230429919677718?_r=1&amp;u_code=db2iba9fkd722g&amp;preview_pb=0&amp;sharer_language=fr&amp;_d=e50dm7j0f1glif&amp;share_item_id=7483230429919677718&amp;source=h5_m&amp;timestamp=1742383722&amp;utm_source=copy&amp;tt_from=copy&amp;enable_checksum=1&amp;ut"/>
        <s v="https://vm.tiktok.com/ZNdr6B5df/  https://vm.tiktok.com/ZNdr62oeS/"/>
        <s v="https://www.tiktok.com/@paupibeauty/video/7390429662033251617"/>
        <s v="https://www.tiktok.com/@paupibeauty/video/7364899892755565857"/>
        <s v="https://www.tiktok.com/@paupibeauty/video/7400829639158992161"/>
        <s v="https://www.tiktok.com/@paupibeauty/video/7403338641294101793?_r=1&amp;_t=8otMyM33Aq9"/>
        <s v="https://www.tiktok.com/@paupibeauty/video/7419986303070129441"/>
        <s v="https://www.tiktok.com/@perrine.trp/video/7388970033046736161"/>
        <s v="https://www.tiktok.com/@perrine.trp/video/7391934268479425825"/>
        <s v="https://www.tiktok.com/@perrine.trp/video/7388938973533490465"/>
        <s v="https://www.tiktok.com/@perrine.trp/video/7404526978864270625"/>
        <s v="https://www.tiktok.com/@perrine.trp/video/7416397579652549920"/>
        <s v="https://www.tiktok.com/@perrine.trp/video/7420481706290990368"/>
        <s v="https://www.tiktok.com/@perrine.trp/video/7432357615906082081?lang=en"/>
        <s v="https://www.tiktok.com/@perrine.trp/video/7470594564579921174?_t=ZN-8trcT1kEJTq&amp;_r=1"/>
        <s v="https://www.tiktok.com/@romlabordelaise/photo/7374826918236949793?_d=secCgYIASAHKAESPgo8q9siUnZtyE0109XMp5dx3cMmVFVIaMGy%2BlAK8UtWtglSCdVgBy%2FzSdjJmzYWsISFC9%2B%2FlyF04TxmdiBEGgA%3D&amp;_r=1&amp;checksum=76ea1d67e0b71fc0c1e121f4b86c89eead08caa18274e51cbd7e8fffc4"/>
        <s v="https://www.tiktok.com/@romlabordelaise/video/7367768975154990369"/>
        <s v="https://www.tiktok.com/@iimslma/video/7437910864826486048?_r=1&amp;_t=8rRi7SCy1Ka"/>
        <s v="https://www.tiktok.com/@iimslma/video/7396769960623738145"/>
        <s v="https://www.tiktok.com/@iimslma/video/7403774825702886688"/>
        <s v="https://www.tiktok.com/@iimslma/video/7399725613407309089"/>
        <s v="https://www.tiktok.com/@iimslma/video/7400436730320456993"/>
        <s v="https://www.tiktok.com/@iimslma/video/7407485284817882401"/>
        <s v="https://www.tiktok.com/@iimslma/video/7412021525198425376"/>
        <s v="https://www.tiktok.com/@iimslma/video/7408622473912061216"/>
        <s v="https://www.tiktok.com/@iimslma/video/7413780170781347105"/>
        <s v="https://www.tiktok.com/@iimslma/video/7431628369067838753?lang=en"/>
        <s v="https://www.tiktok.com/@iimslma/video/7435745133313805601?_r=1&amp;_t=8rleTqgb0vG"/>
        <s v="https://www.tiktok.com/@iimslma/video/7468747433061944599?lang=en"/>
        <s v="https://www.tiktok.com/@iimslma/video/7468781724462337302?lang=en"/>
        <s v="https://www.tiktok.com/@iimslma/video/7472835179187424534?lang=en"/>
        <s v="https://www.tiktok.com/@iimslma/video/7481752779980147990?_t=ZN-8ugXSybaIEw&amp;_r=1"/>
        <s v="https://www.tiktok.com/@iimslma/video/7483594182083218710?_r=1&amp;_t=ZN-8uox8rOjAzm"/>
        <s v="https://vm.tiktok.com/ZNdrrBuVK/"/>
      </sharedItems>
    </cacheField>
    <cacheField name="X">
      <sharedItems containsBlank="1" containsMixedTypes="1" containsNumber="1" containsInteger="1">
        <m/>
        <n v="350.0"/>
        <n v="420.0"/>
        <n v="320.0"/>
        <s v="https://www.instagram.com/reel/DEKlEAhCcsg/"/>
        <s v="ANAIS-10 Il offre -10% de réduction sur une commande sans minimum d’achat, hors frais de port, valable jusqu’au 30/04/2025"/>
        <s v="envoyer facture en anglais"/>
        <s v="deja facture"/>
        <s v="500 médiat"/>
        <s v="dont 150 de médiat"/>
        <s v="envoyer facture en €"/>
        <s v="médiat à confirmer 202,50€"/>
        <s v="ajouter code promo"/>
        <s v="lien en bio"/>
        <s v="rembourser Produits"/>
        <s v="facture déjà envoyée"/>
        <s v="enlever 75 media à facturer plus tard"/>
        <s v="médiat à confirmer  67,50 €"/>
      </sharedItems>
    </cacheField>
    <cacheField name="Grapper" numFmtId="0">
      <sharedItems containsBlank="1">
        <s v="Oui"/>
        <s v="Non"/>
        <m/>
        <s v="Non "/>
      </sharedItems>
    </cacheField>
    <cacheField name="Date vente" numFmtId="164">
      <sharedItems containsDate="1" containsString="0" containsBlank="1">
        <d v="2024-03-01T00:00:00Z"/>
        <d v="2024-03-15T00:00:00Z"/>
        <m/>
        <d v="2024-03-30T00:00:00Z"/>
        <d v="2024-03-25T00:00:00Z"/>
        <d v="2024-04-08T00:00:00Z"/>
        <d v="2024-04-11T00:00:00Z"/>
        <d v="2024-03-21T00:00:00Z"/>
        <d v="2024-04-25T00:00:00Z"/>
        <d v="2024-04-19T00:00:00Z"/>
        <d v="2024-05-07T00:00:00Z"/>
        <d v="2024-05-06T00:00:00Z"/>
        <d v="2024-05-02T00:00:00Z"/>
        <d v="2024-05-13T00:00:00Z"/>
        <d v="2024-05-14T00:00:00Z"/>
        <d v="2024-03-20T00:00:00Z"/>
        <d v="2024-04-10T00:00:00Z"/>
        <d v="2024-05-30T00:00:00Z"/>
        <d v="2024-05-11T00:00:00Z"/>
        <d v="2024-04-30T00:00:00Z"/>
        <d v="2024-05-23T00:00:00Z"/>
        <d v="2024-05-16T00:00:00Z"/>
        <d v="2024-06-08T00:00:00Z"/>
        <d v="2024-06-20T00:00:00Z"/>
        <d v="2024-06-18T00:00:00Z"/>
        <d v="2024-06-12T00:00:00Z"/>
        <d v="2024-06-24T00:00:00Z"/>
        <d v="2024-06-11T00:00:00Z"/>
        <d v="2024-07-16T00:00:00Z"/>
        <d v="2024-07-25T00:00:00Z"/>
        <d v="2024-07-03T00:00:00Z"/>
        <d v="2024-06-17T00:00:00Z"/>
        <d v="2024-06-27T00:00:00Z"/>
        <d v="2024-07-06T00:00:00Z"/>
        <d v="2024-06-14T00:00:00Z"/>
        <d v="2024-07-24T00:00:00Z"/>
        <d v="2024-07-10T00:00:00Z"/>
        <d v="2024-08-01T00:00:00Z"/>
        <d v="2024-07-04T00:00:00Z"/>
        <d v="2024-07-23T00:00:00Z"/>
        <d v="2024-07-21T00:00:00Z"/>
        <d v="2024-08-06T00:00:00Z"/>
        <d v="2024-07-29T00:00:00Z"/>
        <d v="2024-07-30T00:00:00Z"/>
        <d v="2024-07-17T00:00:00Z"/>
        <d v="2024-08-02T00:00:00Z"/>
        <d v="2024-07-31T00:00:00Z"/>
        <d v="2024-08-21T00:00:00Z"/>
        <d v="2024-08-19T00:00:00Z"/>
        <d v="2024-08-13T00:00:00Z"/>
        <d v="2024-09-11T00:00:00Z"/>
        <d v="2024-08-16T00:00:00Z"/>
        <d v="2024-09-12T00:00:00Z"/>
        <d v="2024-08-23T00:00:00Z"/>
        <d v="2024-09-04T00:00:00Z"/>
        <d v="2025-05-20T00:00:00Z"/>
        <d v="2024-09-09T00:00:00Z"/>
        <d v="2024-08-28T00:00:00Z"/>
        <d v="2024-09-14T00:00:00Z"/>
        <d v="2024-09-13T00:00:00Z"/>
        <d v="2024-08-20T00:00:00Z"/>
        <d v="2024-09-26T00:00:00Z"/>
        <d v="2024-08-29T00:00:00Z"/>
        <d v="2025-05-13T00:00:00Z"/>
        <d v="2024-09-03T00:00:00Z"/>
        <d v="2024-09-27T00:00:00Z"/>
        <d v="2024-10-01T00:00:00Z"/>
        <d v="2025-05-07T00:00:00Z"/>
        <d v="2024-10-28T00:00:00Z"/>
        <d v="2024-09-10T00:00:00Z"/>
        <d v="2024-10-15T00:00:00Z"/>
        <d v="2024-10-29T00:00:00Z"/>
        <d v="2024-10-24T00:00:00Z"/>
        <d v="2024-10-02T00:00:00Z"/>
        <d v="2024-10-30T00:00:00Z"/>
        <d v="2024-10-14T00:00:00Z"/>
        <d v="2024-10-25T00:00:00Z"/>
        <d v="2024-11-05T00:00:00Z"/>
        <d v="2024-11-08T00:00:00Z"/>
        <d v="2024-11-04T00:00:00Z"/>
        <d v="2024-10-23T00:00:00Z"/>
        <d v="2024-11-29T00:00:00Z"/>
        <d v="2024-11-19T00:00:00Z"/>
        <d v="2024-12-09T00:00:00Z"/>
        <d v="2024-11-26T00:00:00Z"/>
        <d v="2024-11-25T00:00:00Z"/>
        <d v="2024-12-05T00:00:00Z"/>
        <d v="2024-12-16T00:00:00Z"/>
        <d v="2024-11-11T00:00:00Z"/>
        <d v="2024-12-03T00:00:00Z"/>
        <d v="2024-12-24T00:00:00Z"/>
        <d v="2025-02-20T00:00:00Z"/>
        <d v="2024-12-23T00:00:00Z"/>
        <d v="2025-01-07T00:00:00Z"/>
        <d v="2024-12-12T00:00:00Z"/>
        <d v="2025-01-21T00:00:00Z"/>
        <d v="2025-01-24T00:00:00Z"/>
        <d v="2025-01-17T00:00:00Z"/>
        <d v="2025-01-09T00:00:00Z"/>
        <d v="2025-01-27T00:00:00Z"/>
        <d v="2025-01-23T00:00:00Z"/>
        <d v="2024-10-22T00:00:00Z"/>
        <d v="2024-10-21T00:00:00Z"/>
        <d v="2025-01-22T00:00:00Z"/>
        <d v="2025-01-16T00:00:00Z"/>
        <d v="2025-02-12T00:00:00Z"/>
        <d v="2025-02-18T00:00:00Z"/>
        <d v="2025-01-29T00:00:00Z"/>
        <d v="2025-02-14T00:00:00Z"/>
        <d v="2025-02-15T00:00:00Z"/>
        <d v="2025-02-06T00:00:00Z"/>
        <d v="2025-02-21T00:00:00Z"/>
        <d v="2025-03-31T00:00:00Z"/>
        <d v="2025-02-26T00:00:00Z"/>
        <d v="2025-02-28T00:00:00Z"/>
        <d v="2025-02-25T00:00:00Z"/>
        <d v="2025-02-19T00:00:00Z"/>
        <d v="2025-03-11T00:00:00Z"/>
        <d v="2025-03-21T00:00:00Z"/>
        <d v="2025-03-12T00:00:00Z"/>
        <d v="2025-03-17T00:00:00Z"/>
        <d v="2025-03-24T00:00:00Z"/>
        <d v="2025-03-10T00:00:00Z"/>
        <d v="2025-03-14T00:00:00Z"/>
        <d v="2025-04-17T00:00:00Z"/>
        <d v="2025-03-16T00:00:00Z"/>
        <d v="2025-04-04T00:00:00Z"/>
        <d v="2025-04-07T00:00:00Z"/>
        <d v="2025-04-15T00:00:00Z"/>
        <d v="2025-04-25T00:00:00Z"/>
        <d v="2025-05-16T00:00:00Z"/>
        <d v="2025-04-14T00:00:00Z"/>
        <d v="2025-03-28T00:00:00Z"/>
        <d v="2025-03-06T00:00:00Z"/>
        <d v="2025-03-20T00:00:00Z"/>
        <d v="2025-04-09T00:00:00Z"/>
        <d v="2025-04-11T00:00:00Z"/>
        <d v="2025-03-13T00:00:00Z"/>
        <d v="2025-04-08T00:00:00Z"/>
        <d v="2025-04-30T00:00:00Z"/>
        <d v="2025-04-21T00:00:00Z"/>
        <d v="2025-06-02T00:00:00Z"/>
        <d v="2025-06-10T00:00:00Z"/>
        <d v="2025-03-30T00:00:00Z"/>
        <d v="2025-03-26T00:00:00Z"/>
        <d v="2025-06-20T00:00:00Z"/>
        <d v="2025-02-10T00:00:00Z"/>
        <d v="2025-05-19T00:00:00Z"/>
        <d v="2025-04-24T00:00:00Z"/>
        <d v="2025-06-26T00:00:00Z"/>
        <d v="2025-05-23T00:00:00Z"/>
        <d v="2025-05-06T00:00:00Z"/>
        <d v="2025-05-24T00:00:00Z"/>
        <d v="2025-06-05T00:00:00Z"/>
        <d v="2025-05-27T00:00:00Z"/>
        <d v="2025-06-12T00:00:00Z"/>
        <d v="2025-05-28T00:00:00Z"/>
        <d v="2025-06-16T00:00:00Z"/>
        <d v="2025-06-18T00:00:00Z"/>
        <d v="2025-06-11T00:00:00Z"/>
        <d v="2025-06-23T00:00:00Z"/>
        <d v="2025-02-03T00:00:00Z"/>
        <d v="2025-06-04T00:00:00Z"/>
        <d v="2025-05-22T00:00:00Z"/>
        <d v="2025-06-22T00:00:00Z"/>
        <d v="2025-07-16T00:00:00Z"/>
        <d v="2025-06-19T00:00:00Z"/>
        <d v="2025-07-01T00:00:00Z"/>
        <d v="2025-06-17T00:00:00Z"/>
        <d v="2025-06-13T00:00:00Z"/>
        <d v="2025-07-03T00:00:00Z"/>
        <d v="2024-10-18T00:00:00Z"/>
        <d v="2025-05-29T00:00:00Z"/>
        <d v="2025-06-30T00:00:00Z"/>
        <d v="2025-03-07T00:00:00Z"/>
        <d v="2024-09-08T00:00:00Z"/>
        <d v="2024-10-08T00:00:00Z"/>
        <d v="2024-11-13T00:00:00Z"/>
        <d v="2024-12-10T00:00:00Z"/>
        <d v="2024-12-04T00:00:00Z"/>
        <d v="2024-06-07T00:00:00Z"/>
        <d v="2024-05-31T00:00:00Z"/>
        <d v="2025-02-23T00:00:00Z"/>
        <d v="2024-11-07T00:00:00Z"/>
        <d v="2024-11-28T00:00:00Z"/>
        <d v="2024-12-18T00:00:00Z"/>
        <d v="2025-02-11T00:00:00Z"/>
        <d v="2025-02-07T00:00:00Z"/>
        <d v="2024-09-05T00:00:00Z"/>
        <d v="2024-12-13T00:00:00Z"/>
        <d v="2024-03-08T00:00:00Z"/>
        <d v="2024-04-22T00:00:00Z"/>
        <d v="2024-05-17T00:00:00Z"/>
        <d v="2024-04-24T00:00:00Z"/>
        <d v="2024-05-24T00:00:00Z"/>
        <d v="2024-07-19T00:00:00Z"/>
        <d v="2024-08-09T00:00:00Z"/>
        <d v="2024-07-01T00:00:00Z"/>
        <d v="2024-08-26T00:00:00Z"/>
        <d v="2024-09-17T00:00:00Z"/>
        <d v="2024-09-25T00:00:00Z"/>
        <d v="2024-09-30T00:00:00Z"/>
        <d v="2024-10-10T00:00:00Z"/>
        <d v="2024-12-02T00:00:00Z"/>
        <d v="2025-01-06T00:00:00Z"/>
        <d v="2025-01-13T00:00:00Z"/>
        <d v="2024-06-26T00:00:00Z"/>
        <d v="2024-08-07T00:00:00Z"/>
        <d v="2024-07-11T00:00:00Z"/>
        <d v="2024-09-16T00:00:00Z"/>
        <d v="2024-11-14T00:00:00Z"/>
        <d v="2024-03-22T00:00:00Z"/>
        <d v="2024-04-06T00:00:00Z"/>
        <d v="2024-04-07T00:00:00Z"/>
        <d v="2024-06-04T00:00:00Z"/>
        <d v="2024-10-11T00:00:00Z"/>
        <d v="2024-03-23T00:00:00Z"/>
        <d v="2024-04-04T00:00:00Z"/>
        <d v="2024-04-09T00:00:00Z"/>
        <d v="2024-05-21T00:00:00Z"/>
        <d v="2024-05-27T00:00:00Z"/>
        <d v="2024-08-27T00:00:00Z"/>
        <d v="2025-04-12T00:00:00Z"/>
        <d v="2024-02-28T00:00:00Z"/>
        <d v="2024-05-28T00:00:00Z"/>
        <d v="2024-09-23T00:00:00Z"/>
        <d v="2024-06-30T00:00:00Z"/>
        <d v="2024-09-20T00:00:00Z"/>
        <d v="2024-10-07T00:00:00Z"/>
        <d v="2024-03-27T00:00:00Z"/>
        <d v="2024-04-13T00:00:00Z"/>
        <d v="2024-04-27T00:00:00Z"/>
        <d v="2024-01-15T00:00:00Z"/>
        <d v="2024-01-14T00:00:00Z"/>
        <d v="2025-03-18T00:00:00Z"/>
        <d v="2024-05-18T00:00:00Z"/>
        <d v="2024-06-19T00:00:00Z"/>
        <d v="2024-10-09T00:00:00Z"/>
        <d v="2024-11-12T00:00:00Z"/>
        <d v="2024-12-19T00:00:00Z"/>
        <d v="2025-02-22T00:00:00Z"/>
        <d v="2024-03-26T00:00:00Z"/>
        <d v="2024-05-20T00:00:00Z"/>
        <d v="2024-07-08T00:00:00Z"/>
        <d v="2024-11-22T00:00:00Z"/>
        <d v="2024-10-31T00:00:00Z"/>
        <d v="2024-07-15T00:00:00Z"/>
        <d v="2024-09-24T00:00:00Z"/>
        <d v="2024-02-15T00:00:00Z"/>
        <d v="2024-04-26T00:00:00Z"/>
        <d v="2024-06-03T00:00:00Z"/>
        <d v="2024-04-12T00:00:00Z"/>
        <d v="2024-07-09T00:00:00Z"/>
        <d v="2024-09-29T00:00:00Z"/>
        <d v="2024-10-06T00:00:00Z"/>
        <d v="2024-10-16T00:00:00Z"/>
        <d v="2024-09-19T00:00:00Z"/>
        <d v="2024-03-28T00:00:00Z"/>
        <d v="2024-10-17T00:00:00Z"/>
        <d v="2025-04-29T00:00:00Z"/>
        <d v="2024-03-18T00:00:00Z"/>
        <d v="2024-08-14T00:00:00Z"/>
        <d v="2024-09-01T00:00:00Z"/>
        <d v="2024-11-15T00:00:00Z"/>
        <d v="2025-01-03T00:00:00Z"/>
        <d v="2024-07-18T00:00:00Z"/>
        <d v="2025-07-11T00:00:00Z"/>
        <d v="2025-07-18T00:00:00Z"/>
        <d v="2025-07-21T00:00:00Z"/>
        <d v="2025-07-22T00:00:00Z"/>
        <d v="2025-07-24T00:00:00Z"/>
        <d v="2025-07-25T00:00:00Z"/>
        <d v="2025-07-28T00:00:00Z"/>
        <d v="2025-06-24T00:00:00Z"/>
        <d v="2025-06-27T00:00:00Z"/>
        <d v="2025-01-31T00:00:00Z"/>
        <d v="2025-07-07T00:00:00Z"/>
        <d v="2025-07-09T00:00:00Z"/>
        <d v="2025-07-17T00:00:00Z"/>
        <d v="2025-07-29T00:00:00Z"/>
        <d v="2025-07-31T00:00:00Z"/>
      </sharedItems>
    </cacheField>
    <cacheField name="Commission" numFmtId="166">
      <sharedItems containsString="0" containsBlank="1" containsNumber="1">
        <n v="14.0"/>
        <m/>
        <n v="40.0"/>
        <n v="125.0"/>
        <n v="20.0"/>
        <n v="130.0"/>
        <n v="112.5"/>
        <n v="157.48"/>
        <n v="50.0"/>
        <n v="450.0"/>
        <n v="43.75"/>
        <n v="62.5"/>
        <n v="200.0"/>
        <n v="45.0"/>
        <n v="46.0"/>
        <n v="75.0"/>
        <n v="90.0"/>
        <n v="16.0"/>
        <n v="37.5"/>
        <n v="150.0"/>
        <n v="87.5"/>
        <n v="159.29999999999998"/>
        <n v="100.0"/>
        <n v="135.0"/>
        <n v="60.32"/>
        <n v="250.0"/>
        <n v="30.0"/>
        <n v="22.5"/>
        <n v="82.5"/>
        <n v="41.25"/>
        <n v="70.0"/>
        <n v="120.0"/>
        <n v="60.0"/>
        <n v="180.0"/>
        <n v="80.0"/>
        <n v="105.0"/>
        <n v="157.944"/>
        <n v="312.5"/>
        <n v="209.76000000000002"/>
        <n v="71.587"/>
        <n v="34.6"/>
        <n v="360.0"/>
        <n v="187.5"/>
        <n v="210.0"/>
        <n v="117.99"/>
        <n v="540.0"/>
        <n v="114.75"/>
        <n v="97.5"/>
        <n v="0.0"/>
        <n v="195.0"/>
        <n v="34.0"/>
        <n v="240.0"/>
        <n v="225.0"/>
        <n v="300.0"/>
        <n v="58.5"/>
        <n v="285.0"/>
        <n v="253.125"/>
        <n v="15.0"/>
        <n v="600.0"/>
        <n v="99.99999999999999"/>
        <n v="270.0"/>
        <n v="174.6"/>
        <n v="58.2"/>
        <n v="291.0"/>
        <n v="175.0"/>
        <n v="555.0"/>
        <n v="375.0"/>
        <n v="282.0"/>
        <n v="750.0"/>
        <n v="255.0"/>
        <n v="330.0"/>
        <n v="202.5"/>
        <n v="165.6"/>
        <n v="165.039"/>
        <n v="420.0"/>
        <n v="281.25"/>
        <n v="118.52699999999999"/>
        <n v="123.21600000000001"/>
        <n v="165.0"/>
        <n v="152.49"/>
        <n v="111.0"/>
        <n v="390.0"/>
        <n v="147.861"/>
        <n v="33.333333333333336"/>
        <n v="989.4"/>
        <n v="199.99999999999997"/>
        <n v="186.0"/>
        <n v="33.75"/>
        <n v="65.22"/>
        <n v="500.0"/>
        <n v="937.5"/>
        <n v="93.0"/>
        <n v="264.0"/>
        <n v="387.0"/>
        <n v="252.0"/>
        <n v="180.6"/>
        <n v="57.0"/>
        <n v="1733.0"/>
        <n v="140.0"/>
        <n v="25.0"/>
        <n v="56.25"/>
        <n v="235.0"/>
        <n v="26.0"/>
        <n v="28.8"/>
        <n v="280.0"/>
        <n v="900.0"/>
        <n v="1350.0"/>
        <n v="176.4"/>
        <n v="117.8175"/>
        <n v="67.5"/>
        <n v="630.0"/>
        <n v="765.0"/>
        <n v="384.0"/>
      </sharedItems>
    </cacheField>
    <cacheField name="Facture envoyé" numFmtId="4">
      <sharedItems containsBlank="1">
        <b v="1"/>
        <b v="0"/>
        <m/>
      </sharedItems>
    </cacheField>
    <cacheField name="Mail" numFmtId="0">
      <sharedItems containsBlank="1">
        <m/>
        <s v="fgirault3@gmail.com"/>
        <s v="lilyy.nl@grapperagency.com"/>
        <s v="orane.baron1403@gmail.com"/>
        <e v="#N/A"/>
        <s v="imlolytahproacc@gmail.com"/>
        <s v="cmepls.pro@gmail.com"/>
        <s v="lola140204@gmail.com"/>
        <s v="juliane.bernard57@icloud.com"/>
        <s v="linamokrane75@yahoo.fr"/>
        <s v="alicemauguin.l@gmail.com"/>
        <s v="lauclr.pro@gmail.com"/>
        <s v="chiara@grapperagency.com"/>
        <s v="terpperrine@gmail.com"/>
        <s v="lovelyMytb@gmail.com "/>
        <s v="pauline@grapperagency.com"/>
        <s v="liserdg.pro@gmail.com "/>
        <s v="jeannebayart@gmail.com"/>
        <s v="marylinezh@gmail.com "/>
        <s v="anaiswry@yahoo.fr"/>
        <s v="iimslmapro@outlook.fr"/>
        <s v="shaaadl.pro@gmail.com"/>
        <s v="jasminepro26@icloud.com "/>
        <s v="asmae-nemar@hotmail.fr "/>
        <s v="truttirachel@gmail.com"/>
        <s v="arwen.mechineau@outlook.fr"/>
        <s v="ciman530@gmail.com"/>
        <s v="moped@grapperagency.com"/>
        <s v="Douns.collab@gmail.com"/>
        <s v="hello.gurbet@gmail.com "/>
        <s v="amani.mee10@gmail.com"/>
        <s v="hidaya.7bl@gmail.com "/>
        <s v="Sirine.yza@gmail.com"/>
        <s v="aubeneauu@gmail.com "/>
        <s v="stzmarine6@gmail.com"/>
        <s v="c_15e3504fd6fde5b88106b6d99934e830e051067bbd4af855bfd432d30fc2f262@group.calendar.google.com"/>
        <s v="Lyassa.ospro@gmail.com "/>
        <s v="farahdisiaque@gmail.com"/>
        <s v="nidal.daghmi.pro@gmail.com "/>
        <s v="contact.amandambt@gmail.com "/>
        <s v="Fontanel.lily@gmail.com"/>
      </sharedItems>
    </cacheField>
    <cacheField name="Event Brouillon" numFmtId="0">
      <sharedItems containsBlank="1">
        <m/>
        <b v="0"/>
        <b v="1"/>
      </sharedItems>
    </cacheField>
    <cacheField name="Calendar ID pour brouillon" numFmtId="0">
      <sharedItems containsBlank="1">
        <m/>
        <s v="c_b412638d97e7dcffa392ccd62e6d5e2eccb052c0c08de7e1e7d547811d81c44c@group.calendar.google.com"/>
        <s v="c_665764ca21c8e4b3814e25bf24bc7074fa55890dce5d4073abb0fdddc70649d4@group.calendar.google.com"/>
        <s v="c_b9aea0629908ddbafe7229688ea55dc9d65b9e6b1a8ed4492c7ca84aa703d076@group.calendar.google.com"/>
        <e v="#N/A"/>
        <s v="c_007bb5dfd61adc34e7d7f1093213e03f31b2abfb546bee3afc00b412de414680@group.calendar.google.com"/>
        <s v="c_15e3504fd6fde5b88106b6d99934e830e051067bbd4af855bfd432d30fc2f262@group.calendar.google.com"/>
        <s v="Done"/>
        <s v="c_8f3f6ef786f2df9238426a478307dbddffb576ace587133cfa65ca553e2f967a@group.calendar.google.com"/>
        <s v="c_f6970d92e9be72b1307e3c015a265d69ae87140c691e7728bc83462544d82455@group.calendar.google.com"/>
        <s v="c_569af196f9b5e28fc536ca0422e6405e6d4e402300b9504eaa944f45c672daff@group.calendar.google.com"/>
        <s v="c_d711460494b2c9d7a466bc3cd0cd029a9c5b76b083052f7dc41ad949a3753d20@group.calendar.google.com"/>
        <s v="c_a715193c206b2aa1e4b81b8a3772df33bf92c92611202a890a6bccecb2131fcb@group.calendar.google.com"/>
        <s v="c_68f94d9ebfae6399f09ec01b19d2012d5d2b7c5efbd47328c79c373cbeec7a5b@group.calendar.google.com"/>
        <s v="c_3454aaede6db5cd8de24b4c70b8c6f3570b98e436e1f71e91d12b7a673ab3f97@group.calendar.google.com"/>
        <s v="c_2754856c5047affc6767bb85fb787591389bf7d14d3afd368efdff9979492ab5@group.calendar.google.com"/>
        <s v="c_9384058245a0bc66157c09691047ea8f88622323c6761b8606c18d9b08ee0bf8@group.calendar.google.com"/>
        <s v="c_b534e1be73647e660d74cbb308a8c39b0102a8b56261b3886e0967d9ee34f368@group.calendar.google.com"/>
        <s v="c_8d6793f7bb6abb58456593287891e1c91528d006316df4ef7bdb59fa0d40b64f@group.calendar.google.com"/>
        <s v="c_35f3aada7c9c0ba626ac56e6cf10c5959c56663450ffd058a5bdc005508d0954@group.calendar.google.com"/>
        <s v="c_14943542450de5ffc0c20a93db15c7c0757a89aaa373292182138a3a691be245@group.calendar.google.com"/>
        <s v="c_df86b3d6c5aa83af7e7dadc1108907ecb89d8fc7e4b645a62e375b31e7b5e3a3@group.calendar.google.com"/>
        <s v="c_0d9eaa4cfb55a8e552117f53a91a7c3c2f5164632253d0e265f7de4e3a4737c4@group.calendar.google.com"/>
        <s v="c_2208b8e561439ebc2637feb15fe2d308d5719cc64460071de6ba0c674eba6118@group.calendar.google.com"/>
        <s v="c_db1fbd259183311b30d5bfa9e5494d85e4aa71562c2d699763ba11e15f3e8a3b@group.calendar.google.com"/>
        <s v="c_a80d776e58d8881ef4e876da99555e813842eeed9733f23e6f4b85d237e1fdec@group.calendar.google.com"/>
        <s v="c_3d8e6f3013c2064d1cf20c38ef5246d33ef6635ebbbd3c9abb7c506fa9eefde3@group.calendar.google.com"/>
        <s v="c_0fe46f911aa7c417189a62fdd8716ddaaef232a02bd45c49b9c02c6d6e2e4815@group.calendar.google.com"/>
        <s v="c_4bf2087a99450838a520f4ce4fc6de01f87130a4f381347449792eaf1546cc46@group.calendar.google.com"/>
        <s v="c_056be6e79a6fa62e8f2a68280313995615b47a17f2b3679481d262413ec95701@group.calendar.google.com"/>
        <s v="c_82243c858a94977b161cc883035793aa376a03b467dcc33d001d9ca49835cdb3@group.calendar.google.com"/>
        <s v="c_d2ee2c2110f1f2bc5b089d0edb8b480581f78d93077274c225fcfc530518b2ca@group.calendar.google.com"/>
        <s v="c_c2a91e309d1b6dc37cabc837fe79ebdcdbabcaff13a6376ec109ab3d73862812@group.calendar.google.com"/>
        <s v="c_2ab5bc877123c6d06b681700306d382bcc765d7810badc543daeacf05260ecd9@group.calendar.google.com"/>
        <s v="Error: Calendar not found!"/>
        <s v="c_311aaffc8651807276a982d2e3621559621998746b9adad33a9304b73b24dbd9@group.calendar.google.com"/>
        <s v="c_3049f29ec7ef21ab890fb708cade8a20fa94574faa4b9a9f528d8a665fbc6262@group.calendar.google.com"/>
        <s v="c_ebde6df3eb6b0899fbe6696247d2e4255b950c6e1d491bbce480648f603c2f22@group.calendar.google.com"/>
        <s v="c_6fd5f3c25278bd569c413814d6452fc4f9cb936bb38174e89b1cb54f9ec7c89d@group.calendar.google.com"/>
        <s v="c_63ea68c9b2bd76e0f3279abf94d6d8255c36c6dc090b9a1df4d31db84c3a049c@group.calendar.google.com"/>
        <s v="Error: The parameters (String,String,(class)) don't match the method signature for CalendarApp.Calendar.createAllDayEvent."/>
        <s v="c_ef2f5a817a776785477f597bd1081d6a57d8380a8013026b8ce9895920f902e2@group.calendar.google.com"/>
        <s v="c_82544f5a034269c2d78a04494afd80a3940635f25bd2a7f23eb7c2af3d0dd46f@group.calendar.google.com"/>
      </sharedItems>
    </cacheField>
    <cacheField name="Event Post" numFmtId="0">
      <sharedItems containsBlank="1">
        <m/>
        <b v="0"/>
        <b v="1"/>
      </sharedItems>
    </cacheField>
    <cacheField name="Calendar ID Post" numFmtId="0">
      <sharedItems containsBlank="1">
        <m/>
        <s v="c_b412638d97e7dcffa392ccd62e6d5e2eccb052c0c08de7e1e7d547811d81c44c@group.calendar.google.com"/>
        <s v="c_665764ca21c8e4b3814e25bf24bc7074fa55890dce5d4073abb0fdddc70649d4@group.calendar.google.com"/>
        <s v="Done"/>
        <e v="#N/A"/>
        <s v="c_b9aea0629908ddbafe7229688ea55dc9d65b9e6b1a8ed4492c7ca84aa703d076@group.calendar.google.com"/>
        <s v="c_8f3f6ef786f2df9238426a478307dbddffb576ace587133cfa65ca553e2f967a@group.calendar.google.com"/>
        <s v="c_f6970d92e9be72b1307e3c015a265d69ae87140c691e7728bc83462544d82455@group.calendar.google.com"/>
        <s v="c_569af196f9b5e28fc536ca0422e6405e6d4e402300b9504eaa944f45c672daff@group.calendar.google.com"/>
        <s v="c_d711460494b2c9d7a466bc3cd0cd029a9c5b76b083052f7dc41ad949a3753d20@group.calendar.google.com"/>
        <s v="c_a715193c206b2aa1e4b81b8a3772df33bf92c92611202a890a6bccecb2131fcb@group.calendar.google.com"/>
        <s v="c_007bb5dfd61adc34e7d7f1093213e03f31b2abfb546bee3afc00b412de414680@group.calendar.google.com"/>
        <s v="c_15e3504fd6fde5b88106b6d99934e830e051067bbd4af855bfd432d30fc2f262@group.calendar.google.com"/>
        <s v="Error: Invalid dates"/>
        <s v="c_6fd5f3c25278bd569c413814d6452fc4f9cb936bb38174e89b1cb54f9ec7c89d@group.calendar.google.com"/>
        <s v="c_3d8e6f3013c2064d1cf20c38ef5246d33ef6635ebbbd3c9abb7c506fa9eefde3@group.calendar.google.com"/>
        <s v="c_68f94d9ebfae6399f09ec01b19d2012d5d2b7c5efbd47328c79c373cbeec7a5b@group.calendar.google.com"/>
        <s v="c_3454aaede6db5cd8de24b4c70b8c6f3570b98e436e1f71e91d12b7a673ab3f97@group.calendar.google.com"/>
        <s v="c_2754856c5047affc6767bb85fb787591389bf7d14d3afd368efdff9979492ab5@group.calendar.google.com"/>
        <s v="c_9384058245a0bc66157c09691047ea8f88622323c6761b8606c18d9b08ee0bf8@group.calendar.google.com"/>
        <s v="Error: Calendar not found!"/>
        <s v="c_8d6793f7bb6abb58456593287891e1c91528d006316df4ef7bdb59fa0d40b64f@group.calendar.google.com"/>
        <s v="c_35f3aada7c9c0ba626ac56e6cf10c5959c56663450ffd058a5bdc005508d0954@group.calendar.google.com"/>
        <s v="c_14943542450de5ffc0c20a93db15c7c0757a89aaa373292182138a3a691be245@group.calendar.google.com"/>
        <s v="c_df86b3d6c5aa83af7e7dadc1108907ecb89d8fc7e4b645a62e375b31e7b5e3a3@group.calendar.google.com"/>
        <s v="c_0d9eaa4cfb55a8e552117f53a91a7c3c2f5164632253d0e265f7de4e3a4737c4@group.calendar.google.com"/>
        <s v="c_d2ee2c2110f1f2bc5b089d0edb8b480581f78d93077274c225fcfc530518b2ca@group.calendar.google.com"/>
        <s v="c_db1fbd259183311b30d5bfa9e5494d85e4aa71562c2d699763ba11e15f3e8a3b@group.calendar.google.com"/>
        <s v="c_a80d776e58d8881ef4e876da99555e813842eeed9733f23e6f4b85d237e1fdec@group.calendar.google.com"/>
        <s v="c_2208b8e561439ebc2637feb15fe2d308d5719cc64460071de6ba0c674eba6118@group.calendar.google.com"/>
        <s v="c_b534e1be73647e660d74cbb308a8c39b0102a8b56261b3886e0967d9ee34f368@group.calendar.google.com"/>
        <s v="c_0fe46f911aa7c417189a62fdd8716ddaaef232a02bd45c49b9c02c6d6e2e4815@group.calendar.google.com"/>
        <s v="c_056be6e79a6fa62e8f2a68280313995615b47a17f2b3679481d262413ec95701@group.calendar.google.com"/>
        <s v="c_4bf2087a99450838a520f4ce4fc6de01f87130a4f381347449792eaf1546cc46@group.calendar.google.com"/>
        <s v="c_82243c858a94977b161cc883035793aa376a03b467dcc33d001d9ca49835cdb3@group.calendar.google.com"/>
        <s v="c_c2a91e309d1b6dc37cabc837fe79ebdcdbabcaff13a6376ec109ab3d73862812@group.calendar.google.com"/>
        <s v="c_311aaffc8651807276a982d2e3621559621998746b9adad33a9304b73b24dbd9@group.calendar.google.com"/>
        <s v="c_3049f29ec7ef21ab890fb708cade8a20fa94574faa4b9a9f528d8a665fbc6262@group.calendar.google.com"/>
        <s v="c_ebde6df3eb6b0899fbe6696247d2e4255b950c6e1d491bbce480648f603c2f22@group.calendar.google.com"/>
        <s v="c_2ab5bc877123c6d06b681700306d382bcc765d7810badc543daeacf05260ecd9@group.calendar.google.com"/>
        <s v="c_ef2f5a817a776785477f597bd1081d6a57d8380a8013026b8ce9895920f902e2@group.calendar.google.com"/>
        <s v="c_82544f5a034269c2d78a04494afd80a3940635f25bd2a7f23eb7c2af3d0dd46f@group.calendar.google.com"/>
      </sharedItems>
    </cacheField>
    <cacheField name="Date Estimée de Réception" numFmtId="0">
      <sharedItems containsDate="1" containsString="0" containsBlank="1">
        <m/>
        <d v="2024-09-04T00:00:00Z"/>
      </sharedItems>
    </cacheField>
    <cacheField name="Date Réelle de Réception" numFmtId="0">
      <sharedItems containsString="0" containsBlank="1">
        <m/>
      </sharedItems>
    </cacheField>
    <cacheField name="Status Colis" numFmtId="0">
      <sharedItems containsBlank="1">
        <m/>
        <s v="Reçu"/>
        <s v="Pas reçu"/>
        <s v="En Attente"/>
      </sharedItems>
    </cacheField>
    <cacheField name="Commentaires" numFmtId="0">
      <sharedItems containsString="0" containsBlank="1">
        <m/>
      </sharedItems>
    </cacheField>
    <cacheField name="ID Form" numFmtId="0">
      <sharedItems containsBlank="1">
        <m/>
        <s v="1F40mnL3JpqXpe0o5qrbDG4GuV9h68eR7gA-3pUAyNHM"/>
      </sharedItems>
    </cacheField>
  </cacheFields>
</pivotCacheDefinition>
</file>

<file path=xl/pivotCache/pivotCacheDefinition1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AC1405" sheet="Global1"/>
  </cacheSource>
  <cacheFields>
    <cacheField name="Talent" numFmtId="0">
      <sharedItems containsBlank="1">
        <s v="Pauline"/>
        <s v="Chiara"/>
        <s v="Melissa"/>
        <s v="Camille"/>
        <s v="Lily Noël"/>
        <s v="Lina"/>
        <s v="Flavie"/>
        <s v="Jessica"/>
        <s v="Orane"/>
        <s v="Lola"/>
        <s v="Juliane"/>
        <s v="Alice"/>
        <s v="Laurie"/>
        <s v="Perrine"/>
        <s v="Morgane"/>
        <s v="Lise"/>
        <s v="Jeanne"/>
        <s v="Mary"/>
        <s v="Melissa P"/>
        <s v="Anaïs"/>
        <s v="Salma"/>
        <s v="Aïcha"/>
        <s v="Jasmine"/>
        <s v="Asmae"/>
        <s v="Rachel"/>
        <s v="Arwen"/>
        <s v="Iman"/>
        <s v="Moped"/>
        <s v="Dounia"/>
        <s v="Gurbet"/>
        <s v="Amani"/>
        <s v="Hidaya"/>
        <s v="Sirine"/>
        <s v="Eloise"/>
        <s v="Imane"/>
        <s v="Marine"/>
        <s v="Sofia"/>
        <s v="Sarah"/>
        <s v="Eiliassa"/>
        <s v="Farah"/>
        <s v="Estelle"/>
        <s v="Juliette"/>
        <s v="Nidal"/>
        <s v="Lola H."/>
        <s v="Morgane C"/>
        <s v="Chloe"/>
        <s v="Laura"/>
        <s v="Lilou"/>
        <s v="Lily"/>
        <s v="Amanda"/>
        <s v="Glenn"/>
        <s v="--"/>
        <s v="Amelle"/>
        <s v="Angie"/>
        <s v="Fanny"/>
        <s v="Laurine"/>
        <s v="Marlène"/>
        <s v="Migos Media"/>
        <s v="Romane"/>
        <s v="Maeva"/>
        <s v="Gurbet "/>
        <s v="Juliette D"/>
        <s v="Laura F"/>
        <m/>
      </sharedItems>
    </cacheField>
    <cacheField name="Date Création" numFmtId="164">
      <sharedItems containsDate="1" containsString="0" containsBlank="1">
        <d v="2024-03-01T00:00:00Z"/>
        <d v="2024-03-15T00:00:00Z"/>
        <m/>
        <d v="2024-03-30T00:00:00Z"/>
        <d v="2024-03-25T00:00:00Z"/>
        <d v="2024-04-08T00:00:00Z"/>
        <d v="2024-04-11T00:00:00Z"/>
        <d v="2024-03-21T00:00:00Z"/>
        <d v="2024-04-25T00:00:00Z"/>
        <d v="2024-04-19T00:00:00Z"/>
        <d v="2024-05-07T00:00:00Z"/>
        <d v="2024-05-06T00:00:00Z"/>
        <d v="2024-05-02T00:00:00Z"/>
        <d v="2024-05-13T00:00:00Z"/>
        <d v="2024-05-14T00:00:00Z"/>
        <d v="2024-03-20T00:00:00Z"/>
        <d v="2024-04-10T00:00:00Z"/>
        <d v="2024-05-30T00:00:00Z"/>
        <d v="2024-05-11T00:00:00Z"/>
        <d v="2024-04-30T00:00:00Z"/>
        <d v="2024-05-23T00:00:00Z"/>
        <d v="2024-05-16T00:00:00Z"/>
        <d v="2024-06-08T00:00:00Z"/>
        <d v="2024-06-20T00:00:00Z"/>
        <d v="2024-06-18T00:00:00Z"/>
        <d v="2024-06-12T00:00:00Z"/>
        <d v="2024-06-24T00:00:00Z"/>
        <d v="2024-06-11T00:00:00Z"/>
        <d v="2024-07-16T00:00:00Z"/>
        <d v="2024-07-25T00:00:00Z"/>
        <d v="2024-07-03T00:00:00Z"/>
        <d v="2024-06-17T00:00:00Z"/>
        <d v="2024-06-27T00:00:00Z"/>
        <d v="2024-07-06T00:00:00Z"/>
        <d v="2024-06-14T00:00:00Z"/>
        <d v="2024-07-24T00:00:00Z"/>
        <d v="2024-07-10T00:00:00Z"/>
        <d v="2024-08-01T00:00:00Z"/>
        <d v="2024-07-04T00:00:00Z"/>
        <d v="2024-07-23T00:00:00Z"/>
        <d v="2024-07-21T00:00:00Z"/>
        <d v="2024-08-06T00:00:00Z"/>
        <d v="2024-07-29T00:00:00Z"/>
        <d v="2024-07-30T00:00:00Z"/>
        <d v="2024-07-17T00:00:00Z"/>
        <d v="2024-08-02T00:00:00Z"/>
        <d v="2024-07-31T00:00:00Z"/>
        <d v="2024-08-21T00:00:00Z"/>
        <d v="2024-08-19T00:00:00Z"/>
        <d v="2024-08-13T00:00:00Z"/>
        <d v="2024-09-11T00:00:00Z"/>
        <d v="2024-08-16T00:00:00Z"/>
        <d v="2024-09-12T00:00:00Z"/>
        <d v="2024-08-23T00:00:00Z"/>
        <d v="2024-09-04T00:00:00Z"/>
        <d v="2025-05-20T00:00:00Z"/>
        <d v="2024-09-09T00:00:00Z"/>
        <d v="2024-08-28T00:00:00Z"/>
        <d v="2024-09-14T00:00:00Z"/>
        <d v="2024-09-13T00:00:00Z"/>
        <d v="2024-08-20T00:00:00Z"/>
        <d v="2024-09-26T00:00:00Z"/>
        <d v="2024-08-29T00:00:00Z"/>
        <d v="2025-05-13T00:00:00Z"/>
        <d v="2024-09-03T00:00:00Z"/>
        <d v="2024-09-27T00:00:00Z"/>
        <d v="2024-10-01T00:00:00Z"/>
        <d v="2025-05-07T00:00:00Z"/>
        <d v="2024-10-28T00:00:00Z"/>
        <d v="2024-09-10T00:00:00Z"/>
        <d v="2024-10-15T00:00:00Z"/>
        <d v="2024-10-29T00:00:00Z"/>
        <d v="2024-10-24T00:00:00Z"/>
        <d v="2024-10-02T00:00:00Z"/>
        <d v="2024-10-30T00:00:00Z"/>
        <d v="2024-10-14T00:00:00Z"/>
        <d v="2024-10-25T00:00:00Z"/>
        <d v="2024-11-05T00:00:00Z"/>
        <d v="2024-11-08T00:00:00Z"/>
        <d v="2024-11-04T00:00:00Z"/>
        <d v="2024-10-23T00:00:00Z"/>
        <d v="2024-11-29T00:00:00Z"/>
        <d v="2024-11-19T00:00:00Z"/>
        <d v="2024-12-09T00:00:00Z"/>
        <d v="2024-11-26T00:00:00Z"/>
        <d v="2024-11-25T00:00:00Z"/>
        <d v="2024-12-05T00:00:00Z"/>
        <d v="2024-12-16T00:00:00Z"/>
        <d v="2024-11-11T00:00:00Z"/>
        <d v="2024-12-03T00:00:00Z"/>
        <d v="2024-12-24T00:00:00Z"/>
        <d v="2025-02-20T00:00:00Z"/>
        <d v="2024-12-23T00:00:00Z"/>
        <d v="2025-01-07T00:00:00Z"/>
        <d v="2024-12-12T00:00:00Z"/>
        <d v="2025-01-21T00:00:00Z"/>
        <d v="2025-01-24T00:00:00Z"/>
        <d v="2025-01-17T00:00:00Z"/>
        <d v="2025-01-09T00:00:00Z"/>
        <d v="2025-01-27T00:00:00Z"/>
        <d v="2025-01-23T00:00:00Z"/>
        <d v="2024-10-22T00:00:00Z"/>
        <d v="2024-10-21T00:00:00Z"/>
        <d v="2025-01-22T00:00:00Z"/>
        <d v="2025-01-16T00:00:00Z"/>
        <d v="2025-02-12T00:00:00Z"/>
        <d v="2025-02-18T00:00:00Z"/>
        <d v="2025-01-29T00:00:00Z"/>
        <d v="2025-02-14T00:00:00Z"/>
        <d v="2025-02-15T00:00:00Z"/>
        <d v="2025-02-06T00:00:00Z"/>
        <d v="2025-02-21T00:00:00Z"/>
        <d v="2025-03-31T00:00:00Z"/>
        <d v="2025-02-26T00:00:00Z"/>
        <d v="2025-02-28T00:00:00Z"/>
        <d v="2025-02-25T00:00:00Z"/>
        <d v="2025-02-19T00:00:00Z"/>
        <d v="2025-03-11T00:00:00Z"/>
        <d v="2025-03-21T00:00:00Z"/>
        <d v="2025-03-12T00:00:00Z"/>
        <d v="2025-03-17T00:00:00Z"/>
        <d v="2025-03-24T00:00:00Z"/>
        <d v="2025-03-10T00:00:00Z"/>
        <d v="2025-03-14T00:00:00Z"/>
        <d v="2025-04-17T00:00:00Z"/>
        <d v="2025-03-16T00:00:00Z"/>
        <d v="2025-04-04T00:00:00Z"/>
        <d v="2025-04-07T00:00:00Z"/>
        <d v="2025-04-15T00:00:00Z"/>
        <d v="2025-04-25T00:00:00Z"/>
        <d v="2025-05-16T00:00:00Z"/>
        <d v="2025-04-14T00:00:00Z"/>
        <d v="2025-03-28T00:00:00Z"/>
        <d v="2025-03-06T00:00:00Z"/>
        <d v="2025-03-20T00:00:00Z"/>
        <d v="2025-04-09T00:00:00Z"/>
        <d v="2025-04-11T00:00:00Z"/>
        <d v="2025-03-13T00:00:00Z"/>
        <d v="2025-04-08T00:00:00Z"/>
        <d v="2025-04-30T00:00:00Z"/>
        <d v="2025-04-21T00:00:00Z"/>
        <d v="2025-06-02T00:00:00Z"/>
        <d v="2025-06-10T00:00:00Z"/>
        <d v="2025-03-30T00:00:00Z"/>
        <d v="2025-03-26T00:00:00Z"/>
        <d v="2025-06-20T00:00:00Z"/>
        <d v="2025-02-10T00:00:00Z"/>
        <d v="2025-05-19T00:00:00Z"/>
        <d v="2025-04-24T00:00:00Z"/>
        <d v="2025-06-26T00:00:00Z"/>
        <d v="2025-05-23T00:00:00Z"/>
        <d v="2025-05-06T00:00:00Z"/>
        <d v="2025-05-24T00:00:00Z"/>
        <d v="2025-06-05T00:00:00Z"/>
        <d v="2025-05-27T00:00:00Z"/>
        <d v="2025-06-12T00:00:00Z"/>
        <d v="2025-05-28T00:00:00Z"/>
        <d v="2025-06-16T00:00:00Z"/>
        <d v="2025-06-18T00:00:00Z"/>
        <d v="2025-06-11T00:00:00Z"/>
        <d v="2025-06-23T00:00:00Z"/>
        <d v="2025-02-03T00:00:00Z"/>
        <d v="2025-06-04T00:00:00Z"/>
        <d v="2025-05-22T00:00:00Z"/>
        <d v="2025-06-22T00:00:00Z"/>
        <d v="2025-07-16T00:00:00Z"/>
        <d v="2025-06-19T00:00:00Z"/>
        <d v="2025-07-01T00:00:00Z"/>
        <d v="2025-06-17T00:00:00Z"/>
        <d v="2025-06-13T00:00:00Z"/>
        <d v="2025-07-03T00:00:00Z"/>
        <d v="2024-10-18T00:00:00Z"/>
        <d v="2025-05-29T00:00:00Z"/>
        <d v="2025-06-30T00:00:00Z"/>
        <d v="2025-03-07T00:00:00Z"/>
        <d v="2024-09-08T00:00:00Z"/>
        <d v="2024-10-08T00:00:00Z"/>
        <d v="2024-11-13T00:00:00Z"/>
        <d v="2024-12-10T00:00:00Z"/>
        <d v="2024-12-04T00:00:00Z"/>
        <d v="2024-06-07T00:00:00Z"/>
        <d v="2024-05-31T00:00:00Z"/>
        <d v="2025-02-23T00:00:00Z"/>
        <d v="2024-11-07T00:00:00Z"/>
        <d v="2024-11-28T00:00:00Z"/>
        <d v="2024-12-18T00:00:00Z"/>
        <d v="2025-02-11T00:00:00Z"/>
        <d v="2025-02-07T00:00:00Z"/>
        <d v="2024-09-05T00:00:00Z"/>
        <d v="2024-12-13T00:00:00Z"/>
        <d v="2024-03-08T00:00:00Z"/>
        <d v="2024-04-22T00:00:00Z"/>
        <d v="2024-05-17T00:00:00Z"/>
        <d v="2024-04-24T00:00:00Z"/>
        <d v="2024-05-24T00:00:00Z"/>
        <d v="2024-07-19T00:00:00Z"/>
        <d v="2024-08-09T00:00:00Z"/>
        <d v="2024-07-01T00:00:00Z"/>
        <d v="2024-08-26T00:00:00Z"/>
        <d v="2024-09-17T00:00:00Z"/>
        <d v="2024-09-25T00:00:00Z"/>
        <d v="2024-09-30T00:00:00Z"/>
        <d v="2024-10-10T00:00:00Z"/>
        <d v="2024-12-02T00:00:00Z"/>
        <d v="2025-01-06T00:00:00Z"/>
        <d v="2025-01-13T00:00:00Z"/>
        <d v="2024-06-26T00:00:00Z"/>
        <d v="2024-08-07T00:00:00Z"/>
        <d v="2024-07-11T00:00:00Z"/>
        <d v="2024-09-16T00:00:00Z"/>
        <d v="2024-11-14T00:00:00Z"/>
        <d v="2024-03-22T00:00:00Z"/>
        <d v="2024-04-06T00:00:00Z"/>
        <d v="2024-04-07T00:00:00Z"/>
        <d v="2024-06-04T00:00:00Z"/>
        <d v="2024-10-11T00:00:00Z"/>
        <d v="2024-03-23T00:00:00Z"/>
        <d v="2024-04-04T00:00:00Z"/>
        <d v="2024-04-09T00:00:00Z"/>
        <d v="2024-05-21T00:00:00Z"/>
        <d v="2024-05-27T00:00:00Z"/>
        <d v="2024-08-27T00:00:00Z"/>
        <d v="2025-04-12T00:00:00Z"/>
        <d v="2024-02-28T00:00:00Z"/>
        <d v="2024-05-28T00:00:00Z"/>
        <d v="2024-09-23T00:00:00Z"/>
        <d v="2024-06-30T00:00:00Z"/>
        <d v="2024-09-20T00:00:00Z"/>
        <d v="2024-10-07T00:00:00Z"/>
        <d v="2024-03-27T00:00:00Z"/>
        <d v="2024-04-13T00:00:00Z"/>
        <d v="2024-04-27T00:00:00Z"/>
        <d v="2024-01-15T00:00:00Z"/>
        <d v="2024-01-14T00:00:00Z"/>
        <d v="2025-03-18T00:00:00Z"/>
        <d v="2024-05-18T00:00:00Z"/>
        <d v="2024-06-19T00:00:00Z"/>
        <d v="2024-10-09T00:00:00Z"/>
        <d v="2024-11-12T00:00:00Z"/>
        <d v="2024-12-19T00:00:00Z"/>
        <d v="2025-02-22T00:00:00Z"/>
        <d v="2024-03-26T00:00:00Z"/>
        <d v="2024-05-20T00:00:00Z"/>
        <d v="2024-07-08T00:00:00Z"/>
        <d v="2024-11-22T00:00:00Z"/>
        <d v="2024-10-31T00:00:00Z"/>
        <d v="2024-07-15T00:00:00Z"/>
        <d v="2024-09-24T00:00:00Z"/>
        <d v="2024-02-15T00:00:00Z"/>
        <d v="2024-04-26T00:00:00Z"/>
        <d v="2024-06-03T00:00:00Z"/>
        <d v="2024-04-12T00:00:00Z"/>
        <d v="2024-07-09T00:00:00Z"/>
        <d v="2024-09-29T00:00:00Z"/>
        <d v="2024-10-06T00:00:00Z"/>
        <d v="2024-10-16T00:00:00Z"/>
        <d v="2024-09-19T00:00:00Z"/>
        <d v="2024-03-28T00:00:00Z"/>
        <d v="2024-10-17T00:00:00Z"/>
        <d v="2025-04-29T00:00:00Z"/>
        <d v="2024-03-18T00:00:00Z"/>
        <d v="2024-08-14T00:00:00Z"/>
        <d v="2024-09-01T00:00:00Z"/>
        <d v="2024-11-15T00:00:00Z"/>
        <d v="2025-01-03T00:00:00Z"/>
        <d v="2024-07-18T00:00:00Z"/>
        <d v="2025-07-11T00:00:00Z"/>
        <d v="2025-07-18T00:00:00Z"/>
        <d v="2025-07-21T00:00:00Z"/>
        <d v="2025-07-22T00:00:00Z"/>
        <d v="2025-07-24T00:00:00Z"/>
        <d v="2025-07-25T00:00:00Z"/>
        <d v="2025-07-28T00:00:00Z"/>
        <d v="2025-06-24T00:00:00Z"/>
        <d v="2025-07-14T00:00:00Z"/>
        <d v="2025-06-27T00:00:00Z"/>
        <d v="2025-01-31T00:00:00Z"/>
        <d v="2025-07-07T00:00:00Z"/>
        <d v="2025-07-09T00:00:00Z"/>
        <d v="2025-07-17T00:00:00Z"/>
        <d v="2025-07-29T00:00:00Z"/>
        <d v="2025-07-31T00:00:00Z"/>
      </sharedItems>
    </cacheField>
    <cacheField name="Marque" numFmtId="3">
      <sharedItems containsBlank="1">
        <s v="BYS Maquillage"/>
        <s v="Yepoda"/>
        <s v="Rimmel London"/>
        <s v="SHEIN"/>
        <s v="Yves Rocher"/>
        <s v="Temu"/>
        <s v="Anua"/>
        <s v="SOS Beauty"/>
        <s v="Haru Haru Wonder"/>
        <s v="Maybelline"/>
        <s v="Koru"/>
        <s v="PINKO PAZZESCO"/>
        <s v="GHD"/>
        <s v="SKIN1004"/>
        <s v="Les Pistolets en Plastique"/>
        <s v="Rose Skin Co."/>
        <s v="Skin &amp; Out"/>
        <s v="Dyson"/>
        <s v="Satinée"/>
        <s v="BodyCross"/>
        <s v="Garnier"/>
        <s v="Eau Thermale Jonzac"/>
        <s v="So Bio Etic"/>
        <s v="Terre de Mars"/>
        <s v="Commonlabs"/>
        <s v="BENEFIT"/>
        <s v="Anastasia Beverly Hills"/>
        <s v="Grande Cosmetics"/>
        <s v="Mixa"/>
        <s v="My House of Jewels"/>
        <s v="Uriage"/>
        <s v="Erborian"/>
        <s v="Lancôme "/>
        <s v="Nocibé"/>
        <s v="Crocs"/>
        <s v="JOLT"/>
        <s v="Ducray"/>
        <s v="Bioré"/>
        <s v="La Roche Posay"/>
        <s v="Yesstyle"/>
        <s v="Sheglam"/>
        <s v="Abib"/>
        <s v="Bershka"/>
        <s v="Dr.Althea"/>
        <s v="Stylevana"/>
        <s v="Dreame"/>
        <s v="Lancôme"/>
        <s v="Wandernana"/>
        <s v="Essence"/>
        <s v="Monopoly Go"/>
        <s v="Frank Provost"/>
        <s v="Myriam K Paris"/>
        <s v="Sol De Janeiro"/>
        <s v="Mixsoon"/>
        <s v="Current Body"/>
        <s v="Aïa Curl"/>
        <s v="Aromazone"/>
        <s v="iHerb"/>
        <s v="Mova"/>
        <s v="L'Oréal"/>
        <s v="Hacoo"/>
        <s v="Biocyte"/>
        <s v="Musc Intime"/>
        <s v="NYX"/>
        <s v="L'Oreal"/>
        <s v="Remington"/>
        <s v="Dynveo"/>
        <s v="Vitavea"/>
        <s v="Uberliss"/>
        <s v="Luxéol"/>
        <s v="Darry Ring"/>
        <s v="Capcut"/>
        <s v="Redken"/>
        <s v="Naali"/>
        <s v="Cerave"/>
        <s v="Paalm Cosmetics"/>
        <s v="Shavest"/>
        <s v="Inava"/>
        <s v="Cellublue"/>
        <s v="Caudalie"/>
        <s v="Voghion"/>
        <s v="BeReal"/>
        <s v="Current Body "/>
        <s v="Ali Express"/>
        <s v="Keracare"/>
        <s v="ZIIP"/>
        <s v="Feel My Skin"/>
        <s v="BYD"/>
        <s v="ISIS Pharma"/>
        <s v="Sanytol"/>
        <s v="Mavatys"/>
        <s v="Sanex"/>
        <s v="My Little Box "/>
        <s v="Lazartigue"/>
        <s v="Solinotes"/>
        <s v="It Fruit"/>
        <s v="TORRAS"/>
        <s v="Medicube"/>
        <s v="H&amp;S"/>
        <s v="Perroy Parfum"/>
        <s v="Nike"/>
        <s v="Bella Barrnett"/>
        <s v="Passion Marine"/>
        <s v="Avene"/>
        <s v="Beauty Of Joseon"/>
        <s v="Etiaxil"/>
        <s v="Just Spin"/>
        <s v="PlanJoy"/>
        <s v="YTTP"/>
        <s v="Sanytol "/>
        <s v="Dior"/>
        <s v="Pretty Little Things"/>
        <s v="L'Univers de Baya"/>
        <s v="Bob Oré"/>
        <s v="YSL"/>
        <s v="Ouvéa"/>
        <s v="Cider"/>
        <s v="Milk Make Up"/>
        <s v="SPA &amp; BIEN ÊTRE - GRAVITI"/>
        <s v="Ole Henriksen"/>
        <s v="Rare Beauty"/>
        <s v="Lancôme #MWL"/>
        <s v="Clarine"/>
        <s v="SHU UEMURA"/>
        <s v="Aveda"/>
        <s v="Clinique"/>
        <s v="KIEHLS"/>
        <s v="Embryolisse"/>
        <s v="Focus Skincare"/>
        <s v="MILK"/>
        <s v="Superdry"/>
        <s v="Prada"/>
        <s v="YSL Stylo Touche Éclat"/>
        <s v="R.E.M Beauty"/>
        <s v="IT Cosmetics"/>
        <s v="Lancôme - HYPNOSE DRAMA 🖤"/>
        <s v="Charlotte Tilburry (Nice Work)"/>
        <s v="YSL Beauty Summer Box"/>
        <s v="Fenty"/>
        <s v="Dr. Dennis Gross (Nice Work)"/>
        <s v="YSL Blushs "/>
        <s v="Valentino"/>
        <s v="Huda Beauty"/>
        <s v="Sephora"/>
        <s v="Charlotte Tilburry"/>
        <s v="The Inkey List"/>
        <s v="Cecotec"/>
        <s v="Vichy"/>
        <s v="Flower Knows"/>
        <s v="Rituals"/>
        <s v="Respire"/>
        <s v="LANEIGE"/>
        <s v="Glow Recipe"/>
        <s v="Franck Provost"/>
        <s v="MAC Cosmetics"/>
        <s v="Milk Makeup (Nice Work)"/>
        <s v="Typology"/>
        <s v="Kiehl's"/>
        <s v="JW PEI"/>
        <s v="Bloom"/>
        <s v="Nars"/>
        <s v="The Commense"/>
        <s v="Bijoux Divins"/>
        <s v="Biotherm"/>
        <s v="Courrèges (Nice Work)"/>
        <s v="Pulpe de Vie"/>
        <s v="Dieti Natura"/>
        <s v="Make Up For Ever"/>
        <s v="Jimmy Fairly"/>
        <s v="Lili Sidonio"/>
        <s v="Dr Jart +"/>
        <s v="Gallinée"/>
        <s v="Evoluderm"/>
        <s v="Drunk Elephant"/>
        <s v="Shokz"/>
        <s v="Fresh"/>
        <s v="Bourjois"/>
        <s v="Too Faced"/>
        <s v="L'Oréal Professionnel"/>
        <s v="NARS (Nice Work)"/>
        <s v="Fenty (Nice Work)"/>
        <s v="Black &amp; White Burger"/>
        <s v="Daylo"/>
        <s v="Maria Nila"/>
        <s v="The Inkey List (Nice Work)"/>
        <s v="Wonderskin"/>
        <s v="Olaplex (Nice Work)"/>
        <s v="Kurku-ma"/>
        <s v="Origins"/>
        <s v="Kielh's"/>
        <s v="SAYANA"/>
        <s v="Havaianas"/>
        <s v="Réelle"/>
        <s v="Rare Beauty (Nice Work)"/>
        <s v="Boohoo"/>
        <s v="Kylie"/>
        <s v="Eau Thermale Jonzac "/>
        <s v="Hawkers"/>
        <s v="The Ordinary"/>
        <s v="Myrimimi"/>
        <s v="Fenty Skin"/>
        <s v="L'Oreal Luxe"/>
        <s v="Maybelline Concours"/>
        <s v="Sol de Janeiro (Nice Work)"/>
        <s v="TOMO"/>
        <s v="TABASQUISHY"/>
        <s v="Armani Beauty"/>
        <s v="Summer Fridays"/>
        <s v="Lanolips"/>
        <s v="Kiko Milano"/>
        <s v="Halal Nutrition"/>
        <s v="Kylie Cosmetics"/>
        <s v="My Little Box"/>
        <s v="Cuure"/>
        <s v="Interview"/>
        <s v="Le Petit Lunetier"/>
        <s v="Maybelline "/>
        <s v="Kalista"/>
        <s v="Neutrogena"/>
        <s v="Néonail"/>
        <s v="Milk Make Up (Nice Work)"/>
        <s v="Ongle24"/>
        <s v="Bobbi Brown"/>
        <s v="Axis-Y"/>
        <s v="Filorga"/>
        <s v="YSL Beauty Summer Box (Nice Work)"/>
        <s v="Estée Lauder"/>
        <s v="ULIKE"/>
        <s v="La Boutique du Coiffeur"/>
        <s v="Weleda"/>
        <s v="Seasonly"/>
        <s v="YSL "/>
        <s v="Air Up"/>
        <s v="Saforelle"/>
        <s v="Chantelle"/>
        <s v="Lancôme Event"/>
        <s v="Hourglass"/>
        <s v="Celimax"/>
        <s v="Dexeryl"/>
        <s v="Steam One "/>
        <s v="Talisma"/>
        <s v="Owari"/>
        <s v="No More Beauty"/>
        <s v="EA Pharma"/>
        <s v="Mymosa"/>
        <s v="Nuxe"/>
        <s v="Coco &amp; Eve"/>
        <s v="Divine Vanille"/>
        <s v="Arencia"/>
        <s v="Axis Y"/>
        <m/>
      </sharedItems>
    </cacheField>
    <cacheField name="Complément">
      <sharedItems containsBlank="1" containsMixedTypes="1" containsNumber="1" containsInteger="1">
        <m/>
        <s v="CA"/>
        <s v="BOURS"/>
        <s v="Lancôme #MWL"/>
        <n v="2.0"/>
        <s v="GRWM for bed"/>
        <s v="Whats in my bag"/>
        <n v="1.0"/>
        <s v="Woo Juicy Tubes"/>
        <s v="Army"/>
        <s v="Shein deals "/>
        <s v="nov"/>
        <s v="janv"/>
        <s v="AMZ"/>
        <s v="Juicy"/>
        <s v="Sun Serum"/>
        <s v="Poremizing"/>
        <s v="PM Clay Stick"/>
        <s v="Relief"/>
        <s v="2-Double Cleansing"/>
        <s v="3-Sun Serum Hyalu"/>
        <s v="4-Tone Brightening"/>
        <s v="Tiktok"/>
        <s v="Mega Haul + Full Face Campaign"/>
        <s v="5- Glow Project"/>
        <s v="Black Friday et du Cyber Monday de SHEIN"/>
        <s v=" 💎SHEGLAM Partnership: SHEGLAM Liquid Fam Festival Glow Set"/>
        <s v="déc"/>
        <s v="👐️ SHEGLAM: Partnership Opportunity"/>
        <s v="1-PM Clay Stick"/>
        <s v="TT"/>
        <s v="Revitalift"/>
        <s v="poremizing quick clay stick mask "/>
        <s v="Poremizing Clay Stick Mask "/>
        <s v="hello kitty"/>
        <s v="février"/>
        <s v="Bold Booster Lip Combo Campaign"/>
        <s v="Big Cil mars"/>
        <s v="Blowdry"/>
        <s v="mars"/>
        <s v="THE Adventure Time X SHEGLAM COLLECTION"/>
        <s v="avril"/>
        <s v="Full SkinCare Routine in 1 Box"/>
        <s v="Double Cleansing"/>
        <s v="Big Cil avril"/>
        <s v="Lissage avril "/>
        <s v="Compléments alimentaire mai"/>
        <s v="Big Cil juin"/>
        <s v="Big Cil mai"/>
        <s v="Hyalu-Cica Sunserum "/>
        <s v="mai"/>
        <s v="Glow project "/>
        <s v="#1Bean Essence + Bean Cream + Centella Sun Cream routine "/>
        <s v="Tone-Brightening Ampoule"/>
        <s v="Glow Project"/>
        <s v="PM Stick "/>
        <s v="Lissage juin"/>
        <s v="skin care routine for beginners "/>
        <s v="Stick Mask"/>
        <s v="Beginner Routine"/>
        <s v="SKIN MASK CLAY"/>
        <s v="Tone Brightening"/>
        <s v="ad"/>
        <s v="UGC Trousse"/>
        <s v="Essentials home"/>
        <s v="UGC"/>
        <s v="Beach day "/>
        <s v="Festival outfitxtravel"/>
        <s v="Essentials home "/>
        <s v="#2 Bean Essence"/>
        <s v="Beach day"/>
        <s v="Bean Essence + Bean Cream + Centella Sun Cream routine"/>
        <s v="Bean Collagen Hydrogel Mask Pack"/>
        <s v="#3 Bean Collagen Hydrogel Mask Pack"/>
        <s v="Festival outfit "/>
        <s v="Collagen Cleansing Balm"/>
        <s v="Centella Sun Cream"/>
        <s v="Bean Cleansing Oil + Centella Cleansing Foam routine"/>
        <s v="Sunscreen Comparison"/>
        <s v="Soondy Centella Asiatica Essnece, Glacier Waster Hyaluronic Acid Serum, Bean Essence Layering"/>
        <s v="#4 Centella Sun Cream"/>
        <s v="Temps forts "/>
        <s v="skin care for beginners "/>
        <s v="sun serum real"/>
        <s v="lash idole"/>
        <s v="Masque"/>
        <s v="Tone brightening "/>
        <s v="PAS REÇU"/>
        <s v="Bean Essence"/>
        <s v=" Precision Sculpt"/>
        <s v="GLOW Project (Hyalu-Cica sun Serum + Probio-cica ampoule)"/>
        <s v="Halloween"/>
        <n v="3.0"/>
        <s v="SPF"/>
        <s v="LIP IDÔLE 💄"/>
        <s v="Juicy Tubes"/>
        <s v="Apres Collection Calendrier"/>
        <s v="Candy Glow"/>
        <s v="LASH IDÔLE"/>
        <s v="Saint Valentin"/>
        <s v="Produits Cultes"/>
        <s v="Best sellers"/>
        <s v="Loveshin &amp; Candy Glaze "/>
        <s v="2024 Black Friday Product Review"/>
        <s v="fev"/>
        <s v="creme solaire"/>
        <s v="Nice Work"/>
        <s v="Calendrier"/>
        <s v="Mascara Flutter Extension"/>
        <s v="Loveshine Plumping Lip Gloss"/>
        <s v="SHEIN Grosses Remises Day ! 🔥 Réglez votre rappel maintenant !"/>
        <s v="Fenty (Nice Work)"/>
        <s v="Hydra Jelly Pocket Lip Jam Campaign"/>
        <s v="Brumes"/>
        <s v="Pimple Patch"/>
        <s v="sérum + gel crème hyalu B5"/>
        <s v="Bell Hypoallergenique"/>
        <s v="CandyGlow"/>
        <s v="Patch"/>
        <s v="Revitalift IG"/>
        <s v="Noël"/>
        <s v="Sélection"/>
        <s v="Lissage mars"/>
        <s v="Mascara"/>
        <s v="Poremizing Light Gel Cream"/>
        <s v="Skincare Routine for Beginners"/>
        <s v="Collagen Glass Skin Mask"/>
        <s v="GLOW Project (Hyalu-Cica sun Serum + Probio-cica ampoule) "/>
        <s v="Cica-Hyal Sun Stick"/>
        <s v="#5 Bean Cleansing Oil + Centella Cleansing Foam routine"/>
        <s v="Centella Clenasing Foam + Centella Toner Pad + Soondy Centella Asiatica Essnece + Bean Cream + Centella Sun Cream Routine"/>
        <s v="Tone-Brightening Ampoule "/>
        <s v="#6 Soondy Centella Asiatica Essnece, Glacier Waster Hyaluronic Acid Serum, Bean Essence Layering"/>
        <s v="#7 Bean Cream"/>
        <s v="#8 Soybean Milk Serum"/>
        <s v="#9 Cica-Hyal Sun Stick"/>
        <s v="#10 Centella Clenasing Foam + Centella Toner Pad + Soondy Centella Asiatica Essnece + Bean Cream + Centella Sun Cream Routine"/>
        <s v="Complement juillet"/>
        <s v="Complement aout"/>
        <s v="Reel"/>
        <s v="Programmé en septembre "/>
      </sharedItems>
    </cacheField>
    <cacheField name=" Brouillon draft">
      <sharedItems containsDate="1" containsBlank="1" containsMixedTypes="1">
        <d v="2024-02-29T00:00:00Z"/>
        <d v="2024-03-14T00:00:00Z"/>
        <d v="2024-04-03T00:00:00Z"/>
        <d v="2024-04-05T00:00:00Z"/>
        <d v="2024-04-15T00:00:00Z"/>
        <d v="2024-04-19T00:00:00Z"/>
        <d v="2024-04-22T00:00:00Z"/>
        <d v="2024-04-26T00:00:00Z"/>
        <d v="2024-04-27T00:00:00Z"/>
        <d v="2024-04-28T00:00:00Z"/>
        <d v="2024-04-29T00:00:00Z"/>
        <d v="2024-05-06T00:00:00Z"/>
        <d v="2024-05-07T00:00:00Z"/>
        <d v="2024-05-08T00:00:00Z"/>
        <d v="2024-05-09T00:00:00Z"/>
        <d v="2024-05-12T00:00:00Z"/>
        <d v="2024-05-13T00:00:00Z"/>
        <d v="2024-05-15T00:00:00Z"/>
        <d v="2024-05-19T00:00:00Z"/>
        <d v="2024-05-24T00:00:00Z"/>
        <d v="2024-05-25T00:00:00Z"/>
        <d v="2024-05-26T00:00:00Z"/>
        <d v="2024-05-30T00:00:00Z"/>
        <d v="2024-06-12T00:00:00Z"/>
        <d v="2024-06-13T00:00:00Z"/>
        <d v="2024-06-14T00:00:00Z"/>
        <d v="2024-06-15T00:00:00Z"/>
        <d v="2024-06-18T00:00:00Z"/>
        <d v="2024-06-16T00:00:00Z"/>
        <d v="2024-06-17T00:00:00Z"/>
        <d v="2024-06-19T00:00:00Z"/>
        <d v="2024-06-20T00:00:00Z"/>
        <d v="2024-06-22T00:00:00Z"/>
        <d v="2024-06-23T00:00:00Z"/>
        <d v="2024-06-24T00:00:00Z"/>
        <d v="2024-06-25T00:00:00Z"/>
        <d v="2024-06-29T00:00:00Z"/>
        <d v="2024-07-02T00:00:00Z"/>
        <d v="2024-07-06T00:00:00Z"/>
        <d v="2024-07-07T00:00:00Z"/>
        <d v="2024-07-08T00:00:00Z"/>
        <d v="2024-07-10T00:00:00Z"/>
        <d v="2024-07-13T00:00:00Z"/>
        <d v="2024-07-17T00:00:00Z"/>
        <d v="2024-07-18T00:00:00Z"/>
        <d v="2024-07-19T00:00:00Z"/>
        <d v="2024-07-21T00:00:00Z"/>
        <d v="2024-07-22T00:00:00Z"/>
        <d v="2024-07-27T00:00:00Z"/>
        <d v="2024-07-29T00:00:00Z"/>
        <d v="2024-07-28T00:00:00Z"/>
        <d v="2024-07-30T00:00:00Z"/>
        <m/>
        <d v="2024-08-02T00:00:00Z"/>
        <d v="2024-08-07T00:00:00Z"/>
        <d v="2024-08-08T00:00:00Z"/>
        <d v="2024-08-11T00:00:00Z"/>
        <d v="2024-08-13T00:00:00Z"/>
        <d v="2024-08-14T00:00:00Z"/>
        <d v="2024-08-16T00:00:00Z"/>
        <d v="2024-08-18T00:00:00Z"/>
        <d v="2024-08-19T00:00:00Z"/>
        <d v="2024-08-20T00:00:00Z"/>
        <d v="2024-08-21T00:00:00Z"/>
        <d v="2024-08-22T00:00:00Z"/>
        <d v="2024-08-25T00:00:00Z"/>
        <d v="2024-08-28T00:00:00Z"/>
        <d v="2024-08-29T00:00:00Z"/>
        <d v="2024-08-30T00:00:00Z"/>
        <d v="2024-09-01T00:00:00Z"/>
        <d v="2024-09-02T00:00:00Z"/>
        <d v="2024-09-04T00:00:00Z"/>
        <d v="2024-09-08T00:00:00Z"/>
        <d v="2024-09-10T00:00:00Z"/>
        <d v="2024-09-12T00:00:00Z"/>
        <d v="2024-08-23T00:00:00Z"/>
        <d v="2024-09-13T00:00:00Z"/>
        <d v="2024-09-14T00:00:00Z"/>
        <d v="2024-09-16T00:00:00Z"/>
        <d v="2024-09-19T00:00:00Z"/>
        <d v="2024-09-22T00:00:00Z"/>
        <d v="2025-06-10T00:00:00Z"/>
        <d v="2024-09-23T00:00:00Z"/>
        <d v="2024-09-24T00:00:00Z"/>
        <d v="2024-09-28T00:00:00Z"/>
        <d v="2024-09-29T00:00:00Z"/>
        <d v="2024-10-06T00:00:00Z"/>
        <d v="2024-10-09T00:00:00Z"/>
        <d v="2024-10-07T00:00:00Z"/>
        <d v="2024-10-11T00:00:00Z"/>
        <d v="2024-10-16T00:00:00Z"/>
        <d v="2024-10-15T00:00:00Z"/>
        <d v="2024-09-21T00:00:00Z"/>
        <d v="2024-10-17T00:00:00Z"/>
        <d v="2024-10-18T00:00:00Z"/>
        <d v="2024-10-23T00:00:00Z"/>
        <d v="2025-06-11T00:00:00Z"/>
        <d v="2024-10-25T00:00:00Z"/>
        <d v="2024-10-27T00:00:00Z"/>
        <d v="2024-11-02T00:00:00Z"/>
        <d v="2024-11-03T00:00:00Z"/>
        <d v="2024-10-28T00:00:00Z"/>
        <d v="2024-10-30T00:00:00Z"/>
        <d v="2024-11-04T00:00:00Z"/>
        <d v="2024-11-05T00:00:00Z"/>
        <d v="2025-06-15T00:00:00Z"/>
        <d v="2024-10-24T00:00:00Z"/>
        <d v="2024-11-07T00:00:00Z"/>
        <d v="2024-11-10T00:00:00Z"/>
        <d v="2024-11-12T00:00:00Z"/>
        <d v="2024-11-06T00:00:00Z"/>
        <d v="2024-11-17T00:00:00Z"/>
        <d v="2024-11-11T00:00:00Z"/>
        <d v="2024-11-18T00:00:00Z"/>
        <d v="2024-11-14T00:00:00Z"/>
        <d v="2024-11-15T00:00:00Z"/>
        <d v="2024-11-19T00:00:00Z"/>
        <d v="2024-11-22T00:00:00Z"/>
        <d v="2024-11-20T00:00:00Z"/>
        <d v="2024-11-21T00:00:00Z"/>
        <d v="2024-11-24T00:00:00Z"/>
        <d v="2024-11-25T00:00:00Z"/>
        <d v="2024-11-28T00:00:00Z"/>
        <d v="2024-11-26T00:00:00Z"/>
        <d v="2024-11-27T00:00:00Z"/>
        <d v="2024-12-11T00:00:00Z"/>
        <s v="ANNULÉ NE PAS SUPP"/>
        <d v="2024-12-14T00:00:00Z"/>
        <d v="2024-12-15T00:00:00Z"/>
        <d v="2024-11-29T00:00:00Z"/>
        <d v="2024-12-03T00:00:00Z"/>
        <d v="2024-12-16T00:00:00Z"/>
        <d v="2025-02-11T00:00:00Z"/>
        <d v="2024-12-19T00:00:00Z"/>
        <d v="2024-12-20T00:00:00Z"/>
        <d v="2024-12-22T00:00:00Z"/>
        <d v="2025-01-03T00:00:00Z"/>
        <d v="2024-12-25T00:00:00Z"/>
        <d v="2024-12-27T00:00:00Z"/>
        <d v="2025-01-20T00:00:00Z"/>
        <d v="2024-12-12T00:00:00Z"/>
        <d v="2025-01-02T00:00:00Z"/>
        <d v="2025-01-10T00:00:00Z"/>
        <d v="2025-03-07T00:00:00Z"/>
        <d v="2025-01-21T00:00:00Z"/>
        <d v="2025-01-24T00:00:00Z"/>
        <d v="2025-01-26T00:00:00Z"/>
        <d v="2025-01-28T00:00:00Z"/>
        <d v="2025-01-30T00:00:00Z"/>
        <d v="2025-01-29T00:00:00Z"/>
        <d v="2025-02-05T00:00:00Z"/>
        <d v="2025-01-31T00:00:00Z"/>
        <d v="2025-02-03T00:00:00Z"/>
        <d v="2025-02-06T00:00:00Z"/>
        <d v="2025-02-13T00:00:00Z"/>
        <d v="2025-02-12T00:00:00Z"/>
        <d v="2025-02-14T00:00:00Z"/>
        <d v="2025-02-15T00:00:00Z"/>
        <d v="2025-02-16T00:00:00Z"/>
        <d v="2025-02-20T00:00:00Z"/>
        <d v="2025-02-19T00:00:00Z"/>
        <d v="2025-02-21T00:00:00Z"/>
        <d v="2025-02-23T00:00:00Z"/>
        <d v="2025-02-27T00:00:00Z"/>
        <d v="2025-02-24T00:00:00Z"/>
        <d v="2025-03-01T00:00:00Z"/>
        <d v="2025-02-25T00:00:00Z"/>
        <d v="2025-03-12T00:00:00Z"/>
        <d v="2025-03-02T00:00:00Z"/>
        <d v="2025-02-28T00:00:00Z"/>
        <d v="2025-03-05T00:00:00Z"/>
        <d v="2025-03-08T00:00:00Z"/>
        <d v="2025-04-16T00:00:00Z"/>
        <d v="2025-03-09T00:00:00Z"/>
        <d v="2025-03-10T00:00:00Z"/>
        <d v="2025-03-11T00:00:00Z"/>
        <d v="2025-03-14T00:00:00Z"/>
        <d v="2025-04-22T00:00:00Z"/>
        <d v="2025-03-16T00:00:00Z"/>
        <d v="2025-03-17T00:00:00Z"/>
        <d v="2025-03-13T00:00:00Z"/>
        <d v="2025-03-18T00:00:00Z"/>
        <d v="2025-03-23T00:00:00Z"/>
        <d v="2025-03-24T00:00:00Z"/>
        <d v="2025-04-20T00:00:00Z"/>
        <d v="2025-03-26T00:00:00Z"/>
        <d v="2025-03-19T00:00:00Z"/>
        <d v="2025-03-20T00:00:00Z"/>
        <d v="2025-04-01T00:00:00Z"/>
        <d v="2025-03-27T00:00:00Z"/>
        <d v="2025-03-30T00:00:00Z"/>
        <d v="2025-04-02T00:00:00Z"/>
        <d v="2025-04-04T00:00:00Z"/>
        <d v="2025-04-03T00:00:00Z"/>
        <d v="2025-04-10T00:00:00Z"/>
        <d v="2025-04-11T00:00:00Z"/>
        <d v="2025-04-14T00:00:00Z"/>
        <d v="2025-05-08T00:00:00Z"/>
        <d v="2025-04-13T00:00:00Z"/>
        <d v="2025-04-15T00:00:00Z"/>
        <d v="2025-04-17T00:00:00Z"/>
        <d v="2025-04-18T00:00:00Z"/>
        <d v="2025-04-19T00:00:00Z"/>
        <d v="2025-05-26T00:00:00Z"/>
        <d v="2025-04-23T00:00:00Z"/>
        <d v="2025-04-24T00:00:00Z"/>
        <d v="2025-04-26T00:00:00Z"/>
        <d v="2025-04-27T00:00:00Z"/>
        <d v="2025-04-28T00:00:00Z"/>
        <d v="2025-04-29T00:00:00Z"/>
        <d v="2025-05-04T00:00:00Z"/>
        <d v="2025-04-30T00:00:00Z"/>
        <d v="2025-05-01T00:00:00Z"/>
        <d v="2025-05-06T00:00:00Z"/>
        <d v="2025-05-07T00:00:00Z"/>
        <d v="2025-05-03T00:00:00Z"/>
        <d v="2025-05-05T00:00:00Z"/>
        <d v="2025-06-29T00:00:00Z"/>
        <d v="2025-06-30T00:00:00Z"/>
        <d v="2025-05-14T00:00:00Z"/>
        <d v="2025-05-09T00:00:00Z"/>
        <d v="2025-05-13T00:00:00Z"/>
        <d v="2025-07-03T00:00:00Z"/>
        <d v="2025-05-17T00:00:00Z"/>
        <d v="2025-05-15T00:00:00Z"/>
        <d v="2025-05-16T00:00:00Z"/>
        <d v="2025-05-21T00:00:00Z"/>
        <d v="2025-05-22T00:00:00Z"/>
        <d v="2025-05-24T00:00:00Z"/>
        <d v="2025-07-07T00:00:00Z"/>
        <d v="2025-07-15T00:00:00Z"/>
        <d v="2025-06-01T00:00:00Z"/>
        <d v="2025-06-02T00:00:00Z"/>
        <d v="2025-05-28T00:00:00Z"/>
        <d v="2025-05-30T00:00:00Z"/>
        <d v="2025-06-05T00:00:00Z"/>
        <d v="2025-06-08T00:00:00Z"/>
        <d v="2025-06-12T00:00:00Z"/>
        <d v="2024-12-04T00:00:00Z"/>
        <d v="2025-06-13T00:00:00Z"/>
        <d v="2025-06-24T00:00:00Z"/>
        <d v="2025-06-17T00:00:00Z"/>
        <d v="2025-06-19T00:00:00Z"/>
        <d v="2025-06-20T00:00:00Z"/>
        <d v="2025-06-22T00:00:00Z"/>
        <d v="2025-06-25T00:00:00Z"/>
        <d v="2025-05-27T00:00:00Z"/>
        <d v="2025-06-07T00:00:00Z"/>
        <d v="2025-06-27T00:00:00Z"/>
        <d v="2025-07-02T00:00:00Z"/>
        <d v="2025-07-01T00:00:00Z"/>
        <d v="2025-07-24T00:00:00Z"/>
        <d v="2025-02-26T00:00:00Z"/>
        <d v="2025-01-11T00:00:00Z"/>
        <d v="2025-06-21T00:00:00Z"/>
        <d v="2025-07-19T00:00:00Z"/>
        <d v="2025-06-04T00:00:00Z"/>
        <d v="2025-07-08T00:00:00Z"/>
        <d v="2025-07-05T00:00:00Z"/>
        <d v="2025-07-06T00:00:00Z"/>
        <d v="2025-07-10T00:00:00Z"/>
        <d v="2025-07-04T00:00:00Z"/>
        <d v="2025-07-09T00:00:00Z"/>
        <d v="2025-07-14T00:00:00Z"/>
        <d v="2025-07-11T00:00:00Z"/>
        <d v="2025-07-13T00:00:00Z"/>
        <d v="2025-07-17T00:00:00Z"/>
        <d v="2025-07-23T00:00:00Z"/>
        <d v="2025-07-18T00:00:00Z"/>
        <d v="2025-07-20T00:00:00Z"/>
        <d v="2025-07-22T00:00:00Z"/>
        <d v="2025-07-25T00:00:00Z"/>
        <d v="2025-08-03T00:00:00Z"/>
        <s v=" "/>
        <d v="2025-07-26T00:00:00Z"/>
        <d v="2025-07-27T00:00:00Z"/>
        <d v="2025-07-28T00:00:00Z"/>
        <d v="2025-07-29T00:00:00Z"/>
        <d v="2025-06-26T00:00:00Z"/>
        <d v="2025-07-30T00:00:00Z"/>
        <d v="2025-07-31T00:00:00Z"/>
        <d v="2025-08-04T00:00:00Z"/>
        <d v="2025-08-05T00:00:00Z"/>
        <d v="2025-08-10T00:00:00Z"/>
        <d v="2025-08-14T00:00:00Z"/>
        <d v="2025-08-18T00:00:00Z"/>
        <d v="2025-08-19T00:00:00Z"/>
        <d v="2025-08-20T00:00:00Z"/>
        <d v="2025-08-25T00:00:00Z"/>
        <d v="2025-09-01T00:00:00Z"/>
        <d v="2025-09-02T00:00:00Z"/>
        <d v="2025-09-14T00:00:00Z"/>
        <d v="2025-09-28T00:00:00Z"/>
        <d v="2025-10-10T00:00:00Z"/>
      </sharedItems>
    </cacheField>
    <cacheField name="Date Début">
      <sharedItems containsDate="1" containsBlank="1" containsMixedTypes="1">
        <m/>
        <d v="2024-03-19T00:00:00Z"/>
        <d v="2024-05-14T00:00:00Z"/>
        <d v="2024-05-25T00:00:00Z"/>
        <d v="2024-05-27T00:00:00Z"/>
        <d v="2024-06-10T00:00:00Z"/>
        <d v="2024-06-18T00:00:00Z"/>
        <d v="2024-06-19T00:00:00Z"/>
        <d v="2024-06-16T00:00:00Z"/>
        <d v="2024-06-24T00:00:00Z"/>
        <d v="2024-07-06T00:00:00Z"/>
        <d v="2024-06-17T00:00:00Z"/>
        <d v="2024-07-01T00:00:00Z"/>
        <d v="2024-07-10T00:00:00Z"/>
        <d v="2024-06-25T00:00:00Z"/>
        <d v="2024-07-19T00:00:00Z"/>
        <d v="2024-08-18T00:00:00Z"/>
        <d v="2024-09-02T00:00:00Z"/>
        <d v="2024-09-16T00:00:00Z"/>
        <d v="2024-10-20T00:00:00Z"/>
        <d v="2025-05-01T00:00:00Z"/>
        <d v="2024-11-01T00:00:00Z"/>
        <d v="2024-11-13T00:00:00Z"/>
        <d v="2024-11-10T00:00:00Z"/>
        <d v="2024-12-10T00:00:00Z"/>
        <d v="2025-01-31T00:00:00Z"/>
        <d v="2025-02-03T00:00:00Z"/>
        <d v="2025-02-13T00:00:00Z"/>
        <d v="2025-01-23T00:00:00Z"/>
        <d v="2025-03-01T00:00:00Z"/>
        <d v="2025-02-28T00:00:00Z"/>
        <d v="2025-02-15T00:00:00Z"/>
        <d v="2025-05-21T00:00:00Z"/>
        <d v="2025-06-05T00:00:00Z"/>
        <d v="2025-07-16T00:00:00Z"/>
        <d v="2025-06-22T00:00:00Z"/>
        <d v="2025-07-01T00:00:00Z"/>
        <s v=" "/>
        <d v="2025-01-09T00:00:00Z"/>
        <d v="2024-09-13T00:00:00Z"/>
        <d v="2024-10-16T00:00:00Z"/>
        <d v="2024-11-18T00:00:00Z"/>
        <d v="2024-01-11T00:00:00Z"/>
        <d v="2024-12-06T00:00:00Z"/>
        <d v="2025-02-27T00:00:00Z"/>
        <d v="2025-04-08T00:00:00Z"/>
        <d v="2025-01-27T00:00:00Z"/>
        <d v="2024-11-11T00:00:00Z"/>
        <d v="2024-11-28T00:00:00Z"/>
        <d v="2024-12-21T00:00:00Z"/>
        <d v="2025-01-13T00:00:00Z"/>
        <d v="2025-02-11T00:00:00Z"/>
        <d v="2025-03-06T00:00:00Z"/>
        <d v="2024-04-01T00:00:00Z"/>
        <d v="2024-04-08T00:00:00Z"/>
        <d v="2024-02-29T00:00:00Z"/>
        <d v="2024-04-18T00:00:00Z"/>
        <d v="2024-06-07T00:00:00Z"/>
        <d v="2024-03-21T00:00:00Z"/>
        <d v="2024-06-20T00:00:00Z"/>
        <d v="2024-07-08T00:00:00Z"/>
        <d v="2024-07-29T00:00:00Z"/>
        <d v="2024-09-01T00:00:00Z"/>
        <d v="2024-09-12T00:00:00Z"/>
        <d v="2024-09-23T00:00:00Z"/>
        <d v="2024-09-28T00:00:00Z"/>
        <d v="2024-09-30T00:00:00Z"/>
        <d v="2024-10-01T00:00:00Z"/>
        <d v="2024-10-12T00:00:00Z"/>
        <d v="2024-11-06T00:00:00Z"/>
        <d v="2024-12-04T00:00:00Z"/>
        <d v="2025-01-16T00:00:00Z"/>
        <d v="2025-01-20T00:00:00Z"/>
        <d v="2024-04-15T00:00:00Z"/>
        <d v="2024-03-26T00:00:00Z"/>
        <d v="2024-04-20T00:00:00Z"/>
        <d v="2024-08-26T00:00:00Z"/>
        <d v="2024-02-28T00:00:00Z"/>
        <d v="2024-04-05T00:00:00Z"/>
        <d v="2024-09-26T00:00:00Z"/>
        <d v="2024-03-01T00:00:00Z"/>
        <d v="2024-10-24T00:00:00Z"/>
        <d v="2024-08-29T00:00:00Z"/>
        <d v="2024-11-15T00:00:00Z"/>
        <d v="2025-02-25T00:00:00Z"/>
        <d v="2024-09-25T00:00:00Z"/>
        <d v="2024-08-06T00:00:00Z"/>
        <d v="2024-08-09T00:00:00Z"/>
        <d v="2024-12-12T00:00:00Z"/>
        <d v="2025-03-25T00:00:00Z"/>
        <d v="2024-07-27T00:00:00Z"/>
        <d v="2024-04-13T00:00:00Z"/>
        <d v="2023-03-23T00:00:00Z"/>
        <d v="2024-08-16T00:00:00Z"/>
        <d v="2024-11-04T00:00:00Z"/>
        <d v="2024-10-29T00:00:00Z"/>
        <d v="2024-01-06T00:00:00Z"/>
        <d v="2025-01-24T00:00:00Z"/>
        <d v="2025-01-29T00:00:00Z"/>
        <d v="2025-02-05T00:00:00Z"/>
        <d v="2024-03-20T00:00:00Z"/>
        <d v="2024-09-14T00:00:00Z"/>
        <d v="2024-10-10T00:00:00Z"/>
        <d v="2024-10-02T00:00:00Z"/>
        <d v="2024-06-14T00:00:00Z"/>
        <d v="2025-01-28T00:00:00Z"/>
        <d v="2024-06-01T00:00:00Z"/>
        <d v="2024-06-11T00:00:00Z"/>
        <d v="2024-12-03T00:00:00Z"/>
        <d v="2024-04-04T00:00:00Z"/>
        <d v="2024-06-27T00:00:00Z"/>
        <d v="2024-07-18T00:00:00Z"/>
        <d v="2024-10-28T00:00:00Z"/>
        <n v="-619148.0"/>
        <d v="2024-10-30T00:00:00Z"/>
        <d v="2024-12-11T00:00:00Z"/>
        <d v="2024-12-02T00:00:00Z"/>
        <d v="2025-01-25T00:00:00Z"/>
        <d v="2024-06-08T00:00:00Z"/>
        <d v="2024-10-25T00:00:00Z"/>
        <d v="2024-03-22T00:00:00Z"/>
        <d v="2024-07-26T00:00:00Z"/>
        <d v="2024-11-08T00:00:00Z"/>
        <d v="2025-09-08T00:00:00Z"/>
        <d v="2025-03-26T00:00:00Z"/>
        <d v="2025-08-10T00:00:00Z"/>
      </sharedItems>
    </cacheField>
    <cacheField name="Date Fin">
      <sharedItems containsDate="1" containsBlank="1" containsMixedTypes="1">
        <d v="2024-03-08T00:00:00Z"/>
        <d v="2024-03-19T00:00:00Z"/>
        <m/>
        <d v="2024-04-06T00:00:00Z"/>
        <d v="2024-04-09T00:00:00Z"/>
        <d v="2024-04-19T00:00:00Z"/>
        <d v="2024-04-22T00:00:00Z"/>
        <d v="2024-04-18T00:00:00Z"/>
        <d v="2024-04-26T00:00:00Z"/>
        <d v="2024-05-02T00:00:00Z"/>
        <d v="2024-05-01T00:00:00Z"/>
        <d v="2024-05-04T00:00:00Z"/>
        <d v="2024-05-08T00:00:00Z"/>
        <d v="2024-05-07T00:00:00Z"/>
        <d v="2024-05-10T00:00:00Z"/>
        <d v="2024-05-13T00:00:00Z"/>
        <d v="2024-05-18T00:00:00Z"/>
        <d v="2024-05-14T00:00:00Z"/>
        <d v="2024-05-17T00:00:00Z"/>
        <d v="2024-05-23T00:00:00Z"/>
        <d v="2024-05-27T00:00:00Z"/>
        <d v="2024-05-29T00:00:00Z"/>
        <d v="2024-05-30T00:00:00Z"/>
        <d v="2024-05-31T00:00:00Z"/>
        <d v="2024-06-16T00:00:00Z"/>
        <d v="2024-06-17T00:00:00Z"/>
        <d v="2024-06-20T00:00:00Z"/>
        <d v="2024-06-22T00:00:00Z"/>
        <d v="2024-06-19T00:00:00Z"/>
        <d v="2024-06-23T00:00:00Z"/>
        <d v="2024-06-25T00:00:00Z"/>
        <d v="2024-06-24T00:00:00Z"/>
        <d v="2024-06-29T00:00:00Z"/>
        <d v="2024-07-06T00:00:00Z"/>
        <d v="2024-06-28T00:00:00Z"/>
        <d v="2024-07-01T00:00:00Z"/>
        <d v="2024-06-26T00:00:00Z"/>
        <d v="2024-06-30T00:00:00Z"/>
        <d v="2024-07-10T00:00:00Z"/>
        <d v="2024-07-07T00:00:00Z"/>
        <d v="2024-07-14T00:00:00Z"/>
        <d v="2024-07-12T00:00:00Z"/>
        <d v="2024-07-23T00:00:00Z"/>
        <d v="2024-07-24T00:00:00Z"/>
        <d v="2024-07-22T00:00:00Z"/>
        <d v="2024-07-21T00:00:00Z"/>
        <d v="2024-07-25T00:00:00Z"/>
        <d v="2024-09-06T00:00:00Z"/>
        <d v="2024-07-26T00:00:00Z"/>
        <d v="2024-08-01T00:00:00Z"/>
        <d v="2024-09-08T00:00:00Z"/>
        <d v="2024-08-06T00:00:00Z"/>
        <d v="2024-08-03T00:00:00Z"/>
        <d v="2024-08-02T00:00:00Z"/>
        <d v="2024-07-20T00:00:00Z"/>
        <d v="2024-07-30T00:00:00Z"/>
        <d v="2024-08-09T00:00:00Z"/>
        <d v="2024-08-16T00:00:00Z"/>
        <d v="2024-08-08T00:00:00Z"/>
        <d v="2024-08-15T00:00:00Z"/>
        <d v="2024-09-07T00:00:00Z"/>
        <d v="2024-08-22T00:00:00Z"/>
        <d v="2024-08-25T00:00:00Z"/>
        <d v="2024-08-18T00:00:00Z"/>
        <d v="2024-08-21T00:00:00Z"/>
        <d v="2024-08-20T00:00:00Z"/>
        <d v="2024-08-23T00:00:00Z"/>
        <d v="2024-09-02T00:00:00Z"/>
        <d v="2024-08-28T00:00:00Z"/>
        <d v="2024-08-24T00:00:00Z"/>
        <d v="2024-08-30T00:00:00Z"/>
        <d v="2024-09-13T00:00:00Z"/>
        <d v="2024-09-18T00:00:00Z"/>
        <d v="2024-09-19T00:00:00Z"/>
        <d v="2024-09-09T00:00:00Z"/>
        <d v="2024-10-02T00:00:00Z"/>
        <d v="2024-10-11T00:00:00Z"/>
        <d v="2024-09-23T00:00:00Z"/>
        <d v="2024-09-21T00:00:00Z"/>
        <d v="2024-10-06T00:00:00Z"/>
        <d v="2024-09-20T00:00:00Z"/>
        <d v="2024-08-10T00:00:00Z"/>
        <d v="2024-09-25T00:00:00Z"/>
        <d v="2025-06-15T00:00:00Z"/>
        <d v="2024-09-30T00:00:00Z"/>
        <d v="2024-09-26T00:00:00Z"/>
        <d v="2024-10-03T00:00:00Z"/>
        <d v="2024-11-02T00:00:00Z"/>
        <d v="2024-11-15T00:00:00Z"/>
        <d v="2024-11-01T00:00:00Z"/>
        <d v="2024-11-08T00:00:00Z"/>
        <d v="2024-10-27T00:00:00Z"/>
        <d v="2024-10-26T00:00:00Z"/>
        <d v="2024-10-28T00:00:00Z"/>
        <d v="2025-06-14T00:00:00Z"/>
        <d v="2024-11-05T00:00:00Z"/>
        <d v="2024-11-16T00:00:00Z"/>
        <d v="2024-11-10T00:00:00Z"/>
        <d v="2024-11-12T00:00:00Z"/>
        <d v="2024-11-11T00:00:00Z"/>
        <d v="2025-06-17T00:00:00Z"/>
        <d v="2024-10-22T00:00:00Z"/>
        <d v="2024-11-07T00:00:00Z"/>
        <d v="2025-02-10T00:00:00Z"/>
        <d v="2024-11-09T00:00:00Z"/>
        <d v="2024-11-29T00:00:00Z"/>
        <d v="2024-12-03T00:00:00Z"/>
        <d v="2024-11-19T00:00:00Z"/>
        <d v="2024-11-30T00:00:00Z"/>
        <d v="2024-11-20T00:00:00Z"/>
        <d v="2024-11-27T00:00:00Z"/>
        <d v="2024-11-22T00:00:00Z"/>
        <d v="2024-11-26T00:00:00Z"/>
        <d v="2024-12-02T00:00:00Z"/>
        <d v="2024-12-09T00:00:00Z"/>
        <d v="2024-11-28T00:00:00Z"/>
        <d v="2024-12-15T00:00:00Z"/>
        <d v="2024-12-17T00:00:00Z"/>
        <d v="2024-12-01T00:00:00Z"/>
        <d v="2024-12-10T00:00:00Z"/>
        <d v="2025-03-05T00:00:00Z"/>
        <d v="2024-12-25T00:00:00Z"/>
        <d v="2024-12-19T00:00:00Z"/>
        <d v="2024-12-29T00:00:00Z"/>
        <d v="2025-01-03T00:00:00Z"/>
        <d v="2025-01-09T00:00:00Z"/>
        <d v="2025-01-10T00:00:00Z"/>
        <d v="2025-01-23T00:00:00Z"/>
        <d v="2025-01-24T00:00:00Z"/>
        <d v="2025-01-25T00:00:00Z"/>
        <d v="2025-01-05T00:00:00Z"/>
        <d v="2025-01-20T00:00:00Z"/>
        <d v="2025-01-13T00:00:00Z"/>
        <d v="2025-03-10T00:00:00Z"/>
        <d v="2025-01-29T00:00:00Z"/>
        <d v="2025-01-15T00:00:00Z"/>
        <d v="2025-01-30T00:00:00Z"/>
        <d v="2025-01-22T00:00:00Z"/>
        <d v="2025-02-07T00:00:00Z"/>
        <d v="2025-02-19T00:00:00Z"/>
        <d v="2025-01-31T00:00:00Z"/>
        <d v="2025-02-04T00:00:00Z"/>
        <d v="2025-02-05T00:00:00Z"/>
        <d v="2025-02-14T00:00:00Z"/>
        <d v="2025-02-08T00:00:00Z"/>
        <d v="2025-02-16T00:00:00Z"/>
        <d v="2025-02-20T00:00:00Z"/>
        <d v="2025-02-21T00:00:00Z"/>
        <d v="2025-02-26T00:00:00Z"/>
        <d v="2025-02-27T00:00:00Z"/>
        <d v="2025-02-22T00:00:00Z"/>
        <d v="2025-02-25T00:00:00Z"/>
        <d v="2025-02-13T00:00:00Z"/>
        <d v="2025-03-31T00:00:00Z"/>
        <d v="2025-03-04T00:00:00Z"/>
        <d v="2025-03-15T00:00:00Z"/>
        <d v="2025-03-12T00:00:00Z"/>
        <d v="2025-04-21T00:00:00Z"/>
        <d v="2025-03-13T00:00:00Z"/>
        <d v="2025-03-16T00:00:00Z"/>
        <d v="2025-03-18T00:00:00Z"/>
        <d v="2025-03-22T00:00:00Z"/>
        <d v="2025-04-23T00:00:00Z"/>
        <d v="2025-03-29T00:00:00Z"/>
        <d v="2025-03-24T00:00:00Z"/>
        <d v="2025-03-14T00:00:00Z"/>
        <d v="2025-03-19T00:00:00Z"/>
        <d v="2025-03-30T00:00:00Z"/>
        <d v="2025-04-26T00:00:00Z"/>
        <d v="2025-03-21T00:00:00Z"/>
        <d v="2025-05-24T00:00:00Z"/>
        <d v="2025-04-01T00:00:00Z"/>
        <d v="2025-04-04T00:00:00Z"/>
        <d v="2025-03-28T00:00:00Z"/>
        <d v="2025-04-06T00:00:00Z"/>
        <d v="2025-04-07T00:00:00Z"/>
        <d v="2025-02-28T00:00:00Z"/>
        <d v="2025-01-14T00:00:00Z"/>
        <d v="2025-04-10T00:00:00Z"/>
        <d v="2025-03-26T00:00:00Z"/>
        <d v="2025-04-09T00:00:00Z"/>
        <d v="2025-04-12T00:00:00Z"/>
        <d v="2025-04-16T00:00:00Z"/>
        <d v="2025-04-19T00:00:00Z"/>
        <d v="2025-05-09T00:00:00Z"/>
        <d v="2025-04-18T00:00:00Z"/>
        <d v="2025-04-25T00:00:00Z"/>
        <d v="2025-04-24T00:00:00Z"/>
        <d v="2025-04-27T00:00:00Z"/>
        <d v="2025-05-19T00:00:00Z"/>
        <d v="2025-05-30T00:00:00Z"/>
        <d v="2025-04-29T00:00:00Z"/>
        <d v="2025-05-01T00:00:00Z"/>
        <d v="2025-04-30T00:00:00Z"/>
        <d v="2025-05-31T00:00:00Z"/>
        <s v="31/04/2025"/>
        <d v="2025-03-06T00:00:00Z"/>
        <d v="2025-05-04T00:00:00Z"/>
        <d v="2025-05-05T00:00:00Z"/>
        <d v="2025-05-02T00:00:00Z"/>
        <d v="2025-05-14T00:00:00Z"/>
        <d v="2025-05-23T00:00:00Z"/>
        <d v="2025-05-08T00:00:00Z"/>
        <d v="2025-05-21T00:00:00Z"/>
        <d v="2025-05-10T00:00:00Z"/>
        <d v="2025-05-16T00:00:00Z"/>
        <d v="2025-05-25T00:00:00Z"/>
        <d v="2025-06-22T00:00:00Z"/>
        <d v="2025-06-30T00:00:00Z"/>
        <d v="2025-05-20T00:00:00Z"/>
        <d v="2025-05-15T00:00:00Z"/>
        <d v="2025-05-17T00:00:00Z"/>
        <d v="2025-07-08T00:00:00Z"/>
        <d v="2025-05-29T00:00:00Z"/>
        <d v="2025-05-22T00:00:00Z"/>
        <d v="2025-07-13T00:00:00Z"/>
        <d v="2025-07-16T00:00:00Z"/>
        <d v="2025-01-17T00:00:00Z"/>
        <d v="2025-06-10T00:00:00Z"/>
        <d v="2025-06-04T00:00:00Z"/>
        <d v="2025-06-05T00:00:00Z"/>
        <d v="2025-02-11T00:00:00Z"/>
        <d v="2025-06-11T00:00:00Z"/>
        <d v="2025-06-13T00:00:00Z"/>
        <d v="2025-04-22T00:00:00Z"/>
        <d v="2025-06-25T00:00:00Z"/>
        <d v="2025-06-18T00:00:00Z"/>
        <d v="2025-06-26T00:00:00Z"/>
        <d v="2025-06-24T00:00:00Z"/>
        <d v="2025-06-29T00:00:00Z"/>
        <d v="2025-07-03T00:00:00Z"/>
        <d v="2025-06-20T00:00:00Z"/>
        <d v="2025-06-28T00:00:00Z"/>
        <d v="2025-07-26T00:00:00Z"/>
        <s v="31/06/2025"/>
        <d v="2025-07-07T00:00:00Z"/>
        <d v="2025-07-18T00:00:00Z"/>
        <d v="2025-06-27T00:00:00Z"/>
        <d v="2025-07-11T00:00:00Z"/>
        <d v="2025-07-04T00:00:00Z"/>
        <d v="2025-07-17T00:00:00Z"/>
        <d v="2025-07-05T00:00:00Z"/>
        <d v="2024-07-13T00:00:00Z"/>
        <d v="2025-07-10T00:00:00Z"/>
        <d v="2025-07-14T00:00:00Z"/>
        <d v="2025-07-19T00:00:00Z"/>
        <d v="2025-07-20T00:00:00Z"/>
        <d v="2025-07-22T00:00:00Z"/>
        <d v="2025-07-27T00:00:00Z"/>
        <d v="2025-07-23T00:00:00Z"/>
        <d v="2025-07-25T00:00:00Z"/>
        <d v="2025-08-15T00:00:00Z"/>
        <d v="2025-07-31T00:00:00Z"/>
        <d v="2025-07-28T00:00:00Z"/>
        <d v="2025-07-29T00:00:00Z"/>
        <d v="2025-08-10T00:00:00Z"/>
        <d v="2025-06-21T00:00:00Z"/>
        <d v="2025-01-28T00:00:00Z"/>
        <d v="2025-06-19T00:00:00Z"/>
        <d v="2024-10-04T00:00:00Z"/>
        <d v="2024-11-25T00:00:00Z"/>
        <d v="2025-08-07T00:00:00Z"/>
        <d v="2025-06-09T00:00:00Z"/>
        <d v="2024-10-10T00:00:00Z"/>
        <d v="2024-10-25T00:00:00Z"/>
        <d v="2024-10-30T00:00:00Z"/>
        <d v="2024-12-24T00:00:00Z"/>
        <d v="2024-07-08T00:00:00Z"/>
        <d v="2025-03-20T00:00:00Z"/>
        <d v="2025-04-28T00:00:00Z"/>
        <d v="2024-09-22T00:00:00Z"/>
        <d v="2024-12-22T00:00:00Z"/>
        <d v="2025-01-11T00:00:00Z"/>
        <d v="2025-03-17T00:00:00Z"/>
        <d v="2024-05-09T00:00:00Z"/>
        <d v="2024-12-28T00:00:00Z"/>
        <d v="2025-01-04T00:00:00Z"/>
        <d v="2024-04-14T00:00:00Z"/>
        <d v="2024-04-29T00:00:00Z"/>
        <d v="2024-05-11T00:00:00Z"/>
        <d v="2024-05-28T00:00:00Z"/>
        <d v="2024-06-02T00:00:00Z"/>
        <d v="2024-06-05T00:00:00Z"/>
        <d v="2024-06-07T00:00:00Z"/>
        <d v="2024-06-21T00:00:00Z"/>
        <d v="2024-07-03T00:00:00Z"/>
        <d v="2024-07-15T00:00:00Z"/>
        <d v="2024-07-28T00:00:00Z"/>
        <d v="2024-09-16T00:00:00Z"/>
        <d v="2024-09-27T00:00:00Z"/>
        <d v="2024-10-07T00:00:00Z"/>
        <d v="2024-10-20T00:00:00Z"/>
        <d v="2024-10-21T00:00:00Z"/>
        <d v="2025-02-06T00:00:00Z"/>
        <d v="2025-02-17T00:00:00Z"/>
        <d v="2025-02-23T00:00:00Z"/>
        <d v="2024-03-01T00:00:00Z"/>
        <d v="2024-12-12T00:00:00Z"/>
        <d v="2024-04-07T00:00:00Z"/>
        <d v="2024-04-11T00:00:00Z"/>
        <d v="2024-04-21T00:00:00Z"/>
        <d v="2024-05-19T00:00:00Z"/>
        <d v="2024-05-20T00:00:00Z"/>
        <d v="2024-08-11T00:00:00Z"/>
        <d v="2024-10-15T00:00:00Z"/>
        <d v="2025-02-15T00:00:00Z"/>
        <d v="2025-03-08T00:00:00Z"/>
        <d v="2024-07-16T00:00:00Z"/>
        <d v="2024-09-15T00:00:00Z"/>
        <d v="2024-10-17T00:00:00Z"/>
        <d v="2024-12-16T00:00:00Z"/>
        <d v="2024-11-14T00:00:00Z"/>
        <d v="2024-10-05T00:00:00Z"/>
        <d v="2025-03-11T00:00:00Z"/>
        <d v="2024-08-07T00:00:00Z"/>
        <d v="2024-08-26T00:00:00Z"/>
        <d v="2024-04-28T00:00:00Z"/>
        <d v="2024-05-03T00:00:00Z"/>
        <d v="2024-05-25T00:00:00Z"/>
        <d v="2025-01-02T00:00:00Z"/>
        <d v="2024-08-12T00:00:00Z"/>
        <d v="2024-04-30T00:00:00Z"/>
        <d v="2024-05-12T00:00:00Z"/>
        <d v="2024-04-10T00:00:00Z"/>
        <d v="2024-11-24T00:00:00Z"/>
        <n v="-619359.0"/>
        <d v="2024-04-15T00:00:00Z"/>
        <d v="2024-08-04T00:00:00Z"/>
        <d v="2024-09-03T00:00:00Z"/>
        <d v="2024-10-16T00:00:00Z"/>
        <d v="2024-12-13T00:00:00Z"/>
        <d v="2025-01-06T00:00:00Z"/>
        <d v="2025-02-24T00:00:00Z"/>
        <d v="2024-12-21T00:00:00Z"/>
        <d v="2024-06-27T00:00:00Z"/>
        <d v="2024-09-01T00:00:00Z"/>
        <d v="2024-10-31T00:00:00Z"/>
        <d v="2024-11-23T00:00:00Z"/>
        <d v="2024-02-15T00:00:00Z"/>
        <d v="2024-05-15T00:00:00Z"/>
        <d v="2024-06-14T00:00:00Z"/>
        <d v="2024-07-27T00:00:00Z"/>
        <d v="2024-09-14T00:00:00Z"/>
        <d v="2024-09-17T00:00:00Z"/>
        <d v="2024-10-08T00:00:00Z"/>
        <d v="2024-06-08T00:00:00Z"/>
        <d v="2024-06-11T00:00:00Z"/>
        <d v="2024-12-20T00:00:00Z"/>
        <d v="2023-02-01T00:00:00Z"/>
        <d v="2024-02-01T00:00:00Z"/>
        <d v="2024-03-28T00:00:00Z"/>
        <d v="2024-03-31T00:00:00Z"/>
        <d v="2024-08-29T00:00:00Z"/>
        <d v="2024-11-03T00:00:00Z"/>
        <d v="2024-12-06T00:00:00Z"/>
        <d v="2024-12-23T00:00:00Z"/>
        <d v="2024-07-11T00:00:00Z"/>
        <d v="2024-08-19T00:00:00Z"/>
        <d v="2025-03-27T00:00:00Z"/>
        <d v="2025-09-15T00:00:00Z"/>
        <d v="2025-08-03T00:00:00Z"/>
        <d v="2025-05-18T00:00:00Z"/>
        <d v="2025-08-14T00:00:00Z"/>
        <d v="2025-08-08T00:00:00Z"/>
        <d v="2025-08-24T00:00:00Z"/>
        <d v="2025-08-13T00:00:00Z"/>
        <d v="2025-09-03T00:00:00Z"/>
        <d v="2025-08-21T00:00:00Z"/>
        <d v="2025-09-06T00:00:00Z"/>
        <d v="2025-09-01T00:00:00Z"/>
        <d v="2025-09-08T00:00:00Z"/>
        <d v="2025-09-19T00:00:00Z"/>
        <d v="2025-09-09T00:00:00Z"/>
        <d v="2025-10-03T00:00:00Z"/>
        <d v="2025-10-15T00:00:00Z"/>
      </sharedItems>
    </cacheField>
    <cacheField name="Status" numFmtId="0">
      <sharedItems containsBlank="1">
        <s v="Fait"/>
        <s v="Facture à envoyer"/>
        <s v="Script Revision Marque"/>
        <s v="Video Validée Marque"/>
        <s v="Video Revision Marque"/>
        <m/>
        <s v="Colis Reçu?"/>
        <s v="Script Validée Marque"/>
      </sharedItems>
    </cacheField>
    <cacheField name="Commentaire" numFmtId="0">
      <sharedItems containsBlank="1">
        <m/>
        <s v="ne pas mentionner d'autres marques 7 jours avant et après @ "/>
        <s v="resultat concours"/>
        <s v="en attente validation marque"/>
        <s v="VALIDÉ"/>
        <s v="Preview Validée"/>
        <s v="⚠️⚠️ demander à Inès code promo vs lien (car code différent)"/>
        <s v="à envoyer à la marque"/>
        <s v="en attente validation"/>
        <s v="envoyer facture"/>
        <s v="en attente info facturation"/>
        <s v="Ne pas envoyer facture au client mais faire une factureEn $$ une fois reception et convertion"/>
        <s v="brief partagé"/>
        <s v="ne pas poster 24h après ⚠️ verifier date (colis reçu le 23/05 = 3S)"/>
        <s v="en attente affiliate code"/>
        <s v="video"/>
        <s v="pas d'autres collabs 3 jours avant et après"/>
        <s v="commande passée"/>
        <s v="⚠️"/>
        <s v="date post à confirmer"/>
        <s v="DESCRIPTION (changement à faire) =&gt; Nouveautés @Anastasia Beverly Hills : Beauty balm &amp; Blurring serum blush ✨ Available from xxxx at Sephora all shades online and limited assortment in store #AD #ABHBLUSH #BLUSHHACK #LIQUIDBLUSH #ABHBeautyBalm #Anastasia"/>
        <s v="DESCRIPTION (changement à faire) =&gt;Makeup After Beachhh with Beauty Balm and Blurring Serum Blush @ANASTASIABEVERLYHILLS available from xxxx at Sephora all shades online and limited assortment in store. (il faudra remplacer les xx par la date de sortie, j"/>
        <s v="brouillon"/>
        <s v="DESCRIPTION (changement à faire) =&gt;⚠️ Date sortie SEPHORA"/>
        <s v="envoyer video à jour que Lily a partagé le 13/08"/>
        <s v="SUN SERUM"/>
        <s v="Partager ad code // DESCRIPTION (changement à faire) =&gt; The perfect complexion for this summer is: Beauty Balm and Blurring Serum Blush by @ANASTASIABEVERLYHILLS vavailable from xxxx (à remplacer par la date quand nous l'aurons) at Sephora all shades onli"/>
        <s v="une fois le paiement paypal faire facture pour € exact"/>
        <s v="DESCRIPTION (changement à faire) =&gt;"/>
        <s v="ajouter avant après"/>
        <s v="attendre retour autres factures"/>
        <s v="pas poster +3/-3   // partager ad code"/>
        <s v="envoyer facture 09/09 avec médiatisation + contenu"/>
        <s v="pas possible de poster le 23"/>
        <s v="⚠️ Dates Mixa -3+3 pas de collabs // date à confirmer"/>
        <s v="à poster"/>
        <s v="médiatisation à confirmer +100€"/>
        <s v="recuperer lien tacké pour IGs"/>
        <s v="IG"/>
        <s v="à refaire (réhaussement de cils)"/>
        <s v="24h no post any // 3 weeks of use"/>
        <s v="faire valider le contenu"/>
        <s v="+code boost"/>
        <s v="pas de média"/>
        <s v="date à définir"/>
        <s v="PERSONALISATION"/>
        <s v="draft: 3 jours apres reception // 26/09/2024 au plus tard // pas de post 12h apres poster"/>
        <s v="modif sur caption"/>
        <s v="Woo Juicy Tubes"/>
        <s v="facture à envoyer mais attendre ad code JEANNE"/>
        <s v="attendre Code boost"/>
        <s v="Facture à faire"/>
        <s v="Tracking Link 72h BIO https://testsgz.app.link/4hqEOX8xbNb"/>
        <s v="modifier caption  / pas de post 24h"/>
        <s v="en attente colis"/>
        <s v="18h"/>
        <s v="(+ usage rights + TikTok spark ads + IG ad codes"/>
        <s v="Reception Colis"/>
        <s v="video+ description"/>
        <s v="activer la fonctionnalité &quot;collaboration commercial&quot;"/>
        <s v="j'ai envoyé une facture en € mais c'est en dollar"/>
        <s v="125 de media à confimer "/>
        <s v="date à confirmer (7jours apres réception colis"/>
        <s v="commande"/>
        <s v="30j Myriam K entre chaque mois"/>
        <s v="cross post IG TT"/>
        <s v="mediat"/>
        <s v="ajouter lien en bio"/>
        <s v="Cross post IG + story swipe"/>
        <s v="rajouter code + 23% par contre impossible de refaire video modifs"/>
        <s v="mais ajouter ingrédient"/>
        <s v="facture faite"/>
        <s v="boost"/>
        <s v="preview"/>
        <s v="attente reception colis"/>
        <s v="facture au 3/03 à faire et envoyer"/>
        <s v="voir pour ajouter Ad"/>
        <s v=" "/>
        <s v="TT + Médiat"/>
        <s v="script idée creat TT médiat : du 1er au 27 avril !"/>
        <s v="médiat de 100€ en plus validée?"/>
        <s v="IGS à partager      IGs+ TIKTOK"/>
        <s v="1 TT"/>
        <s v="Pendant le repas"/>
        <s v="IG Reel médiat 01/03 au 27/03"/>
        <s v="02/03=&gt; idée creative ///// 10/03/2025 brouillon"/>
        <s v="1 IG reel + 1 IGs (3sets) AD CODE⚠️"/>
        <s v="dont 250€ de mediat"/>
        <s v="contrat à faire"/>
        <s v="en attente retour de la marque pour feu vert post"/>
        <s v="poster et partager ad code avant 12h"/>
        <s v="TT"/>
        <s v="x3 videos "/>
        <s v="pas besoin de valider preview 2 stories (10/04 et 11/04)"/>
        <s v="link in bio"/>
        <s v="avec ad code"/>
        <s v="⚠️changement facture - se referer au mail"/>
        <s v="médiatisation"/>
        <s v="dont 250€ mediat"/>
        <s v="integration produit"/>
        <s v="IG reel"/>
        <s v="350€ au lieu de 195 pour la derniere"/>
        <s v="IGS  "/>
        <s v="23/04/2025 preview et 16/04 idée creative"/>
        <s v="script  et preview le 01/05/2025"/>
        <s v="script"/>
        <s v="TT IGreel SNAP"/>
        <s v="poster sur TT"/>
        <s v="81€ en option?"/>
        <s v=": https://amzn.to/3Eubtp1"/>
        <s v="Comme beaucoup de followers lui demandent comment faire partir les taches d’acné, elle pourrait créer une vidéo sous l’un de ces formats : « J’ai trouvé un appareil magique pour éliminer les taches d’acné ! » Je présente le produit en détail.Je montre com"/>
        <s v="avec 100e d'ad code inclu"/>
        <s v="vidéo ok descritpion a modifier"/>
        <s v="TT add code a recup"/>
        <s v="GR check dates"/>
        <s v="pas besoin de revision"/>
        <s v="verifier si Lily a posté et partager lien video"/>
        <s v="Video tournée avant Script // envoyer video quand meme"/>
        <s v="partager les captions modifier repost ig"/>
        <s v="Contenu attendu par la marque"/>
        <s v="IGs ANAIS20 20% valable sur ensemble produit du site"/>
        <s v="médiat"/>
        <s v="TT ANAIS20 20% valable sur ensemble produit du site"/>
        <s v="Script 18/06 TT"/>
        <s v="One INS reel + 30 days ad &amp; organic usage rights+ link in bio"/>
        <s v="idée creative"/>
        <s v="manque HD + Sous Titres"/>
        <s v="idée creative à partager"/>
        <s v="TT + Tiktok Shop (reassort le 12/06"/>
        <s v="Script 18/06 IG + Cross Post Reel + IGs"/>
        <s v="UGC"/>
        <s v="Beach Babe Hair Waver Campaign"/>
        <s v="partager les stats dès le 18 juillet ?"/>
        <s v="Tiktok/ pas chez elle avant le 1 er juillet "/>
        <s v="Tiktok"/>
        <s v="partager dès le 24/07 les screens des statistiques de son contenu UGC aussi cession de droit partager la video en HD"/>
        <s v="4EX"/>
        <s v="TT + IGr"/>
        <s v="on a pas le brief"/>
        <s v="n'a pas le produit"/>
        <s v="avec mediat"/>
        <s v="IG + TT cross post + ad code +UGC"/>
        <s v="3 videos"/>
        <s v="Code promo perso à partager"/>
        <s v="mettre explications en anglais"/>
        <s v="⚠️ Gifting voir avec Gauthier "/>
        <s v="POUR CONTENU UGC AVANT AGENCE"/>
        <s v="TT + Tiktok Shop"/>
        <s v="partager stats"/>
        <s v="pas fait "/>
        <s v="16h30"/>
        <s v="partager à Jolt les détails pour la campagne (date, orna...)"/>
        <s v=": #Kiehlsfrance (TikTok) et @kiehlsfrance (Instagram) et le hashtag : #HYDRATATION"/>
        <s v="Fonctionnement Nice Work"/>
        <s v="3 contenus // pas d'exclu"/>
        <s v="https://docs.google.com/presentation/d/1q4NE7BfV_3-rP4IUQJmAq-Et7OVpK16CYhR5OVpmQYo/edit?usp=sharing"/>
        <s v="Fonctionnement Nice Work - Envoyer lien marque"/>
        <s v="Affiliation 10% // 2 post/mois"/>
        <s v="https://www.tiktok.com/@lavishhcam/video/7384102579849956641?lang=en"/>
        <s v="Reçu"/>
        <s v="Médiatisation "/>
        <s v="envoyer facture MÉDIA EN OPTION 250€ 4semaines 7-18 Octobre"/>
        <s v="Google Ads"/>
        <s v="La semaine du 1er avril"/>
        <s v="7 jours après reception sac"/>
        <s v="ATTENTION NOUVEAU BRIEF?"/>
        <s v="La semaine du 15 avril"/>
        <s v="VOIR MAIL POUR BRIEF"/>
        <s v="⚠️chiara_12  + Lien dans bio"/>
        <s v="Libre"/>
        <s v="Tester les produits et leur faire un retour. Si tu aimes pourquoi pas poster sur Tiktok"/>
        <s v="Photo avant/après"/>
        <s v="pas reçu"/>
        <s v="⚠️bleulividee_12 + Lien dans Bio"/>
        <s v="story juste"/>
        <s v="X2 video"/>
        <s v="en attente Micro Entreprise Jeanne"/>
        <s v="Brief dans mail Sparkle"/>
        <s v="colis pas encore reçu (30/11)"/>
        <s v="Contenu libre"/>
        <s v="laurine_12 + Lien dans bio"/>
        <s v="Post obligatoire sans brief"/>
        <s v="attendre description"/>
        <s v="Dès que possible"/>
        <s v="à poster dès que possible"/>
        <s v="retard livraison"/>
        <s v="Nice Work Fonctionnement "/>
        <s v="https://www.tiktok.com/@lilyy.nl/video/7361800761090526497"/>
        <s v="Attendre avant de facturer Médiatisation "/>
        <s v="Showroom 16h"/>
        <s v="RDV 11h Showroom"/>
        <s v="pas de preview"/>
        <s v="Nice Work"/>
        <s v="https://www.tiktok.com/@melf.fnt/video/7384078329554423073"/>
        <s v="D'ici 2 semaines après 20/03/24"/>
        <s v="https://www.tiktok.com/@melf.fnt/video/7360752268607491360"/>
        <s v="En attente date"/>
        <s v="colis confidentiel jussqu'au 08/10"/>
        <s v="Rappel"/>
        <s v="https://www.tiktok.com/@morgane.mrckk/video/7384031967643307296"/>
        <s v="10h à 18h"/>
        <s v="partager video TT"/>
        <s v="en attente validation contrat"/>
        <s v="Brief"/>
        <s v="Dès réception colis"/>
        <s v="ads big cils"/>
        <s v="RDV 12h Showroom"/>
        <s v="description"/>
        <s v="mercredi 18/09, de 19h à 21h30,"/>
        <s v="IG + TT Cross Post"/>
        <s v="n'a pas reçu les produits"/>
        <s v="demander ce qu'elle pense du produit"/>
        <s v="colis non reçu"/>
        <s v="1 mois d'utilisation? si elle a bien utiliser le produit? lui rappeler de bien mettre photo avant/après dans l video"/>
        <s v="acheter produit Script 18/06 IG + Cross Post Reel + IGs"/>
        <s v="colis recu ? "/>
        <s v="colis recu oui "/>
        <s v="colis recu ? oui "/>
        <s v="IG + Cross post TT"/>
        <s v="x5"/>
        <s v="x6"/>
      </sharedItems>
    </cacheField>
    <cacheField name="Description rapide de la demande" numFmtId="0">
      <sharedItems containsBlank="1">
        <s v="vidéo dédiée maquillage avec la marque Bell."/>
        <s v="post obligatoire avec brief"/>
        <s v="post obligatoire  "/>
        <s v="Brief à respecter"/>
        <s v="Thème du book"/>
        <m/>
        <s v="Post Obligatoire "/>
        <s v="Brief dans mail"/>
        <s v="Ne pas poster / Suivre brief"/>
        <s v="Post avec brief"/>
        <s v="Libre"/>
        <s v="Seeding"/>
        <s v="NiceWork"/>
        <s v="Nice Work"/>
        <s v="Post Obligatoire"/>
        <s v="Fonctionnement Nice Work"/>
        <s v="Pas de brief"/>
        <s v="Consignes Nice Work"/>
        <s v="Post obligatoire sans brief"/>
        <s v="1 Tiktok + 1 Reel"/>
        <s v="1 Tiktok + 1 IG story"/>
        <s v="Post non obligatoire"/>
        <s v="Libre - colis presse"/>
        <s v="Evenement"/>
        <s v="Sans obligation de post"/>
        <s v="Obligation de post"/>
        <s v="Nice Work Fonctionnement"/>
        <s v="Médiatisation"/>
        <s v="Apport D'affaire"/>
        <s v="Promouvoir les 2 produits"/>
        <s v="Voir Brief mail"/>
        <s v="Event"/>
      </sharedItems>
    </cacheField>
    <cacheField name="Format (influence vs UGC)" numFmtId="166">
      <sharedItems containsBlank="1">
        <s v="Influence"/>
        <m/>
        <s v="UGC "/>
        <s v="UGC"/>
        <s v="Evenement"/>
        <s v="Skeepers"/>
        <s v="Interview"/>
        <s v="Médiatisation"/>
      </sharedItems>
    </cacheField>
    <cacheField name="Rémunération totale">
      <sharedItems containsBlank="1" containsMixedTypes="1" containsNumber="1">
        <n v="70.0"/>
        <n v="130.0"/>
        <n v="200.0"/>
        <s v="Gifting + Médiatisation"/>
        <s v="20€/semaine de médiatisation"/>
        <n v="350.0"/>
        <s v="Comptabilisé"/>
        <n v="500.0"/>
        <n v="150.0"/>
        <s v="Gifting"/>
        <n v="100.0"/>
        <m/>
        <n v="650.0"/>
        <n v="450.0"/>
        <n v="629.92"/>
        <n v="1800.0"/>
        <n v="175.0"/>
        <n v="250.0"/>
        <n v="1000.0"/>
        <n v="230.0"/>
        <n v="300.0"/>
        <n v="80.0"/>
        <n v="531.0"/>
        <n v="400.0"/>
        <n v="241.28"/>
        <n v="75.0"/>
        <n v="275.0"/>
        <n v="137.5"/>
        <n v="600.0"/>
        <n v="526.48"/>
        <n v="625.0"/>
        <n v="1250.0"/>
        <n v="800.0"/>
        <n v="699.2"/>
        <n v="225.0"/>
        <n v="1500.0"/>
        <n v="357.935"/>
        <n v="173.0"/>
        <n v="1200.0"/>
        <n v="233.33333333333334"/>
        <n v="750.0"/>
        <n v="700.0"/>
        <n v="393.3"/>
        <n v="125.0"/>
        <n v="382.5"/>
        <n v="325.0"/>
        <n v="0.0"/>
        <n v="170.0"/>
        <n v="900.0"/>
        <n v="375.0"/>
        <n v="195.0"/>
        <n v="950.0"/>
        <n v="1012.5"/>
        <n v="2000.0"/>
        <n v="333.3333333333333"/>
        <n v="582.0"/>
        <n v="291.0"/>
        <n v="970.0"/>
        <n v="1850.0"/>
        <n v="940.0"/>
        <n v="2500.0"/>
        <n v="850.0"/>
        <n v="1100.0"/>
        <n v="810.0"/>
        <n v="552.0"/>
        <n v="550.13"/>
        <n v="1400.0"/>
        <n v="1125.0"/>
        <n v="395.09"/>
        <n v="410.72"/>
        <n v="550.0"/>
        <n v="508.3"/>
        <n v="370.0"/>
        <n v="1300.0"/>
        <n v="492.87"/>
        <n v="166.66666666666666"/>
        <n v="3298.0"/>
        <n v="666.6666666666666"/>
        <n v="620.0"/>
        <n v="112.5"/>
        <n v="217.4"/>
        <n v="3125.0"/>
        <n v="266.6666666666667"/>
        <n v="310.0"/>
        <n v="880.0"/>
        <n v="1290.0"/>
        <n v="840.0"/>
        <n v="602.0"/>
        <n v="190.0"/>
        <s v="Affiliation"/>
        <s v="10% Commission"/>
        <s v="Showroom"/>
        <s v="Evenement"/>
        <n v="235.0"/>
        <n v="144.0"/>
        <s v="Affiliate"/>
        <s v="Event"/>
        <n v="933.3333333333334"/>
        <n v="3000.0"/>
        <n v="4500.0"/>
        <n v="588.0"/>
        <n v="471.27"/>
        <s v="PR"/>
        <n v="2985.0"/>
        <n v="270.0"/>
        <n v="2100.0"/>
        <n v="2550.0"/>
        <n v="1280.0"/>
      </sharedItems>
    </cacheField>
    <cacheField name="Date Stats">
      <sharedItems containsDate="1" containsString="0" containsBlank="1" containsMixedTypes="1">
        <m/>
        <d v="2024-04-16T00:00:00Z"/>
        <d v="2024-04-29T00:00:00Z"/>
        <d v="2024-04-25T00:00:00Z"/>
        <d v="2024-05-08T00:00:00Z"/>
        <d v="2024-05-11T00:00:00Z"/>
        <d v="2024-05-31T00:00:00Z"/>
        <n v="105.0"/>
        <n v="96.25"/>
        <n v="280.0"/>
        <n v="140.0"/>
        <n v="350.0"/>
        <n v="420.0"/>
      </sharedItems>
    </cacheField>
    <cacheField name="Lien video" numFmtId="0">
      <sharedItems containsBlank="1">
        <m/>
        <s v="https://www.tiktok.com/@melf.fnt/video/7382192283279494432"/>
        <s v="https://www.tiktok.com/@lilyy.nl/video/7383728309110050080"/>
        <s v="https://www.tiktok.com/@lolatagliaferroo/video/7383998473613479201"/>
        <s v="https://www.tiktok.com/@lavishhcam/video/7390792553022442784?lang=en"/>
        <s v="https://www.tiktok.com/@chiaraaaa.bnc/video/7391058568260111649"/>
        <s v="https://www.tiktok.com/@lina.mkrn2/video/7390790437969104161"/>
        <s v="https://www.tiktok.com/@perrine.trp/video/7391590382611516705"/>
        <s v="https://www.tiktok.com/@morgane.mrckk/video/7390710366738681121"/>
        <s v="https://www.tiktok.com/@perrine.trp/video/7394891259883654433"/>
        <s v="https://www.tiktok.com/@___oraane/video/7392965105924738336"/>
        <s v="https://www.tiktok.com/@paupibeauty/video/7395224727377251617"/>
        <s v="https://www.tiktok.com/@lolatagliaferroo/video/7395519666556259616"/>
        <s v="https://www.tiktok.com/@melf.fnt/video/7393286593676660000"/>
        <s v="https://www.tiktok.com/@perrine.trp/video/7393392477878701345"/>
        <s v="https://www.tiktok.com/@morgane.mrckk/video/7394042444519591201"/>
        <s v="https://www.tiktok.com/@paupibeauty/video/7394501330364075296"/>
        <s v="https://www.tiktok.com/@paupibeauty/video/7397449808555937056?_r=1&amp;_t=8oSOvlgWeMi"/>
        <s v="https://www.tiktok.com/@lolatagliaferroo/video/7398086597721263393"/>
        <s v="https://www.tiktok.com/@___oraane/video/7398548157925248288"/>
        <s v="https://vm.tiktok.com/ZGenfd12c/"/>
        <s v="https://www.tiktok.com/@liserdg/video/7397464254451911969"/>
        <s v="https://www.tiktok.com/@liserdg/video/7401195152984870176"/>
        <s v="https://www.tiktok.com/@lilyy.nl/video/7403767696283766048"/>
        <s v="https://www.tiktok.com/@morgane.mrckk/video/7411931626252422433"/>
        <s v="https://www.tiktok.com/@___oraane/video/7403673068578688289"/>
        <s v="https://www.tiktok.com/@lavishhcam/video/7406036857340824865?lang=en"/>
        <s v="https://www.tiktok.com/@lilyy.nl/video/7407093682731502880"/>
        <s v="https://www.tiktok.com/@paupibeauty/video/7403439757415533856?_r=1&amp;_t=8otpeszl9rE"/>
        <s v="https://www.tiktok.com/@perrine.trp/video/7411953653143129376"/>
        <s v="https://www.tiktok.com/@lavishhcam/video/7407487090046389537?lang=en"/>
        <s v="https://www.tiktok.com/@melf.fnt/video/7408135764502007073"/>
        <s v="https://www.tiktok.com/@lavishhcam/video/7406708879695875360?lang=en"/>
        <s v="https://www.tiktok.com/@lavishhcam/video/7411562966337834272?lang=en"/>
        <s v="https://www.tiktok.com/@morgane.mrckk/video/7406767459749055777"/>
        <s v="https://www.tiktok.com/@lilyy.nl/video/7411947131440827681"/>
        <s v="https://www.tiktok.com/@julianebernard/video/7415999447202663713"/>
        <s v="https://www.tiktok.com/@lilyy.nl/video/7412698376162135328"/>
        <s v="https://www.tiktok.com/@melf.fnt/video/7421252203458874656"/>
        <s v="https://www.tiktok.com/@melf.fnt/video/7417119746270776609"/>
        <s v="https://www.tiktok.com/@melf.fnt/video/7422703664969616673"/>
        <s v="https://www.tiktok.com/@paupibeauty/video/7416729046316338465?_r=1&amp;_t=8psjQcSNmPA"/>
        <s v="https://www.tiktok.com/@jessicadcstr/video/7401576606319398177"/>
        <s v="https://tiktok.com/@mary.zhh/video/7416774634885926176?lang=en"/>
        <s v="https://www.tiktok.com/@chiaraaaa.bnc/video/7417486710386232609"/>
        <s v="https://www.tiktok.com/@perrine.trp/video/7420530124208016672"/>
        <s v="https://www.tiktok.com/@paupibeauty/video/7418269204975078689"/>
        <s v="https://www.tiktok.com/@jeanne_bayart/video/7425572834992344353?_r=1&amp;_t=8qXCYC0RFJY"/>
        <s v="https://www.tiktok.com/@jeanne_bayart/video/7437562970659491105?lang=en"/>
        <s v="https://www.tiktok.com/@___oraane/video/7434852783339195681?lang=en"/>
        <s v="https://www.tiktok.com/@melf.fnt/video/7430522334919822624"/>
        <s v="https://www.tiktok.com/@liserdg/video/7430136572063796513?lang=en"/>
        <s v="https://www.tiktok.com/@liserdg/video/7432768931619802401?lang=en"/>
        <s v="https://www.tiktok.com/@morgane.mrckk/video/7430757799249988896?lang=en"/>
        <s v="https://www.tiktok.com/@shaa_dl/video/7515842386795187478"/>
        <s v="https://www.tiktok.com/@___oraane/video/7419283054981664033"/>
        <s v="https://www.tiktok.com/@anaiswairyy/video/7433837110584479008?lang=en"/>
        <s v="https://www.tiktok.com/@chiaraaaa.bnc/video/7438003860733578528?lang=en"/>
        <s v="https://www.tiktok.com/@morgane.mrckk/video/7437476392905805089?lang=en"/>
        <s v="https://www.tiktok.com/@iimslma/video/7436438336383880480?lang=en"/>
        <s v="https://www.tiktok.com/@melf.fnt/video/7436438601740668192?_r=1&amp;_t=8rKy09eXARN"/>
        <s v="https://www.tiktok.com/@lavishhcam/video/7437477138430741792"/>
        <s v="https://www.tiktok.com/@julianebernard/video/7437454498747927841?lang=en"/>
        <s v="https://www.tiktok.com/@melf.fnt/video/7437532619706731809"/>
        <s v="https://www.tiktok.com/@anaiswairyy/video/7455393883908771094?lang=en"/>
        <s v="https://www.tiktok.com/@anaiswairyy/video/7469871245606030614?lang=en"/>
        <s v="https://www.tiktok.com/@___oraane/video/7450792735776296214?lang=en"/>
        <s v="https://www.tiktok.com/@___oraane/video/7449648582451350806?lang=en"/>
        <s v="https://www.tiktok.com/@melf.fnt/video/7441913953858489633"/>
        <s v="https://www.tiktok.com/@paupibeauty/video/7442018892454694176?_r=1&amp;_t=8rkWjFn0wJa"/>
        <s v="https://www.tiktok.com/@anaiswairyy?lang=en"/>
        <s v="https://www.tiktok.com/@lilyy.nl/video/7443863318730689814"/>
        <s v="https://www.tiktok.com/@jeanne_bayart/video/7442798993492479265?lang=en"/>
        <s v="https://www.tiktok.com/@iman_cvls/video/7451924438834089238?_r=1&amp;_t=8sTta62xc1u"/>
        <s v="https://www.tiktok.com/@iman_cvls/video/7452023214944947478?_r=1&amp;_t=8sWEGQqinJO"/>
        <s v="https://www.tiktok.com/@iman_cvls/video/7452403635708775702"/>
        <s v="https://www.tiktok.com/@jasmiinelife/video/7453739165205777686?lang=en"/>
        <s v="https://www.tiktok.com/@lavishhcam/video/7463441462252932374"/>
        <s v="https://www.tiktok.com/@iimslma/video/7465383468805999894?_r=1&amp;_t=ZN-8tTXg6qHkUY"/>
        <s v="https://www.tiktok.com/@iman_cvls/video/7465390038260485398?_t=ZN-8tTZG4XbMr0&amp;_r=1"/>
        <s v="https://www.tiktok.com/@liserdg/video/7465785595495763222?lang=en"/>
        <s v="https://www.tiktok.com/@la_gur/video/7467998009230363926?lang=en"/>
        <s v="75 de media"/>
        <s v="https://www.tiktok.com/@dounsbnl/video/7471295610063310102"/>
        <s v="https://www.tiktok.com/@lolatagliaferroo?lang=en"/>
        <s v="https://www.tiktok.com/@___oraane/video/7471294678306934038?lang=en"/>
        <s v="https://www.tiktok.com/@shaa_dl/video/7471336075559046422"/>
        <s v="https://www.tiktok.com/@dounsbnl/video/7451645404535442710"/>
        <s v="https://www.tiktok.com/@anaiswairyy/video/7471353868702502166?lang=en"/>
        <s v="https://www.tiktok.com/@dounsbnl/video/7473150812873788674?_t=ZN-8u36zKwjrx0&amp;_r=1"/>
        <s v="https://www.tiktok.com/@lolatagliaferroo/video/7473819808870534422?lang=en"/>
        <s v="https://www.tiktok.com/@paupibeauty/video/7473538347969875222?_r=1&amp;_t=ZN-8u4tYDuW4wQ"/>
        <s v="https://www.tiktok.com/@perrine.trp/video/7476172058406194454?lang=en"/>
        <s v="https://www.tiktok.com/@eloiseaubeneauu/video/7482020827924401451"/>
        <s v="https://www.tiktok.com/@julianebernard/video/7496568197135486230?_r=1&amp;_t=ZN-8vmOTilRwgg"/>
        <s v="https://www.tiktok.com/@iimslma/video/7485792482345618710?_r=1&amp;_t=ZN-8uz1T2hjhy6"/>
        <s v="https://www.tiktok.com/@dounsbnl/video/7476794031935147286"/>
        <s v="https://www.tiktok.com/@eloiseaubeneauu/video/7495738839487581470?_t=ZP-8viaG7wegWt&amp;_r=1"/>
        <s v="https://www.tiktok.com/@lilyy.nl/video/7493984160173034774"/>
        <s v="https://www.tiktok.com/@ttemarine/video/7495056234014379266"/>
        <s v="https://www.tiktok.com/@ttemarine/video/7494670749865757974"/>
        <s v="https://www.tiktok.com/@julianebernard/video/7493986086654315798?lang=en"/>
        <s v="https://www.tiktok.com/@paupibeauty/video/7493948630144011542"/>
        <s v="https://www.tiktok.com/@lavishhcam/video/7495428391882198295"/>
        <s v="https://www.tiktok.com/@la_gur/video/7499405044245204246?lang=en"/>
        <s v="https://www.tiktok.com/@sarah.bdii/video/7499149208293788950"/>
        <s v="https://www.tiktok.com/@jasmiinelife/video/7499164614366645526?lang=en"/>
        <s v="https://www.tiktok.com/@ttemarine/video/7499519504368569622"/>
        <s v="https://www.tiktok.com/@lovelymorgane/video/7499894490853821718?_r=1&amp;_t=8kth38xkh3x"/>
        <s v="https://www.tiktok.com/@arwen.arwen1/video/7506934371669101846?lang=en"/>
        <s v="https://www.tiktok.com/@farahdisiaque/video/7505057972834372886"/>
        <s v="https://www.tiktok.com/@paupibeauty/video/7506557930817277206?_t=ZN-8wW7MsM3mNy&amp;_r=1"/>
        <s v="https://www.tiktok.com/@lavishhcam/video/7505069359010794774"/>
        <s v="https://www.tiktok.com/@paupibeauty/video/7507679880100810007?_r=1&amp;_t=ZN-8wbG54dkxtO"/>
        <s v="https://www.tiktok.com/@iam.sissou/video/7526589360469265686?is_from_webapp=1&amp;sender_device=pc&amp;web_id=7504317976587437590"/>
        <s v="https://www.tiktok.com/@mary.zhh/video/7462430581402520854"/>
        <s v="https://www.tiktok.com/@mary.zhh/video/7460561651675303190"/>
        <s v="https://www.tiktok.com/@paupibeauty/video/7439768252269546785?_r=1&amp;_t=8raH38QLVtG"/>
        <s v="https://www.tiktok.com/@amani_mee/video/7494728696528522518"/>
        <s v="https://vm.tiktok.com/ZNdPeJgF7/"/>
        <s v="https://www.tiktok.com/@ttemarine/video/7522142648207936790?_t=ZN-8xfVHZaTphe&amp;_r=1"/>
        <s v="https://www.tiktok.com/@iam.sissou/video/7513475563936369942"/>
        <s v="https://www.tiktok.com/@iimslma/video/7522888104374701335"/>
        <s v="https://drive.google.com/drive/folders/19ToYFCpY-wQNqLL1X6hkS610Je7ZJWpH?usp=sharing"/>
        <s v="https://drive.google.com/drive/folders/1cqb0DvHrI2AEf5Y1mODPl-Wb-x2ZpIBF?usp=sharing"/>
        <s v="https://www.tiktok.com/@shaa_dl/video/7525111945536523542?_r=1&amp;_t=ZN-8xwa2XIbgXO"/>
        <s v="https://www.instagram.com/p/DL9s1T-ucxx/?hl=fr"/>
        <s v="https://www.tiktok.com/@___oraane/video/7525503490924416279"/>
        <s v="https://www.tiktok.com/@julianebernard/video/7522838166227864854?lang=en"/>
        <s v="https://www.tiktok.com/@laudewit/video/7519192074919365920"/>
        <s v="https://www.tiktok.com/@asmaenel/video/7526542702301826326?is_from_webapp=1&amp;sender_device=pc&amp;web_id=7504317976587437590"/>
        <s v="https://www.tiktok.com/@shaa_dl/video/7525111987638979862?_r=1&amp;_t=ZN-8xwa1oeBxCQ"/>
        <s v="https://www.tiktok.com/@juliette.pn/video/7525473712418622742?is_from_webapp=1&amp;sender_device=pc&amp;web_id=7504317976587437590"/>
        <s v="https://www.tiktok.com/@laudewit/video/7525483945366998305"/>
        <s v="https://www.tiktok.com/@julianebernard/video/7526982773156924694?_r=1&amp;_t=ZN-8y1f4d2rh1K"/>
        <s v="https://www.tiktok.com/@la_gur/video/7528400374802173206"/>
        <s v="https://www.tiktok.com/@paupibeauty/video/7529220565756857622"/>
        <s v="https://vm.tiktok.com/ZNHp1gFdSuU6L-Orqzs/"/>
        <s v="https://www.tiktok.com/@melissa.pndd/video/7526574135296773398?is_from_webapp=1&amp;sender_device=pc&amp;web_id=7504317976587437590"/>
        <s v="https://www.tiktok.com/@laudewit/video/7529089646714735905"/>
        <s v="https://www.tiktok.com/@guenaire/video/7532570588146076950"/>
        <s v="https://www.tiktok.com/@laudewit/video/7525765188893674784"/>
        <s v="https://www.tiktok.com/@sarah.bdii/video/7516951979084598550"/>
        <s v="https://www.tiktok.com/@anaiswairyy/video/7466167514402229526?lang=en"/>
        <s v="https://www.tiktok.com/@melissa.pndd/video/7514352561562946838"/>
        <s v="https://vm.tiktok.com/ZNdyXTXHb/"/>
        <s v="https://www.instagram.com/reel/DLc5EB4ogna/?utm_source=ig_web_copy_link"/>
        <s v="https://www.tiktok.com/@glennwolff/video/7517353745353559318?is_from_webapp=1&amp;sender_device=pc&amp;web_id=7504317976587437590"/>
        <s v="https://www.instagram.com/reel/DLXs9HIijUX/?utm_source=ig_web_copy_link&amp;igsh=MzEyc2ZyNmFwZTMw"/>
        <s v="https://www.tiktok.com/@lolatagliaferroo/video/7520567485473492246?is_from_webapp=1&amp;sender_device=pc&amp;web_id=7504317976587437590"/>
        <s v="https://www.tiktok.com/@melissa.pndd/video/7519911199744494850?is_from_webapp=1&amp;sender_device=pc&amp;web_id=7504317976587437590"/>
        <s v="https://www.tiktok.com/@___oraane/video/7518063433611480343?_t=ZN-8xMoEPKM08s&amp;_r=1"/>
        <s v="https://www.tiktok.com/@paupibeauty/video/7521283052488641814?is_from_webapp=1&amp;sender_device=pc&amp;web_id=7504317976587437590"/>
        <s v="https://www.tiktok.com/@sarah.bdii/video/7532173540204891414"/>
        <s v="https://www.tiktok.com/@shaa_dl/video/7414067609177476384"/>
        <s v="https://www.tiktok.com/@shaa_dl/video/7430530285852167457"/>
        <s v="https://www.tiktok.com/@shaa_dl/video/7456916860278295830?_t=ZN-8sqlAIVsOJS&amp;_r=1"/>
        <s v="https://www.tiktok.com/@amandambt_/video/7483639690327788822?lang=en"/>
        <s v="La première à 1 min 17 https://vm.tiktok.com/ZNdMWypK4/ La seconde à 1 min 32 https://vm.tiktok.com/ZNdMWUM5e/"/>
        <s v="https://www.instagram.com/reel/DFqvAlCNUMN/"/>
        <s v="https://www.tiktok.com/@arwen.arwen1/video/7453509821812280598?lang=en"/>
        <s v="https://www.tiktok.com/@arwen.arwen1/video/7453509775200980246?lang=en"/>
        <s v="https://www.tiktok.com/@arwen.arwen1/video/7453530509163973910?lang=en"/>
        <s v="https://www.tiktok.com/@lavishhcam/video/7372599354646957344"/>
        <s v="https://www.tiktok.com/@lavishhcam/video/7370721490632772896?lang=en"/>
        <s v="https://www.tiktok.com/@lavishhcam/video/7374120668813659425"/>
        <s v="https://vm.tiktok.com/ZGeGrsEfX/"/>
        <s v="https://www.tiktok.com/@lavishhcam/video/7392636437163773217"/>
        <s v="https://www.tiktok.com/@lavishhcam/video/7401082023797902625?lang=en"/>
        <s v="https://www.tiktok.com/@lavishhcam/video/7401156666479119649?lang=en"/>
        <s v="https://www.tiktok.com/@lavishhcam/video/7415270528665046305?lang=en"/>
        <s v="https://www.tiktok.com/@lavishhcam/video/7414065973084359968?lang=en"/>
        <s v="https://www.tiktok.com/@lavishhcam/video/7421861704159464736?lang=en"/>
        <s v="https://www.tiktok.com/@lavishhcam/video/7421578850808646944"/>
        <s v="https://www.tiktok.com/@lavishhcam/video/7424528927714020641"/>
        <s v="https://tiktok.com/@lavishhcam/video/7428536491384638753"/>
        <s v="https://www.tiktok.com/@lavishhcam/video/7431968536773299489"/>
        <s v="https://www.tiktok.com/@lavishhcam/video/7431640311199255840"/>
        <s v="https://www.tiktok.com/@lavishhcam/video/7442372621200575776"/>
        <s v="https://www.tiktok.com/@lavishhcam/video/7451273510346820886"/>
        <s v="https://www.tiktok.com/@lavishhcam/video/7465046952749616406"/>
        <s v="https://www.tiktok.com/@lavishhcam/video/7462439461763157270"/>
        <s v="https://www.tiktok.com/@lavishhcam/video/7467602307832745238?_r=1&amp;_t=ZN-8tpZSV3gUPG"/>
        <s v="https://www.tiktok.com/@lavishhcam/video/7481621153107217686?_t=ZN-8ufuB4coZpW&amp;_r=1"/>
        <s v="https://www.tiktok.com/@lavishhcam/video/7480248461112216854?_t=ZN-8uksUX9QNRG&amp;_r=1"/>
        <s v="https://www.tiktok.com/@lavishhcam/video/7395231761887759649?lang=en"/>
        <s v="https://www.tiktok.com/@lavishhcam/video/7398186484789988641?lang=en"/>
        <s v="https://www.tiktok.com/@lavishhcam/video/7365759408892103969?lang=en"/>
        <s v="https://www.tiktok.com/@lavishhcam/video/7401530328214441248?lang=en"/>
        <s v="https://www.tiktok.com/@lavishhcam/video/7394844935842778400?lang=en"/>
        <s v="https://www.tiktok.com/@chiaraaaa.bnc/video/7391983750164319520?_r=1&amp;_t=8o3MXv1mvZJ"/>
        <s v="https://www.tiktok.com/@chiaraaaa.bnc/video/7394423173132913952"/>
        <s v="https://www.tiktok.com/@chiaraaaa.bnc/video/7405297473117310240"/>
        <s v="https://www.tiktok.com/@chiaraaaa.bnc/video/7404583889974480161"/>
        <s v="https://www.tiktok.com/@chiaraaaa.bnc/video/7416745525149584673"/>
        <s v="https://www.tiktok.com/@chiaraaaa.bnc/video/7415682356973014305?_r=1&amp;_t=8pnu1Dc4LKK"/>
        <s v="https://www.tiktok.com/@chiaraaaa.bnc/video/7426062687051713824?lang=en"/>
        <s v="https://www.tiktok.com/@chiaraaaa.bnc/video/7429003433572715809?lang=en"/>
        <s v="https://www.tiktok.com/@dounsbnl/video/7431205107913493793"/>
        <s v="https://www.tiktok.com/@dounsbnl/video/7474747644808613142"/>
        <s v="https://www.instagram.com/p/DHT2-JnIB-6/"/>
        <s v="https://www.instagram.com/reel/DJMIRWMoL9E/?igsh=MTY5bnFnZW5mZGI2dA=="/>
        <s v="https://www.tiktok.com/@eloiseaubeneauu/video/7483491441663036718?_t=ZT-8uoTJcOEruw&amp;_r=1"/>
        <s v="https://www.tiktok.com/@eloiseaubeneauu/video/7507226915682389279"/>
        <s v="https://www.instagram.com/reel/DJPcuR3Idt7/?igsh=OW9lOXZyc2hucGI="/>
        <s v="https://www.tiktok.com/@farahdisiaque/video/7483922941864955158?_t=ZN-8uqT7rbpmb8&amp;_r=1"/>
        <s v="c"/>
        <s v="https://www.tiktok.com/@bleulividee/video/7372251599776877856"/>
        <s v="https://vm.tiktok.com/ZGepDFE5y/"/>
        <s v="https://www.tiktok.com/@bleulividee/video/7391910299361709344"/>
        <s v="https://www.tiktok.com/@bleulividee/video/7392682253026970912"/>
        <s v="https://www.tiktok.com/@bleulividee/video/7410370727486049568"/>
        <s v="https://www.tiktok.com/@bleulividee/video/7375559768552770849"/>
        <s v="https://www.tiktok.com/@bleulividee/video/7393388652753194273"/>
        <s v="https://www.tiktok.com/@bleulividee/video/7397487380388744480"/>
        <s v="https://www.tiktok.com/@bleulividee/video/7365539403646651680"/>
        <s v="https://www.tiktok.com/@la_gur/photo/7457999858377428246?lang=en"/>
        <s v="https://www.tiktok.com/@la_gur/video/7485089693206433046?lang=en"/>
        <s v="https://www.tiktok.com/@la_gur/video/7495733948685815062?lang=en"/>
        <s v="https://drive.google.com/drive/folders/1bllXfbrb3bUB07wpoG2Ebl0SK0IzuWTC?usp=sharing"/>
        <s v="https://www.tiktok.com/@hidaya_bl/video/7484394919600213270"/>
        <s v="https://www.tiktok.com/@iman_cvls/video/7397858754177551649"/>
        <s v="https://www.tiktok.com/@iman_cvls/video/7404463230673849633"/>
        <s v="https://www.tiktok.com/@iman_cvls/video/7414564750392184096"/>
        <s v="https://www.tiktok.com/@iman_cvls/video/7430007298031930656?lang=en"/>
        <s v="https://www.tiktok.com/@iman_cvls/video/7442289270481636640?lang=en"/>
        <s v="https://www.tiktok.com/@iman_cvls/video/7458583066676710678?_t=ZN-8syYtKZMQGF&amp;_r=1"/>
        <s v="https://vm.tiktok.com/ZNdrMWKU9/   https://vm.tiktok.com/ZNdrMbUmK/&#10;"/>
        <s v="https://www.tiktok.com/@iman_cvls/video/7405646497515113761"/>
        <s v="https://www.tiktok.com/@jasmiinelife/video/7402157667159969057"/>
        <s v="https://www.tiktok.com/@jasmiinelife/video/7398942773430308128"/>
        <s v="https://www.tiktok.com/@jasmiinelife/video/7411133691189071137"/>
        <s v="https://www.tiktok.com/@jasmiinelife/video/7431849329335209249?_t=8qzxJsLvUuH&amp;_r=1"/>
        <s v="https://www.tiktok.com/@jasmiinelife/video/7481342810977881366?_r=1&amp;_t=ZN-8ued6vIUIJa"/>
        <s v="https://www.tiktok.com/@jasmiinelife/video/7478010649835064598?_t=ZN-8uksMc15EkI&amp;_r=1"/>
        <s v="https://vm.tiktok.com/ZNdr6BsyX/"/>
        <s v="https://www.tiktok.com/@jasmiinelife/video/7406012010816638240"/>
        <s v="https://www.instagram.com/reel/DAEGiSUicZy/"/>
        <s v="https://www.tiktok.com/@jeanne_bayart/video/7405111060274924832"/>
        <s v="https://www.tiktok.com/@jeanne_bayart/video/7401629838697565472"/>
        <s v="https://www.instagram.com/reel/DHYZokMIocA/?igsh=MXJmNGNqYzdlNjZ6eg%3D%3D"/>
        <s v="https://www.tiktok.com/@jessicadcstr/video/7374052571708771616"/>
        <s v="https://www.tiktok.com/@jessicadcstr/video/7375545597094464801"/>
        <s v="https://www.tiktok.com/@jessicadcstr/video/7388534640631450913"/>
        <s v="https://www.tiktok.com/@jessicadcstr/video/7389326468137995552"/>
        <s v="https://www.tiktok.com/@jessicadcstr/video/7402283442785766688"/>
        <s v="https://www.tiktok.com/@jessicadcstr/video/7400003750661819681"/>
        <s v="https://www.tiktok.com/@jessicadcstr/video/7401184127703108897"/>
        <s v="https://www.tiktok.com/@jessicadcstr/video/7379634512625487137"/>
        <s v="https://www.tiktok.com/@jessicadcstr/video/7370005908706921761?q=jessicadcstr%20aromazone&amp;t=1716383408647"/>
        <s v="https://www.tiktok.com/@julianebernard/video/7375950922876194080"/>
        <s v="https://www.tiktok.com/@julianebernard/video/7394526025591409952"/>
        <s v="https://www.tiktok.com/@julianebernard/video/7415662953526988065"/>
        <s v="https://www.tiktok.com/@julianebernard/video/7422201837324979489"/>
        <s v="https://www.tiktok.com/@julianebernard/video/7423819976387218720?lang=en"/>
        <s v="https://www.tiktok.com/@julianebernard/video/7428654055754353952?lang=en"/>
        <s v="https://www.tiktok.com/@julianebernard/video/7431227139405466912?lang=en"/>
        <s v="https://www.tiktok.com/@julianebernard/video/7470566844924005654?lang=en"/>
        <s v="https://www.tiktok.com/@julianebernard/video/7480957956545203478?_t=ZN-8uflzHw9hd0&amp;_r=1"/>
        <s v="https://www.tiktok.com/@julianebernard/video/7483144981474053398?_r=1&amp;_t=ZN-8umtSsTCOtq"/>
        <s v="https://www.tiktok.com/@julianebernard/video/7505188044769611030?_r=1&amp;_t=ZN-8wUPhwBCpra"/>
        <s v="https://www.tiktok.com/@julianebernard/video/7387355316817612064"/>
        <s v="https://www.tiktok.com/@laurieespamm/video/7373977897394048289"/>
        <s v="https://www.tiktok.com/@laurieespamm/video/7372894690884029729"/>
        <s v="https://www.tiktok.com/@laurieespamm/video/7385220213458980129"/>
        <s v="https://www.tiktok.com/@laurieespamm/video/7403685503830084896?_r=1&amp;_t=8ouxXOOFEH3"/>
        <s v="https://www.tiktok.com/@laurieespamm/video/7385584137039596833"/>
        <s v="https://www.tiktok.com/@lilyy.nl/video/7372250529398836512"/>
        <s v="https://www.tiktok.com/@lilyy.nl/video/7374127349601701153"/>
        <s v="https://www.tiktok.com/@lilyy.nl/video/7377465554560453921"/>
        <s v="https://www.tiktok.com/@lilyy.nl/video/7382595650866662688"/>
        <s v="https://www.tiktok.com/@lilyy.nl/video/7387413713944333601"/>
        <s v="https://www.tiktok.com/@lilyy.nl/video/7398197901182111008"/>
        <s v="https://www.tiktok.com/@lilyy.nl/video/7400071344089533728"/>
        <s v="https://www.tiktok.com/@lilyy.nl/video/7401181475330198816"/>
        <s v="https://www.tiktok.com/@lilyy.nl/video/7416387740951956768"/>
        <s v="https://www.tiktok.com/@lilyy.nl/video/7414163405205982497"/>
        <s v="https://www.tiktok.com/@lilyy.nl/video/7424229467951729953"/>
        <s v="https://www.tiktok.com/@lilyy.nl/video/7421229015719103776"/>
        <s v="https://www.tiktok.com/@lilyy.nl/video/7432644019890539808"/>
        <s v="https://www.tiktok.com/@lilyy.nl/video/7467121622500003094"/>
        <s v="https://www.tiktok.com/@lilyy.nl/video/7465615921470557462"/>
        <s v="https://www.tiktok.com/@lilyy.nl/video/7473378357531397398?_t=ZN-8uecd1X7Rby&amp;_r=1"/>
        <s v="https://www.tiktok.com/@lilyy.nl/video/7381865050685934881"/>
        <s v="https://www.tiktok.com/@lilyy.nl/video/7397468947290918176"/>
        <s v="https://www.tiktok.com/@lilyy.nl/video/7355571660520426784?q=lilyy.nl%20aromazone&amp;t=1716382679417"/>
        <s v="https://www.tiktok.com/@lilyy.nl/video/7407474534565154081"/>
        <s v="www.tiktok.com/@lilyy.nl/video/7402233435932216608?cid=NzQwMjIzNDY4NzAzMDE5OTA3Mg"/>
        <s v="https://www.tiktok.com/@lina.mkrn2/video/7384054300869217569?browserMode=1"/>
        <s v="https://www.tiktok.com/@liserdg/video/7399262478896614689"/>
        <s v="https://www.tiktok.com/@liserdg/video/7399698677285014817"/>
        <s v="https://www.tiktok.com/@liserdg/video/7404521868960501024"/>
        <s v="https://www.tiktok.com/@liserdg/video/7407523195101728033"/>
        <s v="https://www.tiktok.com/@liserdg/video/7418260695130623264"/>
        <s v="https://www.tiktok.com/@liserdg/video/7420486871957998880"/>
        <s v="https://www.tiktok.com/@liserdg/video/7431256738801667360?lang=en"/>
        <s v="https://www.tiktok.com/@liserdg/video/7441653570472135969?_t=8riqrKU7tr6&amp;_r=1"/>
        <s v="https://www.tiktok.com/@liserdg/video/7408641991967378720"/>
        <s v="https://www.tiktok.com/@liserdg/video/7381070326211317025"/>
        <s v="https://tiktok.com/@liserdg/video/7422323883673423136"/>
        <s v="https://www.tiktok.com/@lolatagliaferroo/video/7388560111800749345"/>
        <s v="https://www.tiktok.com/@lolatagliaferroo/video/7417167690537717024"/>
        <s v="https://www.tiktok.com/@lolatagliaferroo/video/7417539584071830816"/>
        <s v="https://www.tiktok.com/@lolatagliaferroo/video/7428671047366348065?lang=en"/>
        <s v="https://www.tiktok.com/@lolatagliaferroo/video/7445278458680266006?lang=en"/>
        <s v="https://www.tiktok.com/@melf.fnt/video/7372218331379666209"/>
        <s v="https://www.tiktok.com/@melf.fnt/video/7370750286744292641"/>
        <s v="https://www.tiktok.com/@melf.fnt/video/7383665768757579041"/>
        <s v="https://www.tiktok.com/@melf.fnt/video/7384078329554423073"/>
        <s v="https://www.tiktok.com/@melf.fnt/video/7388460088819797280"/>
        <s v="https://www.tiktok.com/@melf.fnt/video/7391885588057656609"/>
        <s v="https://www.tiktok.com/@melf.fnt/video/7399939773575613728"/>
        <s v="https://www.tiktok.com/@melf.fnt/video/7416390437692280096"/>
        <s v="https://www.tiktok.com/@melf.fnt/video/7415636160636013856"/>
        <s v="https://www.tiktok.com/@melf.fnt/video/7417407814903057697"/>
        <s v="https://www.tiktok.com/@melf.fnt/video/7422664116545801504"/>
        <s v="https://www.tiktok.com/@melf.fnt/video/7431619697042296096"/>
        <s v="https://www.tiktok.com/@melf.fnt/video/7428571977918500128"/>
        <s v="https://www.tiktok.com/@melf.fnt/video/7375924184494476577"/>
        <s v="https://www.tiktok.com/@melf.fnt/video/7395873680867233057"/>
        <s v="https://www.tiktok.com/@melf.fnt/video/7364824274315529505"/>
        <s v="https://www.tiktok.com/@melf.fnt/video/7400756804549971232"/>
        <s v="https://www.tiktok.com/@morgane.mrckk/video/7384031967643307296"/>
        <s v="https://www.tiktok.com/@morgane.mrckk/video/7402654625314196769"/>
        <s v="https://www.tiktok.com/@morgane.mrckk/video/7414534348910775584"/>
        <s v="https://www.tiktok.com/@morgane.mrckk/video/7413431476252970272"/>
        <s v="https://www.tiktok.com/@morgane.mrckk/video/7412302749104114977"/>
        <s v="https://www.tiktok.com/@morgane.mrckk/video/7423352236501241121"/>
        <s v="https://www.tiktok.com/@morgane.mrckk/video/7424156968429833504?lang=en"/>
        <s v="https://www.tiktok.com/@morgane.mrckk/video/7436771318671953185?lang=en"/>
        <s v="https://www.tiktok.com/@morgane.mrckk/video/7385545243870973216"/>
        <s v="https://www.tiktok.com/@morgane.mrckk/video/7397382935453764896"/>
        <s v="https://www.tiktok.com/@morgane.mrckk/video/7381070101392477472"/>
        <s v="https://www.tiktok.com/@morgane.mrckk/video/7416632134347033889"/>
        <s v="https://www.instagram.com/p/DF3IS0nN9_G/?img_index=1"/>
        <s v="https://www.instagram.com/p/DHTVmb9tQrc/"/>
        <s v="https://www.instagram.com/p/DJtb4I3NWCt/?img_index=1&amp;igsh=cHBsdGw3bjhsaTd2"/>
        <s v="https://www.tiktok.com/@___oraane/video/7370306532183002401"/>
        <s v="https://www.tiktok.com/@___oraane/video/7385808181940784417"/>
        <s v="https://www.tiktok.com/@___oraane/video/7396281714101734689"/>
        <s v="https://www.tiktok.com/@___oraane/video/7398824092297612576"/>
        <s v="https://www.tiktok.com/@___oraane/video/7408970007402663200"/>
        <s v="https://www.tiktok.com/@___oraane/video/7422246939724385569?lang=en"/>
        <s v="https://www.tiktok.com/@___oraane/video/7427080640987712800?lang=en"/>
        <s v="https://www.tiktok.com/@___oraane/video/7476554634371337495?_t=ZN-8uksMQy8spa&amp;_r=1"/>
        <s v="https://www.tiktok.com/@___oraane/video/7497260335687142678?_r=1&amp;_t=ZN-8wK7rhJ1GDe"/>
        <s v="https://www.tiktok.com/@___oraane/video/7375468422068571424?_r=1&amp;_t=8krP3tfqVUH"/>
        <s v="https://www.tiktok.com/@___oraane/video/7410372109068766496"/>
        <s v="https://www.tiktok.com/@paupibeauty/video/7376008068775120160"/>
        <s v="https://vm.tiktok.com/ZGeb3qMjG/"/>
        <s v="https://www.tiktok.com/@paupibeauty/video/7388913023471176993"/>
        <s v="https://www.tiktok.com/@paupibeauty/video/7391913188587048224"/>
        <s v="https://www.tiktok.com/@paupibeauty/video/7391464252877442336"/>
        <s v="https://www.tiktok.com/@paupibeauty/video/7399701843338612001?_r=1&amp;_t=8ocjkRHNArg"/>
        <s v="https://www.tiktok.com/@paupibeauty/video/7397104051248188704"/>
        <s v="https://www.tiktok.com/@paupibeauty/video/7409632617487699233?_r=1&amp;_t=8pifPT1JA5h"/>
        <s v="https://www.tiktok.com/@paupibeauty/video/7422233100345806113?_r=1&amp;_t=8qHw0Tc0W3d"/>
        <s v="https://www.tiktok.com/@paupibeauty/video/7433470283073244449"/>
        <s v="https://vm.tiktok.com/ZGdLKEWpH/"/>
        <s v="https://www.tiktok.com/@paupibeauty/video/7469447565080005910"/>
        <s v="https://www.tiktok.com/@paupibeauty/video/7483230429919677718?_r=1&amp;u_code=db2iba9fkd722g&amp;preview_pb=0&amp;sharer_language=fr&amp;_d=e50dm7j0f1glif&amp;share_item_id=7483230429919677718&amp;source=h5_m&amp;timestamp=1742383722&amp;utm_source=copy&amp;tt_from=copy&amp;enable_checksum=1&amp;ut"/>
        <s v="https://vm.tiktok.com/ZNdr6B5df/  https://vm.tiktok.com/ZNdr62oeS/"/>
        <s v="https://www.tiktok.com/@paupibeauty/video/7390429662033251617"/>
        <s v="https://www.tiktok.com/@paupibeauty/video/7364899892755565857"/>
        <s v="https://www.tiktok.com/@paupibeauty/video/7400829639158992161"/>
        <s v="https://www.tiktok.com/@paupibeauty/video/7403338641294101793?_r=1&amp;_t=8otMyM33Aq9"/>
        <s v="https://www.tiktok.com/@paupibeauty/video/7419986303070129441"/>
        <s v="https://www.tiktok.com/@perrine.trp/video/7388970033046736161"/>
        <s v="https://www.tiktok.com/@perrine.trp/video/7391934268479425825"/>
        <s v="https://www.tiktok.com/@perrine.trp/video/7388938973533490465"/>
        <s v="https://www.tiktok.com/@perrine.trp/video/7404526978864270625"/>
        <s v="https://www.tiktok.com/@perrine.trp/video/7416397579652549920"/>
        <s v="https://www.tiktok.com/@perrine.trp/video/7420481706290990368"/>
        <s v="https://www.tiktok.com/@perrine.trp/video/7432357615906082081?lang=en"/>
        <s v="https://www.tiktok.com/@perrine.trp/video/7470594564579921174?_t=ZN-8trcT1kEJTq&amp;_r=1"/>
        <s v="https://www.tiktok.com/@romlabordelaise/photo/7374826918236949793?_d=secCgYIASAHKAESPgo8q9siUnZtyE0109XMp5dx3cMmVFVIaMGy%2BlAK8UtWtglSCdVgBy%2FzSdjJmzYWsISFC9%2B%2FlyF04TxmdiBEGgA%3D&amp;_r=1&amp;checksum=76ea1d67e0b71fc0c1e121f4b86c89eead08caa18274e51cbd7e8fffc4"/>
        <s v="https://www.tiktok.com/@romlabordelaise/video/7367768975154990369"/>
        <s v="https://www.tiktok.com/@iimslma/video/7437910864826486048?_r=1&amp;_t=8rRi7SCy1Ka"/>
        <s v="https://www.tiktok.com/@iimslma/video/7396769960623738145"/>
        <s v="https://www.tiktok.com/@iimslma/video/7403774825702886688"/>
        <s v="https://www.tiktok.com/@iimslma/video/7399725613407309089"/>
        <s v="https://www.tiktok.com/@iimslma/video/7400436730320456993"/>
        <s v="https://www.tiktok.com/@iimslma/video/7407485284817882401"/>
        <s v="https://www.tiktok.com/@iimslma/video/7412021525198425376"/>
        <s v="https://www.tiktok.com/@iimslma/video/7408622473912061216"/>
        <s v="https://www.tiktok.com/@iimslma/video/7413780170781347105"/>
        <s v="https://www.tiktok.com/@iimslma/video/7431628369067838753?lang=en"/>
        <s v="https://www.tiktok.com/@iimslma/video/7435745133313805601?_r=1&amp;_t=8rleTqgb0vG"/>
        <s v="https://www.tiktok.com/@iimslma/video/7468747433061944599?lang=en"/>
        <s v="https://www.tiktok.com/@iimslma/video/7468781724462337302?lang=en"/>
        <s v="https://www.tiktok.com/@iimslma/video/7472835179187424534?lang=en"/>
        <s v="https://www.tiktok.com/@iimslma/video/7481752779980147990?_t=ZN-8ugXSybaIEw&amp;_r=1"/>
        <s v="https://www.tiktok.com/@iimslma/video/7483594182083218710?_r=1&amp;_t=ZN-8uox8rOjAzm"/>
        <s v="https://vm.tiktok.com/ZNdrrBuVK/"/>
      </sharedItems>
    </cacheField>
    <cacheField name="X">
      <sharedItems containsBlank="1" containsMixedTypes="1" containsNumber="1" containsInteger="1">
        <m/>
        <n v="350.0"/>
        <n v="420.0"/>
        <n v="320.0"/>
        <s v="https://www.instagram.com/reel/DEKlEAhCcsg/"/>
        <s v="ANAIS-10 Il offre -10% de réduction sur une commande sans minimum d’achat, hors frais de port, valable jusqu’au 30/04/2025"/>
        <s v="envoyer facture en anglais"/>
        <s v="deja facture"/>
        <s v="500 médiat"/>
        <s v="dont 150 de médiat"/>
        <s v="envoyer facture en €"/>
        <s v="médiat à confirmer 202,50€"/>
        <s v="ajouter code promo"/>
        <s v="lien en bio"/>
        <s v="rembourser Produits"/>
        <s v="facture déjà envoyée"/>
        <s v="enlever 75 media à facturer plus tard"/>
        <s v="médiat à confirmer  67,50 €"/>
      </sharedItems>
    </cacheField>
    <cacheField name="Grapper" numFmtId="0">
      <sharedItems containsBlank="1">
        <s v="Oui"/>
        <s v="Non"/>
        <m/>
        <s v="Non "/>
      </sharedItems>
    </cacheField>
    <cacheField name="Date vente" numFmtId="164">
      <sharedItems containsDate="1" containsString="0" containsBlank="1">
        <d v="2024-03-01T00:00:00Z"/>
        <d v="2024-03-15T00:00:00Z"/>
        <m/>
        <d v="2024-03-30T00:00:00Z"/>
        <d v="2024-03-25T00:00:00Z"/>
        <d v="2024-04-08T00:00:00Z"/>
        <d v="2024-04-11T00:00:00Z"/>
        <d v="2024-03-21T00:00:00Z"/>
        <d v="2024-04-25T00:00:00Z"/>
        <d v="2024-04-19T00:00:00Z"/>
        <d v="2024-05-07T00:00:00Z"/>
        <d v="2024-05-06T00:00:00Z"/>
        <d v="2024-05-02T00:00:00Z"/>
        <d v="2024-05-13T00:00:00Z"/>
        <d v="2024-05-14T00:00:00Z"/>
        <d v="2024-03-20T00:00:00Z"/>
        <d v="2024-04-10T00:00:00Z"/>
        <d v="2024-05-30T00:00:00Z"/>
        <d v="2024-05-11T00:00:00Z"/>
        <d v="2024-04-30T00:00:00Z"/>
        <d v="2024-05-23T00:00:00Z"/>
        <d v="2024-05-16T00:00:00Z"/>
        <d v="2024-06-08T00:00:00Z"/>
        <d v="2024-06-20T00:00:00Z"/>
        <d v="2024-06-18T00:00:00Z"/>
        <d v="2024-06-12T00:00:00Z"/>
        <d v="2024-06-24T00:00:00Z"/>
        <d v="2024-06-11T00:00:00Z"/>
        <d v="2024-07-16T00:00:00Z"/>
        <d v="2024-07-25T00:00:00Z"/>
        <d v="2024-07-03T00:00:00Z"/>
        <d v="2024-06-17T00:00:00Z"/>
        <d v="2024-06-27T00:00:00Z"/>
        <d v="2024-07-06T00:00:00Z"/>
        <d v="2024-06-14T00:00:00Z"/>
        <d v="2024-07-24T00:00:00Z"/>
        <d v="2024-07-10T00:00:00Z"/>
        <d v="2024-08-01T00:00:00Z"/>
        <d v="2024-07-04T00:00:00Z"/>
        <d v="2024-07-23T00:00:00Z"/>
        <d v="2024-07-21T00:00:00Z"/>
        <d v="2024-08-06T00:00:00Z"/>
        <d v="2024-07-29T00:00:00Z"/>
        <d v="2024-07-30T00:00:00Z"/>
        <d v="2024-07-17T00:00:00Z"/>
        <d v="2024-08-02T00:00:00Z"/>
        <d v="2024-07-31T00:00:00Z"/>
        <d v="2024-08-21T00:00:00Z"/>
        <d v="2024-08-19T00:00:00Z"/>
        <d v="2024-08-13T00:00:00Z"/>
        <d v="2024-09-11T00:00:00Z"/>
        <d v="2024-08-16T00:00:00Z"/>
        <d v="2024-09-12T00:00:00Z"/>
        <d v="2024-08-23T00:00:00Z"/>
        <d v="2024-09-04T00:00:00Z"/>
        <d v="2025-05-20T00:00:00Z"/>
        <d v="2024-09-09T00:00:00Z"/>
        <d v="2024-08-28T00:00:00Z"/>
        <d v="2024-09-14T00:00:00Z"/>
        <d v="2024-09-13T00:00:00Z"/>
        <d v="2024-08-20T00:00:00Z"/>
        <d v="2024-09-26T00:00:00Z"/>
        <d v="2024-08-29T00:00:00Z"/>
        <d v="2025-05-13T00:00:00Z"/>
        <d v="2024-09-03T00:00:00Z"/>
        <d v="2024-09-27T00:00:00Z"/>
        <d v="2024-10-01T00:00:00Z"/>
        <d v="2025-05-07T00:00:00Z"/>
        <d v="2024-10-28T00:00:00Z"/>
        <d v="2024-09-10T00:00:00Z"/>
        <d v="2024-10-15T00:00:00Z"/>
        <d v="2024-10-29T00:00:00Z"/>
        <d v="2024-10-24T00:00:00Z"/>
        <d v="2024-10-02T00:00:00Z"/>
        <d v="2024-10-30T00:00:00Z"/>
        <d v="2024-10-14T00:00:00Z"/>
        <d v="2024-10-25T00:00:00Z"/>
        <d v="2024-11-05T00:00:00Z"/>
        <d v="2024-11-08T00:00:00Z"/>
        <d v="2024-11-04T00:00:00Z"/>
        <d v="2024-10-23T00:00:00Z"/>
        <d v="2024-11-29T00:00:00Z"/>
        <d v="2024-11-19T00:00:00Z"/>
        <d v="2024-12-09T00:00:00Z"/>
        <d v="2024-11-26T00:00:00Z"/>
        <d v="2024-11-25T00:00:00Z"/>
        <d v="2024-12-05T00:00:00Z"/>
        <d v="2024-12-16T00:00:00Z"/>
        <d v="2024-11-11T00:00:00Z"/>
        <d v="2024-12-03T00:00:00Z"/>
        <d v="2024-12-24T00:00:00Z"/>
        <d v="2025-02-20T00:00:00Z"/>
        <d v="2024-12-23T00:00:00Z"/>
        <d v="2025-01-07T00:00:00Z"/>
        <d v="2024-12-12T00:00:00Z"/>
        <d v="2025-01-21T00:00:00Z"/>
        <d v="2025-01-24T00:00:00Z"/>
        <d v="2025-01-17T00:00:00Z"/>
        <d v="2025-01-09T00:00:00Z"/>
        <d v="2025-01-27T00:00:00Z"/>
        <d v="2025-01-23T00:00:00Z"/>
        <d v="2024-10-22T00:00:00Z"/>
        <d v="2024-10-21T00:00:00Z"/>
        <d v="2025-01-22T00:00:00Z"/>
        <d v="2025-01-16T00:00:00Z"/>
        <d v="2025-02-12T00:00:00Z"/>
        <d v="2025-02-18T00:00:00Z"/>
        <d v="2025-01-29T00:00:00Z"/>
        <d v="2025-02-14T00:00:00Z"/>
        <d v="2025-02-15T00:00:00Z"/>
        <d v="2025-02-06T00:00:00Z"/>
        <d v="2025-02-21T00:00:00Z"/>
        <d v="2025-03-31T00:00:00Z"/>
        <d v="2025-02-26T00:00:00Z"/>
        <d v="2025-02-28T00:00:00Z"/>
        <d v="2025-02-25T00:00:00Z"/>
        <d v="2025-02-19T00:00:00Z"/>
        <d v="2025-03-11T00:00:00Z"/>
        <d v="2025-03-21T00:00:00Z"/>
        <d v="2025-03-12T00:00:00Z"/>
        <d v="2025-03-17T00:00:00Z"/>
        <d v="2025-03-24T00:00:00Z"/>
        <d v="2025-03-10T00:00:00Z"/>
        <d v="2025-03-14T00:00:00Z"/>
        <d v="2025-04-17T00:00:00Z"/>
        <d v="2025-03-16T00:00:00Z"/>
        <d v="2025-04-04T00:00:00Z"/>
        <d v="2025-04-07T00:00:00Z"/>
        <d v="2025-04-15T00:00:00Z"/>
        <d v="2025-04-25T00:00:00Z"/>
        <d v="2025-05-16T00:00:00Z"/>
        <d v="2025-04-14T00:00:00Z"/>
        <d v="2025-03-28T00:00:00Z"/>
        <d v="2025-03-06T00:00:00Z"/>
        <d v="2025-03-20T00:00:00Z"/>
        <d v="2025-04-09T00:00:00Z"/>
        <d v="2025-04-11T00:00:00Z"/>
        <d v="2025-03-13T00:00:00Z"/>
        <d v="2025-04-08T00:00:00Z"/>
        <d v="2025-04-30T00:00:00Z"/>
        <d v="2025-04-21T00:00:00Z"/>
        <d v="2025-06-02T00:00:00Z"/>
        <d v="2025-06-10T00:00:00Z"/>
        <d v="2025-03-30T00:00:00Z"/>
        <d v="2025-03-26T00:00:00Z"/>
        <d v="2025-06-20T00:00:00Z"/>
        <d v="2025-02-10T00:00:00Z"/>
        <d v="2025-05-19T00:00:00Z"/>
        <d v="2025-04-24T00:00:00Z"/>
        <d v="2025-06-26T00:00:00Z"/>
        <d v="2025-05-23T00:00:00Z"/>
        <d v="2025-05-06T00:00:00Z"/>
        <d v="2025-05-24T00:00:00Z"/>
        <d v="2025-06-05T00:00:00Z"/>
        <d v="2025-05-27T00:00:00Z"/>
        <d v="2025-06-12T00:00:00Z"/>
        <d v="2025-05-28T00:00:00Z"/>
        <d v="2025-06-16T00:00:00Z"/>
        <d v="2025-06-18T00:00:00Z"/>
        <d v="2025-06-11T00:00:00Z"/>
        <d v="2025-06-23T00:00:00Z"/>
        <d v="2025-02-03T00:00:00Z"/>
        <d v="2025-06-04T00:00:00Z"/>
        <d v="2025-05-22T00:00:00Z"/>
        <d v="2025-06-22T00:00:00Z"/>
        <d v="2025-07-16T00:00:00Z"/>
        <d v="2025-06-19T00:00:00Z"/>
        <d v="2025-07-01T00:00:00Z"/>
        <d v="2025-06-17T00:00:00Z"/>
        <d v="2025-06-13T00:00:00Z"/>
        <d v="2025-07-03T00:00:00Z"/>
        <d v="2024-10-18T00:00:00Z"/>
        <d v="2025-05-29T00:00:00Z"/>
        <d v="2025-06-30T00:00:00Z"/>
        <d v="2025-03-07T00:00:00Z"/>
        <d v="2024-09-08T00:00:00Z"/>
        <d v="2024-10-08T00:00:00Z"/>
        <d v="2024-11-13T00:00:00Z"/>
        <d v="2024-12-10T00:00:00Z"/>
        <d v="2024-12-04T00:00:00Z"/>
        <d v="2024-06-07T00:00:00Z"/>
        <d v="2024-05-31T00:00:00Z"/>
        <d v="2025-02-23T00:00:00Z"/>
        <d v="2024-11-07T00:00:00Z"/>
        <d v="2024-11-28T00:00:00Z"/>
        <d v="2024-12-18T00:00:00Z"/>
        <d v="2025-02-11T00:00:00Z"/>
        <d v="2025-02-07T00:00:00Z"/>
        <d v="2024-09-05T00:00:00Z"/>
        <d v="2024-12-13T00:00:00Z"/>
        <d v="2024-03-08T00:00:00Z"/>
        <d v="2024-04-22T00:00:00Z"/>
        <d v="2024-05-17T00:00:00Z"/>
        <d v="2024-04-24T00:00:00Z"/>
        <d v="2024-05-24T00:00:00Z"/>
        <d v="2024-07-19T00:00:00Z"/>
        <d v="2024-08-09T00:00:00Z"/>
        <d v="2024-07-01T00:00:00Z"/>
        <d v="2024-08-26T00:00:00Z"/>
        <d v="2024-09-17T00:00:00Z"/>
        <d v="2024-09-25T00:00:00Z"/>
        <d v="2024-09-30T00:00:00Z"/>
        <d v="2024-10-10T00:00:00Z"/>
        <d v="2024-12-02T00:00:00Z"/>
        <d v="2025-01-06T00:00:00Z"/>
        <d v="2025-01-13T00:00:00Z"/>
        <d v="2024-06-26T00:00:00Z"/>
        <d v="2024-08-07T00:00:00Z"/>
        <d v="2024-07-11T00:00:00Z"/>
        <d v="2024-09-16T00:00:00Z"/>
        <d v="2024-11-14T00:00:00Z"/>
        <d v="2024-03-22T00:00:00Z"/>
        <d v="2024-04-06T00:00:00Z"/>
        <d v="2024-04-07T00:00:00Z"/>
        <d v="2024-06-04T00:00:00Z"/>
        <d v="2024-10-11T00:00:00Z"/>
        <d v="2024-03-23T00:00:00Z"/>
        <d v="2024-04-04T00:00:00Z"/>
        <d v="2024-04-09T00:00:00Z"/>
        <d v="2024-05-21T00:00:00Z"/>
        <d v="2024-05-27T00:00:00Z"/>
        <d v="2024-08-27T00:00:00Z"/>
        <d v="2025-04-12T00:00:00Z"/>
        <d v="2024-02-28T00:00:00Z"/>
        <d v="2024-05-28T00:00:00Z"/>
        <d v="2024-09-23T00:00:00Z"/>
        <d v="2024-06-30T00:00:00Z"/>
        <d v="2024-09-20T00:00:00Z"/>
        <d v="2024-10-07T00:00:00Z"/>
        <d v="2024-03-27T00:00:00Z"/>
        <d v="2024-04-13T00:00:00Z"/>
        <d v="2024-04-27T00:00:00Z"/>
        <d v="2024-01-15T00:00:00Z"/>
        <d v="2024-01-14T00:00:00Z"/>
        <d v="2025-03-18T00:00:00Z"/>
        <d v="2024-05-18T00:00:00Z"/>
        <d v="2024-06-19T00:00:00Z"/>
        <d v="2024-10-09T00:00:00Z"/>
        <d v="2024-11-12T00:00:00Z"/>
        <d v="2024-12-19T00:00:00Z"/>
        <d v="2025-02-22T00:00:00Z"/>
        <d v="2024-03-26T00:00:00Z"/>
        <d v="2024-05-20T00:00:00Z"/>
        <d v="2024-07-08T00:00:00Z"/>
        <d v="2024-11-22T00:00:00Z"/>
        <d v="2024-10-31T00:00:00Z"/>
        <d v="2024-07-15T00:00:00Z"/>
        <d v="2024-09-24T00:00:00Z"/>
        <d v="2024-02-15T00:00:00Z"/>
        <d v="2024-04-26T00:00:00Z"/>
        <d v="2024-06-03T00:00:00Z"/>
        <d v="2024-04-12T00:00:00Z"/>
        <d v="2024-07-09T00:00:00Z"/>
        <d v="2024-09-29T00:00:00Z"/>
        <d v="2024-10-06T00:00:00Z"/>
        <d v="2024-10-16T00:00:00Z"/>
        <d v="2024-09-19T00:00:00Z"/>
        <d v="2024-03-28T00:00:00Z"/>
        <d v="2024-10-17T00:00:00Z"/>
        <d v="2025-04-29T00:00:00Z"/>
        <d v="2024-03-18T00:00:00Z"/>
        <d v="2024-08-14T00:00:00Z"/>
        <d v="2024-09-01T00:00:00Z"/>
        <d v="2024-11-15T00:00:00Z"/>
        <d v="2025-01-03T00:00:00Z"/>
        <d v="2024-07-18T00:00:00Z"/>
        <d v="2025-07-11T00:00:00Z"/>
        <d v="2025-07-18T00:00:00Z"/>
        <d v="2025-07-21T00:00:00Z"/>
        <d v="2025-07-22T00:00:00Z"/>
        <d v="2025-07-24T00:00:00Z"/>
        <d v="2025-07-25T00:00:00Z"/>
        <d v="2025-07-28T00:00:00Z"/>
        <d v="2025-06-24T00:00:00Z"/>
        <d v="2025-06-27T00:00:00Z"/>
        <d v="2025-01-31T00:00:00Z"/>
        <d v="2025-07-07T00:00:00Z"/>
        <d v="2025-07-09T00:00:00Z"/>
        <d v="2025-07-17T00:00:00Z"/>
        <d v="2025-07-29T00:00:00Z"/>
        <d v="2025-07-31T00:00:00Z"/>
      </sharedItems>
    </cacheField>
    <cacheField name="Commission" numFmtId="166">
      <sharedItems containsString="0" containsBlank="1" containsNumber="1">
        <n v="14.0"/>
        <m/>
        <n v="40.0"/>
        <n v="125.0"/>
        <n v="20.0"/>
        <n v="130.0"/>
        <n v="112.5"/>
        <n v="157.48"/>
        <n v="50.0"/>
        <n v="450.0"/>
        <n v="43.75"/>
        <n v="62.5"/>
        <n v="200.0"/>
        <n v="45.0"/>
        <n v="46.0"/>
        <n v="75.0"/>
        <n v="90.0"/>
        <n v="16.0"/>
        <n v="37.5"/>
        <n v="150.0"/>
        <n v="87.5"/>
        <n v="159.29999999999998"/>
        <n v="100.0"/>
        <n v="135.0"/>
        <n v="60.32"/>
        <n v="250.0"/>
        <n v="30.0"/>
        <n v="22.5"/>
        <n v="82.5"/>
        <n v="41.25"/>
        <n v="70.0"/>
        <n v="120.0"/>
        <n v="60.0"/>
        <n v="180.0"/>
        <n v="80.0"/>
        <n v="105.0"/>
        <n v="157.944"/>
        <n v="312.5"/>
        <n v="209.76000000000002"/>
        <n v="71.587"/>
        <n v="34.6"/>
        <n v="360.0"/>
        <n v="187.5"/>
        <n v="210.0"/>
        <n v="117.99"/>
        <n v="540.0"/>
        <n v="114.75"/>
        <n v="97.5"/>
        <n v="0.0"/>
        <n v="195.0"/>
        <n v="34.0"/>
        <n v="240.0"/>
        <n v="225.0"/>
        <n v="300.0"/>
        <n v="58.5"/>
        <n v="285.0"/>
        <n v="253.125"/>
        <n v="15.0"/>
        <n v="600.0"/>
        <n v="99.99999999999999"/>
        <n v="270.0"/>
        <n v="174.6"/>
        <n v="58.2"/>
        <n v="291.0"/>
        <n v="175.0"/>
        <n v="555.0"/>
        <n v="375.0"/>
        <n v="282.0"/>
        <n v="750.0"/>
        <n v="255.0"/>
        <n v="330.0"/>
        <n v="202.5"/>
        <n v="165.6"/>
        <n v="165.039"/>
        <n v="420.0"/>
        <n v="281.25"/>
        <n v="118.52699999999999"/>
        <n v="123.21600000000001"/>
        <n v="165.0"/>
        <n v="152.49"/>
        <n v="111.0"/>
        <n v="390.0"/>
        <n v="147.861"/>
        <n v="33.333333333333336"/>
        <n v="989.4"/>
        <n v="199.99999999999997"/>
        <n v="186.0"/>
        <n v="33.75"/>
        <n v="65.22"/>
        <n v="500.0"/>
        <n v="937.5"/>
        <n v="93.0"/>
        <n v="264.0"/>
        <n v="387.0"/>
        <n v="252.0"/>
        <n v="180.6"/>
        <n v="57.0"/>
        <n v="1733.0"/>
        <n v="140.0"/>
        <n v="25.0"/>
        <n v="56.25"/>
        <n v="235.0"/>
        <n v="26.0"/>
        <n v="28.8"/>
        <n v="280.0"/>
        <n v="900.0"/>
        <n v="1350.0"/>
        <n v="176.4"/>
        <n v="117.8175"/>
        <n v="67.5"/>
        <n v="630.0"/>
        <n v="765.0"/>
        <n v="384.0"/>
      </sharedItems>
    </cacheField>
    <cacheField name="Facture envoyé" numFmtId="4">
      <sharedItems containsBlank="1">
        <b v="1"/>
        <b v="0"/>
        <m/>
      </sharedItems>
    </cacheField>
    <cacheField name="Mail" numFmtId="0">
      <sharedItems containsBlank="1">
        <m/>
        <s v="fgirault3@gmail.com"/>
        <s v="lilyy.nl@grapperagency.com"/>
        <s v="orane.baron1403@gmail.com"/>
        <e v="#N/A"/>
        <s v="imlolytahproacc@gmail.com"/>
        <s v="cmepls.pro@gmail.com"/>
        <s v="lola140204@gmail.com"/>
        <s v="juliane.bernard57@icloud.com"/>
        <s v="linamokrane75@yahoo.fr"/>
        <s v="alicemauguin.l@gmail.com"/>
        <s v="lauclr.pro@gmail.com"/>
        <s v="chiara@grapperagency.com"/>
        <s v="terpperrine@gmail.com"/>
        <s v="lovelyMytb@gmail.com "/>
        <s v="pauline@grapperagency.com"/>
        <s v="liserdg.pro@gmail.com "/>
        <s v="jeannebayart@gmail.com"/>
        <s v="marylinezh@gmail.com "/>
        <s v="anaiswry@yahoo.fr"/>
        <s v="iimslmapro@outlook.fr"/>
        <s v="shaaadl.pro@gmail.com"/>
        <s v="jasminepro26@icloud.com "/>
        <s v="asmae-nemar@hotmail.fr "/>
        <s v="truttirachel@gmail.com"/>
        <s v="arwen.mechineau@outlook.fr"/>
        <s v="ciman530@gmail.com"/>
        <s v="moped@grapperagency.com"/>
        <s v="Douns.collab@gmail.com"/>
        <s v="hello.gurbet@gmail.com "/>
        <s v="amani.mee10@gmail.com"/>
        <s v="hidaya.7bl@gmail.com "/>
        <s v="Sirine.yza@gmail.com"/>
        <s v="aubeneauu@gmail.com "/>
        <s v="stzmarine6@gmail.com"/>
        <s v="c_15e3504fd6fde5b88106b6d99934e830e051067bbd4af855bfd432d30fc2f262@group.calendar.google.com"/>
        <s v="Lyassa.ospro@gmail.com "/>
        <s v="farahdisiaque@gmail.com"/>
        <s v="nidal.daghmi.pro@gmail.com "/>
        <s v="contact.amandambt@gmail.com "/>
        <s v="Fontanel.lily@gmail.com"/>
      </sharedItems>
    </cacheField>
    <cacheField name="Event Brouillon" numFmtId="0">
      <sharedItems containsBlank="1">
        <m/>
        <b v="0"/>
        <b v="1"/>
      </sharedItems>
    </cacheField>
    <cacheField name="Calendar ID pour brouillon" numFmtId="0">
      <sharedItems containsBlank="1">
        <m/>
        <s v="c_b412638d97e7dcffa392ccd62e6d5e2eccb052c0c08de7e1e7d547811d81c44c@group.calendar.google.com"/>
        <s v="c_665764ca21c8e4b3814e25bf24bc7074fa55890dce5d4073abb0fdddc70649d4@group.calendar.google.com"/>
        <s v="c_b9aea0629908ddbafe7229688ea55dc9d65b9e6b1a8ed4492c7ca84aa703d076@group.calendar.google.com"/>
        <e v="#N/A"/>
        <s v="c_007bb5dfd61adc34e7d7f1093213e03f31b2abfb546bee3afc00b412de414680@group.calendar.google.com"/>
        <s v="c_15e3504fd6fde5b88106b6d99934e830e051067bbd4af855bfd432d30fc2f262@group.calendar.google.com"/>
        <s v="Done"/>
        <s v="c_8f3f6ef786f2df9238426a478307dbddffb576ace587133cfa65ca553e2f967a@group.calendar.google.com"/>
        <s v="c_f6970d92e9be72b1307e3c015a265d69ae87140c691e7728bc83462544d82455@group.calendar.google.com"/>
        <s v="c_569af196f9b5e28fc536ca0422e6405e6d4e402300b9504eaa944f45c672daff@group.calendar.google.com"/>
        <s v="c_d711460494b2c9d7a466bc3cd0cd029a9c5b76b083052f7dc41ad949a3753d20@group.calendar.google.com"/>
        <s v="c_a715193c206b2aa1e4b81b8a3772df33bf92c92611202a890a6bccecb2131fcb@group.calendar.google.com"/>
        <s v="c_68f94d9ebfae6399f09ec01b19d2012d5d2b7c5efbd47328c79c373cbeec7a5b@group.calendar.google.com"/>
        <s v="c_3454aaede6db5cd8de24b4c70b8c6f3570b98e436e1f71e91d12b7a673ab3f97@group.calendar.google.com"/>
        <s v="c_2754856c5047affc6767bb85fb787591389bf7d14d3afd368efdff9979492ab5@group.calendar.google.com"/>
        <s v="c_9384058245a0bc66157c09691047ea8f88622323c6761b8606c18d9b08ee0bf8@group.calendar.google.com"/>
        <s v="c_b534e1be73647e660d74cbb308a8c39b0102a8b56261b3886e0967d9ee34f368@group.calendar.google.com"/>
        <s v="c_8d6793f7bb6abb58456593287891e1c91528d006316df4ef7bdb59fa0d40b64f@group.calendar.google.com"/>
        <s v="c_35f3aada7c9c0ba626ac56e6cf10c5959c56663450ffd058a5bdc005508d0954@group.calendar.google.com"/>
        <s v="c_14943542450de5ffc0c20a93db15c7c0757a89aaa373292182138a3a691be245@group.calendar.google.com"/>
        <s v="c_df86b3d6c5aa83af7e7dadc1108907ecb89d8fc7e4b645a62e375b31e7b5e3a3@group.calendar.google.com"/>
        <s v="c_0d9eaa4cfb55a8e552117f53a91a7c3c2f5164632253d0e265f7de4e3a4737c4@group.calendar.google.com"/>
        <s v="c_2208b8e561439ebc2637feb15fe2d308d5719cc64460071de6ba0c674eba6118@group.calendar.google.com"/>
        <s v="c_db1fbd259183311b30d5bfa9e5494d85e4aa71562c2d699763ba11e15f3e8a3b@group.calendar.google.com"/>
        <s v="c_a80d776e58d8881ef4e876da99555e813842eeed9733f23e6f4b85d237e1fdec@group.calendar.google.com"/>
        <s v="c_3d8e6f3013c2064d1cf20c38ef5246d33ef6635ebbbd3c9abb7c506fa9eefde3@group.calendar.google.com"/>
        <s v="c_0fe46f911aa7c417189a62fdd8716ddaaef232a02bd45c49b9c02c6d6e2e4815@group.calendar.google.com"/>
        <s v="c_4bf2087a99450838a520f4ce4fc6de01f87130a4f381347449792eaf1546cc46@group.calendar.google.com"/>
        <s v="c_056be6e79a6fa62e8f2a68280313995615b47a17f2b3679481d262413ec95701@group.calendar.google.com"/>
        <s v="c_82243c858a94977b161cc883035793aa376a03b467dcc33d001d9ca49835cdb3@group.calendar.google.com"/>
        <s v="c_d2ee2c2110f1f2bc5b089d0edb8b480581f78d93077274c225fcfc530518b2ca@group.calendar.google.com"/>
        <s v="c_c2a91e309d1b6dc37cabc837fe79ebdcdbabcaff13a6376ec109ab3d73862812@group.calendar.google.com"/>
        <s v="c_2ab5bc877123c6d06b681700306d382bcc765d7810badc543daeacf05260ecd9@group.calendar.google.com"/>
        <s v="Error: Calendar not found!"/>
        <s v="c_311aaffc8651807276a982d2e3621559621998746b9adad33a9304b73b24dbd9@group.calendar.google.com"/>
        <s v="c_3049f29ec7ef21ab890fb708cade8a20fa94574faa4b9a9f528d8a665fbc6262@group.calendar.google.com"/>
        <s v="c_ebde6df3eb6b0899fbe6696247d2e4255b950c6e1d491bbce480648f603c2f22@group.calendar.google.com"/>
        <s v="c_6fd5f3c25278bd569c413814d6452fc4f9cb936bb38174e89b1cb54f9ec7c89d@group.calendar.google.com"/>
        <s v="c_63ea68c9b2bd76e0f3279abf94d6d8255c36c6dc090b9a1df4d31db84c3a049c@group.calendar.google.com"/>
        <s v="Error: The parameters (String,String,(class)) don't match the method signature for CalendarApp.Calendar.createAllDayEvent."/>
        <s v="c_ef2f5a817a776785477f597bd1081d6a57d8380a8013026b8ce9895920f902e2@group.calendar.google.com"/>
        <s v="c_82544f5a034269c2d78a04494afd80a3940635f25bd2a7f23eb7c2af3d0dd46f@group.calendar.google.com"/>
      </sharedItems>
    </cacheField>
    <cacheField name="Event Post" numFmtId="0">
      <sharedItems containsBlank="1">
        <m/>
        <b v="0"/>
        <b v="1"/>
      </sharedItems>
    </cacheField>
    <cacheField name="Calendar ID Post" numFmtId="0">
      <sharedItems containsBlank="1">
        <m/>
        <s v="c_b412638d97e7dcffa392ccd62e6d5e2eccb052c0c08de7e1e7d547811d81c44c@group.calendar.google.com"/>
        <s v="c_665764ca21c8e4b3814e25bf24bc7074fa55890dce5d4073abb0fdddc70649d4@group.calendar.google.com"/>
        <s v="Done"/>
        <e v="#N/A"/>
        <s v="c_b9aea0629908ddbafe7229688ea55dc9d65b9e6b1a8ed4492c7ca84aa703d076@group.calendar.google.com"/>
        <s v="c_8f3f6ef786f2df9238426a478307dbddffb576ace587133cfa65ca553e2f967a@group.calendar.google.com"/>
        <s v="c_f6970d92e9be72b1307e3c015a265d69ae87140c691e7728bc83462544d82455@group.calendar.google.com"/>
        <s v="c_569af196f9b5e28fc536ca0422e6405e6d4e402300b9504eaa944f45c672daff@group.calendar.google.com"/>
        <s v="c_d711460494b2c9d7a466bc3cd0cd029a9c5b76b083052f7dc41ad949a3753d20@group.calendar.google.com"/>
        <s v="c_a715193c206b2aa1e4b81b8a3772df33bf92c92611202a890a6bccecb2131fcb@group.calendar.google.com"/>
        <s v="c_007bb5dfd61adc34e7d7f1093213e03f31b2abfb546bee3afc00b412de414680@group.calendar.google.com"/>
        <s v="c_15e3504fd6fde5b88106b6d99934e830e051067bbd4af855bfd432d30fc2f262@group.calendar.google.com"/>
        <s v="Error: Invalid dates"/>
        <s v="c_6fd5f3c25278bd569c413814d6452fc4f9cb936bb38174e89b1cb54f9ec7c89d@group.calendar.google.com"/>
        <s v="c_3d8e6f3013c2064d1cf20c38ef5246d33ef6635ebbbd3c9abb7c506fa9eefde3@group.calendar.google.com"/>
        <s v="c_68f94d9ebfae6399f09ec01b19d2012d5d2b7c5efbd47328c79c373cbeec7a5b@group.calendar.google.com"/>
        <s v="c_3454aaede6db5cd8de24b4c70b8c6f3570b98e436e1f71e91d12b7a673ab3f97@group.calendar.google.com"/>
        <s v="c_2754856c5047affc6767bb85fb787591389bf7d14d3afd368efdff9979492ab5@group.calendar.google.com"/>
        <s v="c_9384058245a0bc66157c09691047ea8f88622323c6761b8606c18d9b08ee0bf8@group.calendar.google.com"/>
        <s v="Error: Calendar not found!"/>
        <s v="c_8d6793f7bb6abb58456593287891e1c91528d006316df4ef7bdb59fa0d40b64f@group.calendar.google.com"/>
        <s v="c_35f3aada7c9c0ba626ac56e6cf10c5959c56663450ffd058a5bdc005508d0954@group.calendar.google.com"/>
        <s v="c_14943542450de5ffc0c20a93db15c7c0757a89aaa373292182138a3a691be245@group.calendar.google.com"/>
        <s v="c_df86b3d6c5aa83af7e7dadc1108907ecb89d8fc7e4b645a62e375b31e7b5e3a3@group.calendar.google.com"/>
        <s v="c_0d9eaa4cfb55a8e552117f53a91a7c3c2f5164632253d0e265f7de4e3a4737c4@group.calendar.google.com"/>
        <s v="c_d2ee2c2110f1f2bc5b089d0edb8b480581f78d93077274c225fcfc530518b2ca@group.calendar.google.com"/>
        <s v="c_db1fbd259183311b30d5bfa9e5494d85e4aa71562c2d699763ba11e15f3e8a3b@group.calendar.google.com"/>
        <s v="c_a80d776e58d8881ef4e876da99555e813842eeed9733f23e6f4b85d237e1fdec@group.calendar.google.com"/>
        <s v="c_2208b8e561439ebc2637feb15fe2d308d5719cc64460071de6ba0c674eba6118@group.calendar.google.com"/>
        <s v="c_b534e1be73647e660d74cbb308a8c39b0102a8b56261b3886e0967d9ee34f368@group.calendar.google.com"/>
        <s v="c_0fe46f911aa7c417189a62fdd8716ddaaef232a02bd45c49b9c02c6d6e2e4815@group.calendar.google.com"/>
        <s v="c_056be6e79a6fa62e8f2a68280313995615b47a17f2b3679481d262413ec95701@group.calendar.google.com"/>
        <s v="c_4bf2087a99450838a520f4ce4fc6de01f87130a4f381347449792eaf1546cc46@group.calendar.google.com"/>
        <s v="c_82243c858a94977b161cc883035793aa376a03b467dcc33d001d9ca49835cdb3@group.calendar.google.com"/>
        <s v="c_c2a91e309d1b6dc37cabc837fe79ebdcdbabcaff13a6376ec109ab3d73862812@group.calendar.google.com"/>
        <s v="c_311aaffc8651807276a982d2e3621559621998746b9adad33a9304b73b24dbd9@group.calendar.google.com"/>
        <s v="c_3049f29ec7ef21ab890fb708cade8a20fa94574faa4b9a9f528d8a665fbc6262@group.calendar.google.com"/>
        <s v="c_ebde6df3eb6b0899fbe6696247d2e4255b950c6e1d491bbce480648f603c2f22@group.calendar.google.com"/>
        <s v="c_2ab5bc877123c6d06b681700306d382bcc765d7810badc543daeacf05260ecd9@group.calendar.google.com"/>
        <s v="c_ef2f5a817a776785477f597bd1081d6a57d8380a8013026b8ce9895920f902e2@group.calendar.google.com"/>
        <s v="c_82544f5a034269c2d78a04494afd80a3940635f25bd2a7f23eb7c2af3d0dd46f@group.calendar.google.com"/>
      </sharedItems>
    </cacheField>
    <cacheField name="Date Estimée de Réception" numFmtId="0">
      <sharedItems containsDate="1" containsString="0" containsBlank="1">
        <m/>
        <d v="2024-09-04T00:00:00Z"/>
      </sharedItems>
    </cacheField>
    <cacheField name="Date Réelle de Réception" numFmtId="0">
      <sharedItems containsString="0" containsBlank="1">
        <m/>
      </sharedItems>
    </cacheField>
    <cacheField name="Status Colis" numFmtId="0">
      <sharedItems containsBlank="1">
        <m/>
        <s v="Reçu"/>
        <s v="Pas reçu"/>
        <s v="En Attente"/>
      </sharedItems>
    </cacheField>
    <cacheField name="Commentaires" numFmtId="0">
      <sharedItems containsString="0" containsBlank="1">
        <m/>
      </sharedItems>
    </cacheField>
    <cacheField name="ID Form" numFmtId="0">
      <sharedItems containsBlank="1">
        <m/>
        <s v="1F40mnL3JpqXpe0o5qrbDG4GuV9h68eR7gA-3pUAyNHM"/>
      </sharedItems>
    </cacheField>
  </cacheFields>
</pivotCacheDefinition>
</file>

<file path=xl/pivotCache/pivotCacheDefinition13.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AC1347" sheet="Global1"/>
  </cacheSource>
  <cacheFields>
    <cacheField name="Talent" numFmtId="0">
      <sharedItems>
        <s v="Pauline"/>
        <s v="Chiara"/>
        <s v="Melissa"/>
        <s v="Camille"/>
        <s v="Lily Noël"/>
        <s v="Lina"/>
        <s v="Flavie"/>
        <s v="Jessica"/>
        <s v="Orane"/>
        <s v="Lola"/>
        <s v="Juliane"/>
        <s v="Alice"/>
        <s v="Laurie"/>
        <s v="Perrine"/>
        <s v="Morgane"/>
        <s v="Lise"/>
        <s v="Jeanne"/>
        <s v="Mary"/>
        <s v="Melissa P"/>
        <s v="Anaïs"/>
        <s v="Salma"/>
        <s v="Aïcha"/>
        <s v="Jasmine"/>
        <s v="Asmae"/>
        <s v="Rachel"/>
        <s v="Arwen"/>
        <s v="Iman"/>
        <s v="Moped"/>
        <s v="Dounia"/>
        <s v="Gurbet"/>
        <s v="Amani"/>
        <s v="Hidaya"/>
        <s v="Sirine"/>
        <s v="Eloise"/>
        <s v="Imane"/>
        <s v="Marine"/>
        <s v="Sofia"/>
        <s v="Sarah"/>
        <s v="Eiliassa"/>
        <s v="Farah"/>
        <s v="Estelle"/>
        <s v="Juliette"/>
        <s v="Nidal"/>
        <s v="Lola H."/>
        <s v="Morgane C"/>
        <s v="Chloe"/>
        <s v="Laura"/>
        <s v="Lilou"/>
        <s v="Lily"/>
        <s v="Amanda"/>
        <s v="Glenn"/>
        <s v="--"/>
        <s v="Amelle"/>
        <s v="Angie"/>
        <s v="Fanny"/>
        <s v="Laurine"/>
        <s v="Marlène"/>
        <s v="Migos Media"/>
        <s v="Romane"/>
        <s v="Maeva"/>
        <s v="Gurbet "/>
        <s v="Juliette D"/>
        <s v="Laura F"/>
      </sharedItems>
    </cacheField>
    <cacheField name="Date Création" numFmtId="164">
      <sharedItems containsDate="1" containsString="0" containsBlank="1">
        <d v="2024-03-01T00:00:00Z"/>
        <d v="2024-03-15T00:00:00Z"/>
        <m/>
        <d v="2024-03-30T00:00:00Z"/>
        <d v="2024-03-25T00:00:00Z"/>
        <d v="2024-04-08T00:00:00Z"/>
        <d v="2024-04-11T00:00:00Z"/>
        <d v="2024-03-21T00:00:00Z"/>
        <d v="2024-04-25T00:00:00Z"/>
        <d v="2024-04-19T00:00:00Z"/>
        <d v="2024-05-07T00:00:00Z"/>
        <d v="2024-05-06T00:00:00Z"/>
        <d v="2024-05-02T00:00:00Z"/>
        <d v="2024-05-13T00:00:00Z"/>
        <d v="2024-05-14T00:00:00Z"/>
        <d v="2024-03-20T00:00:00Z"/>
        <d v="2024-04-10T00:00:00Z"/>
        <d v="2024-05-30T00:00:00Z"/>
        <d v="2024-05-11T00:00:00Z"/>
        <d v="2024-04-30T00:00:00Z"/>
        <d v="2024-05-23T00:00:00Z"/>
        <d v="2024-05-16T00:00:00Z"/>
        <d v="2024-06-08T00:00:00Z"/>
        <d v="2024-06-20T00:00:00Z"/>
        <d v="2024-06-18T00:00:00Z"/>
        <d v="2024-06-12T00:00:00Z"/>
        <d v="2024-06-24T00:00:00Z"/>
        <d v="2024-06-11T00:00:00Z"/>
        <d v="2024-07-16T00:00:00Z"/>
        <d v="2024-07-25T00:00:00Z"/>
        <d v="2024-07-03T00:00:00Z"/>
        <d v="2024-06-17T00:00:00Z"/>
        <d v="2024-06-27T00:00:00Z"/>
        <d v="2024-07-06T00:00:00Z"/>
        <d v="2024-06-14T00:00:00Z"/>
        <d v="2024-07-24T00:00:00Z"/>
        <d v="2024-07-10T00:00:00Z"/>
        <d v="2024-08-01T00:00:00Z"/>
        <d v="2024-07-04T00:00:00Z"/>
        <d v="2024-07-23T00:00:00Z"/>
        <d v="2024-07-21T00:00:00Z"/>
        <d v="2024-08-06T00:00:00Z"/>
        <d v="2024-07-29T00:00:00Z"/>
        <d v="2024-07-30T00:00:00Z"/>
        <d v="2024-07-17T00:00:00Z"/>
        <d v="2024-08-02T00:00:00Z"/>
        <d v="2024-07-31T00:00:00Z"/>
        <d v="2024-08-21T00:00:00Z"/>
        <d v="2024-08-19T00:00:00Z"/>
        <d v="2024-08-13T00:00:00Z"/>
        <d v="2024-09-11T00:00:00Z"/>
        <d v="2024-08-16T00:00:00Z"/>
        <d v="2024-09-12T00:00:00Z"/>
        <d v="2024-08-23T00:00:00Z"/>
        <d v="2024-09-04T00:00:00Z"/>
        <d v="2025-05-20T00:00:00Z"/>
        <d v="2024-09-09T00:00:00Z"/>
        <d v="2024-08-28T00:00:00Z"/>
        <d v="2024-09-14T00:00:00Z"/>
        <d v="2024-09-13T00:00:00Z"/>
        <d v="2024-08-20T00:00:00Z"/>
        <d v="2024-09-26T00:00:00Z"/>
        <d v="2024-08-29T00:00:00Z"/>
        <d v="2025-05-13T00:00:00Z"/>
        <d v="2024-09-03T00:00:00Z"/>
        <d v="2024-09-27T00:00:00Z"/>
        <d v="2024-10-01T00:00:00Z"/>
        <d v="2025-05-07T00:00:00Z"/>
        <d v="2024-10-28T00:00:00Z"/>
        <d v="2024-09-10T00:00:00Z"/>
        <d v="2024-10-15T00:00:00Z"/>
        <d v="2024-10-29T00:00:00Z"/>
        <d v="2024-10-24T00:00:00Z"/>
        <d v="2024-10-02T00:00:00Z"/>
        <d v="2024-10-30T00:00:00Z"/>
        <d v="2024-10-14T00:00:00Z"/>
        <d v="2024-10-25T00:00:00Z"/>
        <d v="2024-11-05T00:00:00Z"/>
        <d v="2024-11-08T00:00:00Z"/>
        <d v="2024-11-04T00:00:00Z"/>
        <d v="2024-10-23T00:00:00Z"/>
        <d v="2024-11-29T00:00:00Z"/>
        <d v="2024-11-19T00:00:00Z"/>
        <d v="2024-12-09T00:00:00Z"/>
        <d v="2024-11-26T00:00:00Z"/>
        <d v="2024-11-25T00:00:00Z"/>
        <d v="2024-12-05T00:00:00Z"/>
        <d v="2024-12-16T00:00:00Z"/>
        <d v="2024-11-11T00:00:00Z"/>
        <d v="2024-12-03T00:00:00Z"/>
        <d v="2024-12-24T00:00:00Z"/>
        <d v="2025-02-20T00:00:00Z"/>
        <d v="2024-12-23T00:00:00Z"/>
        <d v="2025-01-07T00:00:00Z"/>
        <d v="2024-12-12T00:00:00Z"/>
        <d v="2025-01-21T00:00:00Z"/>
        <d v="2025-01-24T00:00:00Z"/>
        <d v="2025-01-17T00:00:00Z"/>
        <d v="2025-01-09T00:00:00Z"/>
        <d v="2025-01-27T00:00:00Z"/>
        <d v="2025-01-23T00:00:00Z"/>
        <d v="2024-10-22T00:00:00Z"/>
        <d v="2024-10-21T00:00:00Z"/>
        <d v="2025-01-22T00:00:00Z"/>
        <d v="2025-01-16T00:00:00Z"/>
        <d v="2025-02-12T00:00:00Z"/>
        <d v="2025-02-18T00:00:00Z"/>
        <d v="2025-01-29T00:00:00Z"/>
        <d v="2025-02-14T00:00:00Z"/>
        <d v="2025-02-15T00:00:00Z"/>
        <d v="2025-02-06T00:00:00Z"/>
        <d v="2025-02-21T00:00:00Z"/>
        <d v="2025-03-31T00:00:00Z"/>
        <d v="2025-02-26T00:00:00Z"/>
        <d v="2025-02-28T00:00:00Z"/>
        <d v="2025-02-25T00:00:00Z"/>
        <d v="2025-02-19T00:00:00Z"/>
        <d v="2025-03-11T00:00:00Z"/>
        <d v="2025-03-21T00:00:00Z"/>
        <d v="2025-03-12T00:00:00Z"/>
        <d v="2025-03-17T00:00:00Z"/>
        <d v="2025-03-24T00:00:00Z"/>
        <d v="2025-03-10T00:00:00Z"/>
        <d v="2025-03-14T00:00:00Z"/>
        <d v="2025-04-17T00:00:00Z"/>
        <d v="2025-03-16T00:00:00Z"/>
        <d v="2025-04-04T00:00:00Z"/>
        <d v="2025-04-07T00:00:00Z"/>
        <d v="2025-04-15T00:00:00Z"/>
        <d v="2025-04-25T00:00:00Z"/>
        <d v="2025-05-16T00:00:00Z"/>
        <d v="2025-04-14T00:00:00Z"/>
        <d v="2025-03-28T00:00:00Z"/>
        <d v="2025-03-06T00:00:00Z"/>
        <d v="2025-03-20T00:00:00Z"/>
        <d v="2025-04-09T00:00:00Z"/>
        <d v="2025-04-11T00:00:00Z"/>
        <d v="2025-03-13T00:00:00Z"/>
        <d v="2025-04-08T00:00:00Z"/>
        <d v="2025-04-30T00:00:00Z"/>
        <d v="2025-04-21T00:00:00Z"/>
        <d v="2025-06-02T00:00:00Z"/>
        <d v="2025-06-10T00:00:00Z"/>
        <d v="2025-03-30T00:00:00Z"/>
        <d v="2025-03-26T00:00:00Z"/>
        <d v="2025-06-20T00:00:00Z"/>
        <d v="2025-02-10T00:00:00Z"/>
        <d v="2025-05-19T00:00:00Z"/>
        <d v="2025-04-24T00:00:00Z"/>
        <d v="2025-06-26T00:00:00Z"/>
        <d v="2025-05-23T00:00:00Z"/>
        <d v="2025-05-06T00:00:00Z"/>
        <d v="2025-05-24T00:00:00Z"/>
        <d v="2025-06-05T00:00:00Z"/>
        <d v="2025-05-27T00:00:00Z"/>
        <d v="2025-06-12T00:00:00Z"/>
        <d v="2025-05-28T00:00:00Z"/>
        <d v="2025-06-16T00:00:00Z"/>
        <d v="2025-06-18T00:00:00Z"/>
        <d v="2025-06-11T00:00:00Z"/>
        <d v="2025-06-23T00:00:00Z"/>
        <d v="2025-02-03T00:00:00Z"/>
        <d v="2025-06-04T00:00:00Z"/>
        <d v="2025-05-22T00:00:00Z"/>
        <d v="2025-06-22T00:00:00Z"/>
        <d v="2025-07-16T00:00:00Z"/>
        <d v="2025-06-19T00:00:00Z"/>
        <d v="2025-07-01T00:00:00Z"/>
        <d v="2025-06-17T00:00:00Z"/>
        <d v="2025-06-13T00:00:00Z"/>
        <d v="2025-07-03T00:00:00Z"/>
        <d v="2024-10-18T00:00:00Z"/>
        <d v="2025-05-29T00:00:00Z"/>
        <d v="2025-06-30T00:00:00Z"/>
        <d v="2025-03-07T00:00:00Z"/>
        <d v="2024-09-08T00:00:00Z"/>
        <d v="2024-10-08T00:00:00Z"/>
        <d v="2024-11-13T00:00:00Z"/>
        <d v="2024-12-10T00:00:00Z"/>
        <d v="2024-12-04T00:00:00Z"/>
        <d v="2024-06-07T00:00:00Z"/>
        <d v="2024-05-31T00:00:00Z"/>
        <d v="2025-02-23T00:00:00Z"/>
        <d v="2024-11-07T00:00:00Z"/>
        <d v="2024-11-28T00:00:00Z"/>
        <d v="2024-12-18T00:00:00Z"/>
        <d v="2025-02-11T00:00:00Z"/>
        <d v="2025-02-07T00:00:00Z"/>
        <d v="2024-09-05T00:00:00Z"/>
        <d v="2024-12-13T00:00:00Z"/>
        <d v="2024-03-08T00:00:00Z"/>
        <d v="2024-04-22T00:00:00Z"/>
        <d v="2024-05-17T00:00:00Z"/>
        <d v="2024-04-24T00:00:00Z"/>
        <d v="2024-05-24T00:00:00Z"/>
        <d v="2024-07-19T00:00:00Z"/>
        <d v="2024-08-09T00:00:00Z"/>
        <d v="2024-07-01T00:00:00Z"/>
        <d v="2024-08-26T00:00:00Z"/>
        <d v="2024-09-17T00:00:00Z"/>
        <d v="2024-09-25T00:00:00Z"/>
        <d v="2024-09-30T00:00:00Z"/>
        <d v="2024-10-10T00:00:00Z"/>
        <d v="2024-12-02T00:00:00Z"/>
        <d v="2025-01-06T00:00:00Z"/>
        <d v="2025-01-13T00:00:00Z"/>
        <d v="2024-06-26T00:00:00Z"/>
        <d v="2024-08-07T00:00:00Z"/>
        <d v="2024-07-11T00:00:00Z"/>
        <d v="2024-09-16T00:00:00Z"/>
        <d v="2024-11-14T00:00:00Z"/>
        <d v="2024-03-22T00:00:00Z"/>
        <d v="2024-04-06T00:00:00Z"/>
        <d v="2024-04-07T00:00:00Z"/>
        <d v="2024-06-04T00:00:00Z"/>
        <d v="2024-10-11T00:00:00Z"/>
        <d v="2024-03-23T00:00:00Z"/>
        <d v="2024-04-04T00:00:00Z"/>
        <d v="2024-04-09T00:00:00Z"/>
        <d v="2024-05-21T00:00:00Z"/>
        <d v="2024-05-27T00:00:00Z"/>
        <d v="2024-08-27T00:00:00Z"/>
        <d v="2025-04-12T00:00:00Z"/>
        <d v="2024-02-28T00:00:00Z"/>
        <d v="2024-05-28T00:00:00Z"/>
        <d v="2024-09-23T00:00:00Z"/>
        <d v="2024-06-30T00:00:00Z"/>
        <d v="2024-09-20T00:00:00Z"/>
        <d v="2024-10-07T00:00:00Z"/>
        <d v="2024-03-27T00:00:00Z"/>
        <d v="2024-04-13T00:00:00Z"/>
        <d v="2024-04-27T00:00:00Z"/>
        <d v="2024-01-15T00:00:00Z"/>
        <d v="2024-01-14T00:00:00Z"/>
        <d v="2025-03-18T00:00:00Z"/>
        <d v="2024-05-18T00:00:00Z"/>
        <d v="2024-06-19T00:00:00Z"/>
        <d v="2024-10-09T00:00:00Z"/>
        <d v="2024-11-12T00:00:00Z"/>
        <d v="2024-12-19T00:00:00Z"/>
        <d v="2025-02-22T00:00:00Z"/>
        <d v="2024-03-26T00:00:00Z"/>
        <d v="2024-05-20T00:00:00Z"/>
        <d v="2024-07-08T00:00:00Z"/>
        <d v="2024-11-22T00:00:00Z"/>
        <d v="2024-10-31T00:00:00Z"/>
        <d v="2024-07-15T00:00:00Z"/>
        <d v="2024-09-24T00:00:00Z"/>
        <d v="2024-02-15T00:00:00Z"/>
        <d v="2024-04-26T00:00:00Z"/>
        <d v="2024-06-03T00:00:00Z"/>
        <d v="2024-04-12T00:00:00Z"/>
        <d v="2024-07-09T00:00:00Z"/>
        <d v="2024-09-29T00:00:00Z"/>
        <d v="2024-10-06T00:00:00Z"/>
        <d v="2024-10-16T00:00:00Z"/>
        <d v="2024-09-19T00:00:00Z"/>
        <d v="2024-03-28T00:00:00Z"/>
        <d v="2024-10-17T00:00:00Z"/>
        <d v="2025-04-29T00:00:00Z"/>
        <d v="2024-03-18T00:00:00Z"/>
        <d v="2024-08-14T00:00:00Z"/>
        <d v="2024-09-01T00:00:00Z"/>
        <d v="2024-11-15T00:00:00Z"/>
        <d v="2025-01-03T00:00:00Z"/>
        <d v="2024-07-18T00:00:00Z"/>
        <d v="2025-07-11T00:00:00Z"/>
        <d v="2025-07-18T00:00:00Z"/>
        <d v="2025-07-21T00:00:00Z"/>
        <d v="2025-07-22T00:00:00Z"/>
        <d v="2025-07-24T00:00:00Z"/>
        <d v="2025-07-25T00:00:00Z"/>
        <d v="2025-07-28T00:00:00Z"/>
        <d v="2025-06-24T00:00:00Z"/>
        <d v="2025-07-14T00:00:00Z"/>
        <d v="2025-06-27T00:00:00Z"/>
        <d v="2025-01-31T00:00:00Z"/>
      </sharedItems>
    </cacheField>
    <cacheField name="Marque" numFmtId="3">
      <sharedItems>
        <s v="BYS Maquillage"/>
        <s v="Yepoda"/>
        <s v="Rimmel London"/>
        <s v="SHEIN"/>
        <s v="Yves Rocher"/>
        <s v="Temu"/>
        <s v="Anua"/>
        <s v="SOS Beauty"/>
        <s v="Haru Haru Wonder"/>
        <s v="Maybelline"/>
        <s v="Koru"/>
        <s v="PINKO PAZZESCO"/>
        <s v="GHD"/>
        <s v="SKIN1004"/>
        <s v="Les Pistolets en Plastique"/>
        <s v="Rose Skin Co."/>
        <s v="Skin &amp; Out"/>
        <s v="Dyson"/>
        <s v="Satinée"/>
        <s v="BodyCross"/>
        <s v="Garnier"/>
        <s v="Eau Thermale Jonzac"/>
        <s v="So Bio Etic"/>
        <s v="Terre de Mars"/>
        <s v="Commonlabs"/>
        <s v="BENEFIT"/>
        <s v="Anastasia Beverly Hills"/>
        <s v="Grande Cosmetics"/>
        <s v="Mixa"/>
        <s v="My House of Jewels"/>
        <s v="Uriage"/>
        <s v="Erborian"/>
        <s v="Lancôme "/>
        <s v="Nocibé"/>
        <s v="Crocs"/>
        <s v="JOLT"/>
        <s v="Ducray"/>
        <s v="Bioré"/>
        <s v="La Roche Posay"/>
        <s v="Yesstyle"/>
        <s v="Sheglam"/>
        <s v="Abib"/>
        <s v="Bershka"/>
        <s v="Dr.Althea"/>
        <s v="Stylevana"/>
        <s v="Dreame"/>
        <s v="Lancôme"/>
        <s v="Wandernana"/>
        <s v="Essence"/>
        <s v="Monopoly Go"/>
        <s v="Frank Provost"/>
        <s v="Myriam K Paris"/>
        <s v="Sol De Janeiro"/>
        <s v="Mixsoon"/>
        <s v="Current Body"/>
        <s v="Aïa Curl"/>
        <s v="Aromazone"/>
        <s v="iHerb"/>
        <s v="Mova"/>
        <s v="L'Oréal"/>
        <s v="Hacoo"/>
        <s v="Biocyte"/>
        <s v="Musc Intime"/>
        <s v="NYX"/>
        <s v="L'Oreal"/>
        <s v="Remington"/>
        <s v="Dynveo"/>
        <s v="Vitavea"/>
        <s v="Uberliss"/>
        <s v="Luxéol"/>
        <s v="Darry Ring"/>
        <s v="Capcut"/>
        <s v="Redken"/>
        <s v="Naali"/>
        <s v="Cerave"/>
        <s v="Paalm Cosmetics"/>
        <s v="Shavest"/>
        <s v="Inava"/>
        <s v="Cellublue"/>
        <s v="Caudalie"/>
        <s v="Voghion"/>
        <s v="BeReal"/>
        <s v="Current Body "/>
        <s v="Ali Express"/>
        <s v="Keracare"/>
        <s v="ZIIP"/>
        <s v="Feel My Skin"/>
        <s v="BYD"/>
        <s v="ISIS Pharma"/>
        <s v="Sanytol"/>
        <s v="Mavatys"/>
        <s v="Sanex"/>
        <s v="My Little Box "/>
        <s v="Lazartigue"/>
        <s v="Solinotes"/>
        <s v="It Fruit"/>
        <s v="TORRAS"/>
        <s v="Medicube"/>
        <s v="H&amp;S"/>
        <s v="Perroy Parfum"/>
        <s v="Nike"/>
        <s v="Bella Barrnett"/>
        <s v="Passion Marine"/>
        <s v="Avene"/>
        <s v="Beauty Of Joseon"/>
        <s v="Etiaxil"/>
        <s v="Just Spin"/>
        <s v="PlanJoy"/>
        <s v="YTTP"/>
        <s v="Sanytol "/>
        <s v="Dior"/>
        <s v="Pretty Little Things"/>
        <s v="L'Univers de Baya"/>
        <s v="Bob Oré"/>
        <s v="YSL"/>
        <s v="Ouvéa"/>
        <s v="Cider"/>
        <s v="Milk Make Up"/>
        <s v="SPA &amp; BIEN ÊTRE - GRAVITI"/>
        <s v="Ole Henriksen"/>
        <s v="Rare Beauty"/>
        <s v="Lancôme #MWL"/>
        <s v="Clarine"/>
        <s v="SHU UEMURA"/>
        <s v="Aveda"/>
        <s v="Clinique"/>
        <s v="KIEHLS"/>
        <s v="Embryolisse"/>
        <s v="Focus Skincare"/>
        <s v="MILK"/>
        <s v="Superdry"/>
        <s v="Prada"/>
        <s v="YSL Stylo Touche Éclat"/>
        <s v="R.E.M Beauty"/>
        <s v="IT Cosmetics"/>
        <s v="Lancôme - HYPNOSE DRAMA 🖤"/>
        <s v="Charlotte Tilburry (Nice Work)"/>
        <s v="YSL Beauty Summer Box"/>
        <s v="Fenty"/>
        <s v="Dr. Dennis Gross (Nice Work)"/>
        <s v="YSL Blushs "/>
        <s v="Valentino"/>
        <s v="Huda Beauty"/>
        <s v="Sephora"/>
        <s v="Charlotte Tilburry"/>
        <s v="The Inkey List"/>
        <s v="Cecotec"/>
        <s v="Vichy"/>
        <s v="Flower Knows"/>
        <s v="Rituals"/>
        <s v="Respire"/>
        <s v="LANEIGE"/>
        <s v="Glow Recipe"/>
        <s v="Franck Provost"/>
        <s v="MAC Cosmetics"/>
        <s v="Milk Makeup (Nice Work)"/>
        <s v="Typology"/>
        <s v="Kiehl's"/>
        <s v="JW PEI"/>
        <s v="Bloom"/>
        <s v="Nars"/>
        <s v="The Commense"/>
        <s v="Bijoux Divins"/>
        <s v="Biotherm"/>
        <s v="Courrèges (Nice Work)"/>
        <s v="Pulpe de Vie"/>
        <s v="Dieti Natura"/>
        <s v="Make Up For Ever"/>
        <s v="Jimmy Fairly"/>
        <s v="Lili Sidonio"/>
        <s v="Dr Jart +"/>
        <s v="Gallinée"/>
        <s v="Evoluderm"/>
        <s v="Drunk Elephant"/>
        <s v="Shokz"/>
        <s v="Fresh"/>
        <s v="Bourjois"/>
        <s v="Too Faced"/>
        <s v="L'Oréal Professionnel"/>
        <s v="NARS (Nice Work)"/>
        <s v="Fenty (Nice Work)"/>
        <s v="Black &amp; White Burger"/>
        <s v="Daylo"/>
        <s v="Maria Nila"/>
        <s v="The Inkey List (Nice Work)"/>
        <s v="Wonderskin"/>
        <s v="Olaplex (Nice Work)"/>
        <s v="Kurku-ma"/>
        <s v="Origins"/>
        <s v="Kielh's"/>
        <s v="SAYANA"/>
        <s v="Havaianas"/>
        <s v="Réelle"/>
        <s v="Rare Beauty (Nice Work)"/>
        <s v="Boohoo"/>
        <s v="Kylie"/>
        <s v="Eau Thermale Jonzac "/>
        <s v="Hawkers"/>
        <s v="The Ordinary"/>
        <s v="Myrimimi"/>
        <s v="Fenty Skin"/>
        <s v="L'Oreal Luxe"/>
        <s v="Maybelline Concours"/>
        <s v="Sol de Janeiro (Nice Work)"/>
        <s v="TOMO"/>
        <s v="TABASQUISHY"/>
        <s v="Armani Beauty"/>
        <s v="Summer Fridays"/>
        <s v="Lanolips"/>
        <s v="Kiko Milano"/>
        <s v="Halal Nutrition"/>
        <s v="Kylie Cosmetics"/>
        <s v="My Little Box"/>
        <s v="Cuure"/>
        <s v="Interview"/>
        <s v="Le Petit Lunetier"/>
        <s v="Maybelline "/>
        <s v="Kalista"/>
        <s v="Neutrogena"/>
        <s v="Néonail"/>
        <s v="Milk Make Up (Nice Work)"/>
        <s v="Ongle24"/>
        <s v="Bobbi Brown"/>
        <s v="Axis-Y"/>
        <s v="Filorga"/>
        <s v="YSL Beauty Summer Box (Nice Work)"/>
        <s v="Estée Lauder"/>
        <s v="ULIKE"/>
        <s v="La Boutique du Coiffeur"/>
        <s v="Weleda"/>
        <s v="Seasonly"/>
        <s v="YSL "/>
        <s v="Air Up"/>
        <s v="Saforelle"/>
        <s v="Chantelle"/>
        <s v="Lancôme Event"/>
        <s v="Hourglass"/>
        <s v="Celimax"/>
        <s v="Dexeryl"/>
        <s v="Steam One "/>
        <s v="Talisma"/>
        <s v="Owari"/>
        <s v="No More Beauty"/>
        <s v="EA Pharma"/>
        <s v="Mymosa"/>
        <s v="Nuxe"/>
        <s v="Coco &amp; Eve"/>
        <s v="Divine Vanille"/>
      </sharedItems>
    </cacheField>
    <cacheField name="Complément">
      <sharedItems containsBlank="1" containsMixedTypes="1" containsNumber="1" containsInteger="1">
        <m/>
        <s v="CA"/>
        <s v="BOURS"/>
        <s v="Lancôme #MWL"/>
        <n v="2.0"/>
        <s v="GRWM for bed"/>
        <s v="Whats in my bag"/>
        <n v="1.0"/>
        <s v="Woo Juicy Tubes"/>
        <s v="Army"/>
        <s v="Shein deals "/>
        <s v="nov"/>
        <s v="janv"/>
        <s v="AMZ"/>
        <s v="Juicy"/>
        <s v="Sun Serum"/>
        <s v="Poremizing"/>
        <s v="PM Clay Stick"/>
        <s v="Relief"/>
        <s v="2-Double Cleansing"/>
        <s v="3-Sun Serum Hyalu"/>
        <s v="4-Tone Brightening"/>
        <s v="Tiktok"/>
        <s v="Mega Haul + Full Face Campaign"/>
        <s v="5- Glow Project"/>
        <s v="Black Friday et du Cyber Monday de SHEIN"/>
        <s v=" 💎SHEGLAM Partnership: SHEGLAM Liquid Fam Festival Glow Set"/>
        <s v="déc"/>
        <s v="👐️ SHEGLAM: Partnership Opportunity"/>
        <s v="1-PM Clay Stick"/>
        <s v="TT"/>
        <s v="Revitalift"/>
        <s v="poremizing quick clay stick mask "/>
        <s v="Poremizing Clay Stick Mask "/>
        <s v="hello kitty"/>
        <s v="février"/>
        <s v="Bold Booster Lip Combo Campaign"/>
        <s v="Big Cil mars"/>
        <s v="Blowdry"/>
        <s v="mars"/>
        <s v="THE Adventure Time X SHEGLAM COLLECTION"/>
        <s v="avril"/>
        <s v="Full SkinCare Routine in 1 Box"/>
        <s v="Double Cleansing"/>
        <s v="Big Cil avril"/>
        <s v="Lissage avril "/>
        <s v="Compléments alimentaire mai"/>
        <s v="Big Cil juin"/>
        <s v="Big Cil mai"/>
        <s v="Hyalu-Cica Sunserum "/>
        <s v="mai"/>
        <s v="Glow project "/>
        <s v="#1Bean Essence + Bean Cream + Centella Sun Cream routine "/>
        <s v="Tone-Brightening Ampoule"/>
        <s v="Glow Project"/>
        <s v="PM Stick "/>
        <s v="Lissage juin"/>
        <s v="skin care routine for beginners "/>
        <s v="Stick Mask"/>
        <s v="Beginner Routine"/>
        <s v="SKIN MASK CLAY"/>
        <s v="Tone Brightening"/>
        <s v="ad"/>
        <s v="UGC Trousse"/>
        <s v="Essentials home"/>
        <s v="UGC"/>
        <s v="Beach day "/>
        <s v="Festival outfitxtravel"/>
        <s v="Essentials home "/>
        <s v="#2 Bean Essence"/>
        <s v="Beach day"/>
        <s v="Bean Essence + Bean Cream + Centella Sun Cream routine"/>
        <s v="Bean Collagen Hydrogel Mask Pack"/>
        <s v="#3 Bean Collagen Hydrogel Mask Pack"/>
        <s v="Festival outfit "/>
        <s v="Collagen Cleansing Balm"/>
        <s v="Centella Sun Cream"/>
        <s v="Bean Cleansing Oil + Centella Cleansing Foam routine"/>
        <s v="Sunscreen Comparison"/>
        <s v="Soondy Centella Asiatica Essnece, Glacier Waster Hyaluronic Acid Serum, Bean Essence Layering"/>
        <s v="#4 Centella Sun Cream"/>
        <s v="Temps forts "/>
        <s v="skin care for beginners "/>
        <s v="sun serum real"/>
        <s v="lash idole"/>
        <s v="Masque"/>
        <s v="Tone brightening "/>
        <s v="PAS REÇU"/>
        <s v="Bean Essence"/>
        <s v=" Precision Sculpt"/>
        <s v="GLOW Project (Hyalu-Cica sun Serum + Probio-cica ampoule)"/>
        <s v="Halloween"/>
        <n v="3.0"/>
        <s v="SPF"/>
        <s v="LIP IDÔLE 💄"/>
        <s v="Juicy Tubes"/>
        <s v="Apres Collection Calendrier"/>
        <s v="Candy Glow"/>
        <s v="LASH IDÔLE"/>
        <s v="Saint Valentin"/>
        <s v="Produits Cultes"/>
        <s v="Best sellers"/>
        <s v="Loveshin &amp; Candy Glaze "/>
        <s v="2024 Black Friday Product Review"/>
        <s v="fev"/>
        <s v="creme solaire"/>
        <s v="Nice Work"/>
        <s v="Calendrier"/>
        <s v="Mascara Flutter Extension"/>
        <s v="Loveshine Plumping Lip Gloss"/>
        <s v="SHEIN Grosses Remises Day ! 🔥 Réglez votre rappel maintenant !"/>
        <s v="Fenty (Nice Work)"/>
        <s v="Hydra Jelly Pocket Lip Jam Campaign"/>
        <s v="Brumes"/>
        <s v="Pimple Patch"/>
        <s v="sérum + gel crème hyalu B5"/>
        <s v="Bell Hypoallergenique"/>
        <s v="CandyGlow"/>
        <s v="Patch"/>
        <s v="Revitalift IG"/>
        <s v="Noël"/>
        <s v="Sélection"/>
        <s v="Lissage mars"/>
        <s v="Mascara"/>
        <s v="Poremizing Light Gel Cream"/>
        <s v="Skincare Routine for Beginners"/>
        <s v="Collagen Glass Skin Mask"/>
        <s v="GLOW Project (Hyalu-Cica sun Serum + Probio-cica ampoule) "/>
        <s v="Cica-Hyal Sun Stick"/>
        <s v="#5 Bean Cleansing Oil + Centella Cleansing Foam routine"/>
        <s v="Centella Clenasing Foam + Centella Toner Pad + Soondy Centella Asiatica Essnece + Bean Cream + Centella Sun Cream Routine"/>
        <s v="Tone-Brightening Ampoule "/>
        <s v="#6 Soondy Centella Asiatica Essnece, Glacier Waster Hyaluronic Acid Serum, Bean Essence Layering"/>
        <s v="#7 Bean Cream"/>
        <s v="#8 Soybean Milk Serum"/>
        <s v="#9 Cica-Hyal Sun Stick"/>
        <s v="#10 Centella Clenasing Foam + Centella Toner Pad + Soondy Centella Asiatica Essnece + Bean Cream + Centella Sun Cream Routine"/>
        <s v="Complement juillet"/>
        <s v="Complement aout"/>
      </sharedItems>
    </cacheField>
    <cacheField name=" Brouillon draft">
      <sharedItems containsDate="1" containsBlank="1" containsMixedTypes="1">
        <d v="2024-02-29T00:00:00Z"/>
        <d v="2024-03-14T00:00:00Z"/>
        <d v="2024-04-03T00:00:00Z"/>
        <d v="2024-04-05T00:00:00Z"/>
        <d v="2024-04-15T00:00:00Z"/>
        <d v="2024-04-19T00:00:00Z"/>
        <d v="2024-04-22T00:00:00Z"/>
        <d v="2024-04-26T00:00:00Z"/>
        <d v="2024-04-27T00:00:00Z"/>
        <d v="2024-04-28T00:00:00Z"/>
        <d v="2024-04-29T00:00:00Z"/>
        <d v="2024-05-06T00:00:00Z"/>
        <d v="2024-05-07T00:00:00Z"/>
        <d v="2024-05-08T00:00:00Z"/>
        <d v="2024-05-09T00:00:00Z"/>
        <d v="2024-05-12T00:00:00Z"/>
        <d v="2024-05-13T00:00:00Z"/>
        <d v="2024-05-15T00:00:00Z"/>
        <d v="2024-05-19T00:00:00Z"/>
        <d v="2024-05-24T00:00:00Z"/>
        <d v="2024-05-25T00:00:00Z"/>
        <d v="2024-05-26T00:00:00Z"/>
        <d v="2024-05-30T00:00:00Z"/>
        <d v="2024-06-12T00:00:00Z"/>
        <d v="2024-06-13T00:00:00Z"/>
        <d v="2024-06-14T00:00:00Z"/>
        <d v="2024-06-15T00:00:00Z"/>
        <d v="2024-06-18T00:00:00Z"/>
        <d v="2024-06-16T00:00:00Z"/>
        <d v="2024-06-17T00:00:00Z"/>
        <d v="2024-06-19T00:00:00Z"/>
        <d v="2024-06-20T00:00:00Z"/>
        <d v="2024-06-22T00:00:00Z"/>
        <d v="2024-06-23T00:00:00Z"/>
        <d v="2024-06-24T00:00:00Z"/>
        <d v="2024-06-25T00:00:00Z"/>
        <d v="2024-06-29T00:00:00Z"/>
        <d v="2024-07-02T00:00:00Z"/>
        <d v="2024-07-06T00:00:00Z"/>
        <d v="2024-07-07T00:00:00Z"/>
        <d v="2024-07-08T00:00:00Z"/>
        <d v="2024-07-10T00:00:00Z"/>
        <d v="2024-07-13T00:00:00Z"/>
        <d v="2024-07-17T00:00:00Z"/>
        <d v="2024-07-18T00:00:00Z"/>
        <d v="2024-07-19T00:00:00Z"/>
        <d v="2024-07-21T00:00:00Z"/>
        <d v="2024-07-22T00:00:00Z"/>
        <d v="2024-07-27T00:00:00Z"/>
        <d v="2024-07-29T00:00:00Z"/>
        <d v="2024-07-28T00:00:00Z"/>
        <d v="2024-07-30T00:00:00Z"/>
        <m/>
        <d v="2024-08-02T00:00:00Z"/>
        <d v="2024-08-07T00:00:00Z"/>
        <d v="2024-08-08T00:00:00Z"/>
        <d v="2024-08-11T00:00:00Z"/>
        <d v="2024-08-13T00:00:00Z"/>
        <d v="2024-08-14T00:00:00Z"/>
        <d v="2024-08-16T00:00:00Z"/>
        <d v="2024-08-18T00:00:00Z"/>
        <d v="2024-08-19T00:00:00Z"/>
        <d v="2024-08-20T00:00:00Z"/>
        <d v="2024-08-21T00:00:00Z"/>
        <d v="2024-08-22T00:00:00Z"/>
        <d v="2024-08-25T00:00:00Z"/>
        <d v="2024-08-28T00:00:00Z"/>
        <d v="2024-08-29T00:00:00Z"/>
        <d v="2024-08-30T00:00:00Z"/>
        <d v="2024-09-01T00:00:00Z"/>
        <d v="2024-09-02T00:00:00Z"/>
        <d v="2024-09-04T00:00:00Z"/>
        <d v="2024-09-08T00:00:00Z"/>
        <d v="2024-09-10T00:00:00Z"/>
        <d v="2024-09-12T00:00:00Z"/>
        <d v="2024-08-23T00:00:00Z"/>
        <d v="2024-09-13T00:00:00Z"/>
        <d v="2024-09-14T00:00:00Z"/>
        <d v="2024-09-16T00:00:00Z"/>
        <d v="2024-09-19T00:00:00Z"/>
        <d v="2024-09-22T00:00:00Z"/>
        <d v="2025-06-10T00:00:00Z"/>
        <d v="2024-09-23T00:00:00Z"/>
        <d v="2024-09-24T00:00:00Z"/>
        <d v="2024-09-28T00:00:00Z"/>
        <d v="2024-09-29T00:00:00Z"/>
        <d v="2024-10-06T00:00:00Z"/>
        <d v="2024-10-09T00:00:00Z"/>
        <d v="2024-10-07T00:00:00Z"/>
        <d v="2024-10-11T00:00:00Z"/>
        <d v="2024-10-16T00:00:00Z"/>
        <d v="2024-10-15T00:00:00Z"/>
        <d v="2024-09-21T00:00:00Z"/>
        <d v="2024-10-17T00:00:00Z"/>
        <d v="2024-10-18T00:00:00Z"/>
        <d v="2024-10-23T00:00:00Z"/>
        <d v="2025-06-11T00:00:00Z"/>
        <d v="2024-10-25T00:00:00Z"/>
        <d v="2024-10-27T00:00:00Z"/>
        <d v="2024-11-02T00:00:00Z"/>
        <d v="2024-11-03T00:00:00Z"/>
        <d v="2024-10-28T00:00:00Z"/>
        <d v="2024-10-30T00:00:00Z"/>
        <d v="2024-11-04T00:00:00Z"/>
        <d v="2024-11-05T00:00:00Z"/>
        <d v="2025-06-15T00:00:00Z"/>
        <d v="2024-10-24T00:00:00Z"/>
        <d v="2024-11-07T00:00:00Z"/>
        <d v="2024-11-10T00:00:00Z"/>
        <d v="2024-11-12T00:00:00Z"/>
        <d v="2024-11-06T00:00:00Z"/>
        <d v="2024-11-17T00:00:00Z"/>
        <d v="2024-11-11T00:00:00Z"/>
        <d v="2024-11-18T00:00:00Z"/>
        <d v="2024-11-14T00:00:00Z"/>
        <d v="2024-11-15T00:00:00Z"/>
        <d v="2024-11-19T00:00:00Z"/>
        <d v="2024-11-22T00:00:00Z"/>
        <d v="2024-11-20T00:00:00Z"/>
        <d v="2024-11-21T00:00:00Z"/>
        <d v="2024-11-24T00:00:00Z"/>
        <d v="2024-11-25T00:00:00Z"/>
        <d v="2024-11-28T00:00:00Z"/>
        <d v="2024-11-26T00:00:00Z"/>
        <d v="2024-11-27T00:00:00Z"/>
        <d v="2024-12-11T00:00:00Z"/>
        <s v="ANNULÉ NE PAS SUPP"/>
        <d v="2024-12-14T00:00:00Z"/>
        <d v="2024-12-15T00:00:00Z"/>
        <d v="2024-11-29T00:00:00Z"/>
        <d v="2024-12-03T00:00:00Z"/>
        <d v="2024-12-16T00:00:00Z"/>
        <d v="2025-02-11T00:00:00Z"/>
        <d v="2024-12-19T00:00:00Z"/>
        <d v="2024-12-20T00:00:00Z"/>
        <d v="2024-12-22T00:00:00Z"/>
        <d v="2025-01-03T00:00:00Z"/>
        <d v="2024-12-25T00:00:00Z"/>
        <d v="2024-12-27T00:00:00Z"/>
        <d v="2025-01-20T00:00:00Z"/>
        <d v="2024-12-12T00:00:00Z"/>
        <d v="2025-01-02T00:00:00Z"/>
        <d v="2025-01-10T00:00:00Z"/>
        <d v="2025-03-07T00:00:00Z"/>
        <d v="2025-01-21T00:00:00Z"/>
        <d v="2025-01-24T00:00:00Z"/>
        <d v="2025-01-26T00:00:00Z"/>
        <d v="2025-01-28T00:00:00Z"/>
        <d v="2025-01-30T00:00:00Z"/>
        <d v="2025-01-29T00:00:00Z"/>
        <d v="2025-02-05T00:00:00Z"/>
        <d v="2025-01-31T00:00:00Z"/>
        <d v="2025-02-03T00:00:00Z"/>
        <d v="2025-02-06T00:00:00Z"/>
        <d v="2025-02-13T00:00:00Z"/>
        <d v="2025-02-12T00:00:00Z"/>
        <d v="2025-02-14T00:00:00Z"/>
        <d v="2025-02-15T00:00:00Z"/>
        <d v="2025-02-16T00:00:00Z"/>
        <d v="2025-02-20T00:00:00Z"/>
        <d v="2025-02-19T00:00:00Z"/>
        <d v="2025-02-21T00:00:00Z"/>
        <d v="2025-02-23T00:00:00Z"/>
        <d v="2025-02-27T00:00:00Z"/>
        <d v="2025-02-24T00:00:00Z"/>
        <d v="2025-03-01T00:00:00Z"/>
        <d v="2025-02-25T00:00:00Z"/>
        <d v="2025-03-12T00:00:00Z"/>
        <d v="2025-03-02T00:00:00Z"/>
        <d v="2025-02-28T00:00:00Z"/>
        <d v="2025-03-05T00:00:00Z"/>
        <d v="2025-03-08T00:00:00Z"/>
        <d v="2025-04-16T00:00:00Z"/>
        <d v="2025-03-09T00:00:00Z"/>
        <d v="2025-03-10T00:00:00Z"/>
        <d v="2025-03-11T00:00:00Z"/>
        <d v="2025-03-14T00:00:00Z"/>
        <d v="2025-04-22T00:00:00Z"/>
        <d v="2025-03-16T00:00:00Z"/>
        <d v="2025-03-17T00:00:00Z"/>
        <d v="2025-03-13T00:00:00Z"/>
        <d v="2025-03-18T00:00:00Z"/>
        <d v="2025-03-23T00:00:00Z"/>
        <d v="2025-03-24T00:00:00Z"/>
        <d v="2025-04-20T00:00:00Z"/>
        <d v="2025-03-26T00:00:00Z"/>
        <d v="2025-03-19T00:00:00Z"/>
        <d v="2025-03-20T00:00:00Z"/>
        <d v="2025-04-01T00:00:00Z"/>
        <d v="2025-03-27T00:00:00Z"/>
        <d v="2025-03-30T00:00:00Z"/>
        <d v="2025-04-02T00:00:00Z"/>
        <d v="2025-04-04T00:00:00Z"/>
        <d v="2025-04-03T00:00:00Z"/>
        <d v="2025-04-10T00:00:00Z"/>
        <d v="2025-04-11T00:00:00Z"/>
        <d v="2025-04-14T00:00:00Z"/>
        <d v="2025-05-08T00:00:00Z"/>
        <d v="2025-04-13T00:00:00Z"/>
        <d v="2025-04-15T00:00:00Z"/>
        <d v="2025-04-17T00:00:00Z"/>
        <d v="2025-04-18T00:00:00Z"/>
        <d v="2025-04-19T00:00:00Z"/>
        <d v="2025-05-26T00:00:00Z"/>
        <d v="2025-04-23T00:00:00Z"/>
        <d v="2025-04-24T00:00:00Z"/>
        <d v="2025-04-26T00:00:00Z"/>
        <d v="2025-04-27T00:00:00Z"/>
        <d v="2025-04-28T00:00:00Z"/>
        <d v="2025-04-29T00:00:00Z"/>
        <d v="2025-05-04T00:00:00Z"/>
        <d v="2025-04-30T00:00:00Z"/>
        <d v="2025-05-01T00:00:00Z"/>
        <d v="2025-05-06T00:00:00Z"/>
        <d v="2025-05-07T00:00:00Z"/>
        <d v="2025-05-03T00:00:00Z"/>
        <d v="2025-05-05T00:00:00Z"/>
        <d v="2025-06-29T00:00:00Z"/>
        <d v="2025-06-30T00:00:00Z"/>
        <d v="2025-05-14T00:00:00Z"/>
        <d v="2025-05-09T00:00:00Z"/>
        <d v="2025-05-13T00:00:00Z"/>
        <d v="2025-07-03T00:00:00Z"/>
        <d v="2025-05-17T00:00:00Z"/>
        <d v="2025-05-15T00:00:00Z"/>
        <d v="2025-05-16T00:00:00Z"/>
        <d v="2025-05-21T00:00:00Z"/>
        <d v="2025-05-22T00:00:00Z"/>
        <d v="2025-05-24T00:00:00Z"/>
        <d v="2025-07-07T00:00:00Z"/>
        <d v="2025-07-15T00:00:00Z"/>
        <d v="2025-06-01T00:00:00Z"/>
        <d v="2025-06-02T00:00:00Z"/>
        <d v="2025-05-28T00:00:00Z"/>
        <d v="2025-05-30T00:00:00Z"/>
        <d v="2025-06-05T00:00:00Z"/>
        <d v="2025-06-08T00:00:00Z"/>
        <d v="2025-06-12T00:00:00Z"/>
        <d v="2024-12-04T00:00:00Z"/>
        <d v="2025-06-13T00:00:00Z"/>
        <d v="2025-06-24T00:00:00Z"/>
        <d v="2025-06-17T00:00:00Z"/>
        <d v="2025-06-19T00:00:00Z"/>
        <d v="2025-06-20T00:00:00Z"/>
        <d v="2025-06-22T00:00:00Z"/>
        <d v="2025-06-25T00:00:00Z"/>
        <d v="2025-05-27T00:00:00Z"/>
        <d v="2025-06-07T00:00:00Z"/>
        <d v="2025-06-27T00:00:00Z"/>
        <d v="2025-07-02T00:00:00Z"/>
        <d v="2025-07-01T00:00:00Z"/>
        <d v="2025-07-24T00:00:00Z"/>
        <d v="2025-02-26T00:00:00Z"/>
        <d v="2025-01-11T00:00:00Z"/>
        <d v="2025-06-21T00:00:00Z"/>
        <d v="2025-07-19T00:00:00Z"/>
        <d v="2025-06-04T00:00:00Z"/>
        <d v="2025-07-08T00:00:00Z"/>
        <d v="2025-07-05T00:00:00Z"/>
        <d v="2025-07-06T00:00:00Z"/>
        <d v="2025-07-10T00:00:00Z"/>
        <d v="2025-07-04T00:00:00Z"/>
        <d v="2025-07-09T00:00:00Z"/>
        <d v="2025-07-14T00:00:00Z"/>
        <d v="2025-07-11T00:00:00Z"/>
        <d v="2025-07-13T00:00:00Z"/>
        <d v="2025-07-17T00:00:00Z"/>
        <d v="2025-07-23T00:00:00Z"/>
        <d v="2025-07-18T00:00:00Z"/>
        <d v="2025-07-20T00:00:00Z"/>
        <d v="2025-07-22T00:00:00Z"/>
        <d v="2025-07-25T00:00:00Z"/>
        <d v="2025-08-03T00:00:00Z"/>
        <s v=" "/>
        <d v="2025-07-26T00:00:00Z"/>
        <d v="2025-07-27T00:00:00Z"/>
        <d v="2025-07-28T00:00:00Z"/>
        <d v="2025-07-29T00:00:00Z"/>
        <d v="2025-06-26T00:00:00Z"/>
        <d v="2025-07-30T00:00:00Z"/>
        <d v="2025-07-31T00:00:00Z"/>
        <d v="2025-08-04T00:00:00Z"/>
        <d v="2025-08-05T00:00:00Z"/>
        <d v="2025-08-10T00:00:00Z"/>
        <d v="2025-08-14T00:00:00Z"/>
        <d v="2025-08-18T00:00:00Z"/>
        <d v="2025-08-19T00:00:00Z"/>
        <d v="2025-08-20T00:00:00Z"/>
        <d v="2025-08-25T00:00:00Z"/>
        <d v="2025-09-01T00:00:00Z"/>
        <d v="2025-09-02T00:00:00Z"/>
        <d v="2025-09-14T00:00:00Z"/>
        <d v="2025-09-28T00:00:00Z"/>
        <d v="2025-10-10T00:00:00Z"/>
      </sharedItems>
    </cacheField>
    <cacheField name="Date Début">
      <sharedItems containsDate="1" containsBlank="1" containsMixedTypes="1">
        <m/>
        <d v="2024-03-19T00:00:00Z"/>
        <d v="2024-05-14T00:00:00Z"/>
        <d v="2024-05-25T00:00:00Z"/>
        <d v="2024-05-27T00:00:00Z"/>
        <d v="2024-06-10T00:00:00Z"/>
        <d v="2024-06-18T00:00:00Z"/>
        <d v="2024-06-19T00:00:00Z"/>
        <d v="2024-06-16T00:00:00Z"/>
        <d v="2024-06-24T00:00:00Z"/>
        <d v="2024-07-06T00:00:00Z"/>
        <d v="2024-06-17T00:00:00Z"/>
        <d v="2024-07-01T00:00:00Z"/>
        <d v="2024-07-10T00:00:00Z"/>
        <d v="2024-06-25T00:00:00Z"/>
        <d v="2024-07-19T00:00:00Z"/>
        <d v="2024-08-18T00:00:00Z"/>
        <d v="2024-09-02T00:00:00Z"/>
        <d v="2024-09-16T00:00:00Z"/>
        <d v="2024-10-20T00:00:00Z"/>
        <d v="2025-05-01T00:00:00Z"/>
        <d v="2024-11-01T00:00:00Z"/>
        <d v="2024-11-13T00:00:00Z"/>
        <d v="2024-11-10T00:00:00Z"/>
        <d v="2024-12-10T00:00:00Z"/>
        <d v="2025-01-31T00:00:00Z"/>
        <d v="2025-02-03T00:00:00Z"/>
        <d v="2025-02-13T00:00:00Z"/>
        <d v="2025-01-23T00:00:00Z"/>
        <d v="2025-03-01T00:00:00Z"/>
        <d v="2025-02-28T00:00:00Z"/>
        <d v="2025-02-15T00:00:00Z"/>
        <d v="2025-05-21T00:00:00Z"/>
        <d v="2025-06-05T00:00:00Z"/>
        <d v="2025-07-16T00:00:00Z"/>
        <d v="2025-06-22T00:00:00Z"/>
        <d v="2025-07-01T00:00:00Z"/>
        <s v=" "/>
        <d v="2025-01-09T00:00:00Z"/>
        <d v="2024-09-13T00:00:00Z"/>
        <d v="2024-10-16T00:00:00Z"/>
        <d v="2024-11-18T00:00:00Z"/>
        <d v="2024-01-11T00:00:00Z"/>
        <d v="2024-12-06T00:00:00Z"/>
        <d v="2025-02-27T00:00:00Z"/>
        <d v="2025-04-08T00:00:00Z"/>
        <d v="2025-01-27T00:00:00Z"/>
        <d v="2024-11-11T00:00:00Z"/>
        <d v="2024-11-28T00:00:00Z"/>
        <d v="2024-12-21T00:00:00Z"/>
        <d v="2025-01-13T00:00:00Z"/>
        <d v="2025-02-11T00:00:00Z"/>
        <d v="2025-03-06T00:00:00Z"/>
        <d v="2024-04-01T00:00:00Z"/>
        <d v="2024-04-08T00:00:00Z"/>
        <d v="2024-02-29T00:00:00Z"/>
        <d v="2024-04-18T00:00:00Z"/>
        <d v="2024-06-07T00:00:00Z"/>
        <d v="2024-03-21T00:00:00Z"/>
        <d v="2024-06-20T00:00:00Z"/>
        <d v="2024-07-08T00:00:00Z"/>
        <d v="2024-07-29T00:00:00Z"/>
        <d v="2024-09-01T00:00:00Z"/>
        <d v="2024-09-12T00:00:00Z"/>
        <d v="2024-09-23T00:00:00Z"/>
        <d v="2024-09-28T00:00:00Z"/>
        <d v="2024-09-30T00:00:00Z"/>
        <d v="2024-10-01T00:00:00Z"/>
        <d v="2024-10-12T00:00:00Z"/>
        <d v="2024-11-06T00:00:00Z"/>
        <d v="2024-12-04T00:00:00Z"/>
        <d v="2025-01-16T00:00:00Z"/>
        <d v="2025-01-20T00:00:00Z"/>
        <d v="2024-04-15T00:00:00Z"/>
        <d v="2024-03-26T00:00:00Z"/>
        <d v="2024-04-20T00:00:00Z"/>
        <d v="2024-08-26T00:00:00Z"/>
        <d v="2024-02-28T00:00:00Z"/>
        <d v="2024-04-05T00:00:00Z"/>
        <d v="2024-09-26T00:00:00Z"/>
        <d v="2024-03-01T00:00:00Z"/>
        <d v="2024-10-24T00:00:00Z"/>
        <d v="2024-08-29T00:00:00Z"/>
        <d v="2024-11-15T00:00:00Z"/>
        <d v="2025-02-25T00:00:00Z"/>
        <d v="2024-09-25T00:00:00Z"/>
        <d v="2024-08-06T00:00:00Z"/>
        <d v="2024-08-09T00:00:00Z"/>
        <d v="2024-12-12T00:00:00Z"/>
        <d v="2025-03-25T00:00:00Z"/>
        <d v="2024-07-27T00:00:00Z"/>
        <d v="2024-04-13T00:00:00Z"/>
        <d v="2023-03-23T00:00:00Z"/>
        <d v="2024-08-16T00:00:00Z"/>
        <d v="2024-11-04T00:00:00Z"/>
        <d v="2024-10-29T00:00:00Z"/>
        <d v="2024-01-06T00:00:00Z"/>
        <d v="2025-01-24T00:00:00Z"/>
        <d v="2025-01-29T00:00:00Z"/>
        <d v="2025-02-05T00:00:00Z"/>
        <d v="2024-03-20T00:00:00Z"/>
        <d v="2024-09-14T00:00:00Z"/>
        <d v="2024-10-10T00:00:00Z"/>
        <d v="2024-10-02T00:00:00Z"/>
        <d v="2024-06-14T00:00:00Z"/>
        <d v="2025-01-28T00:00:00Z"/>
        <d v="2024-06-01T00:00:00Z"/>
        <d v="2024-06-11T00:00:00Z"/>
        <d v="2024-12-03T00:00:00Z"/>
        <d v="2024-04-04T00:00:00Z"/>
        <d v="2024-06-27T00:00:00Z"/>
        <d v="2024-07-18T00:00:00Z"/>
        <d v="2024-10-28T00:00:00Z"/>
        <n v="-619148.0"/>
        <d v="2024-10-30T00:00:00Z"/>
        <d v="2024-12-11T00:00:00Z"/>
        <d v="2024-12-02T00:00:00Z"/>
        <d v="2025-01-25T00:00:00Z"/>
        <d v="2024-06-08T00:00:00Z"/>
        <d v="2024-10-25T00:00:00Z"/>
        <d v="2024-03-22T00:00:00Z"/>
        <d v="2024-07-26T00:00:00Z"/>
        <d v="2024-11-08T00:00:00Z"/>
        <d v="2025-09-08T00:00:00Z"/>
        <d v="2025-03-26T00:00:00Z"/>
        <d v="2025-08-10T00:00:00Z"/>
      </sharedItems>
    </cacheField>
    <cacheField name="Date Fin">
      <sharedItems containsDate="1" containsBlank="1" containsMixedTypes="1">
        <d v="2024-03-08T00:00:00Z"/>
        <d v="2024-03-19T00:00:00Z"/>
        <m/>
        <d v="2024-04-06T00:00:00Z"/>
        <d v="2024-04-09T00:00:00Z"/>
        <d v="2024-04-19T00:00:00Z"/>
        <d v="2024-04-22T00:00:00Z"/>
        <d v="2024-04-18T00:00:00Z"/>
        <d v="2024-04-26T00:00:00Z"/>
        <d v="2024-05-02T00:00:00Z"/>
        <d v="2024-05-01T00:00:00Z"/>
        <d v="2024-05-04T00:00:00Z"/>
        <d v="2024-05-08T00:00:00Z"/>
        <d v="2024-05-07T00:00:00Z"/>
        <d v="2024-05-10T00:00:00Z"/>
        <d v="2024-05-13T00:00:00Z"/>
        <d v="2024-05-18T00:00:00Z"/>
        <d v="2024-05-14T00:00:00Z"/>
        <d v="2024-05-17T00:00:00Z"/>
        <d v="2024-05-23T00:00:00Z"/>
        <d v="2024-05-27T00:00:00Z"/>
        <d v="2024-05-29T00:00:00Z"/>
        <d v="2024-05-30T00:00:00Z"/>
        <d v="2024-05-31T00:00:00Z"/>
        <d v="2024-06-16T00:00:00Z"/>
        <d v="2024-06-17T00:00:00Z"/>
        <d v="2024-06-20T00:00:00Z"/>
        <d v="2024-06-22T00:00:00Z"/>
        <d v="2024-06-19T00:00:00Z"/>
        <d v="2024-06-23T00:00:00Z"/>
        <d v="2024-06-25T00:00:00Z"/>
        <d v="2024-06-24T00:00:00Z"/>
        <d v="2024-06-29T00:00:00Z"/>
        <d v="2024-07-06T00:00:00Z"/>
        <d v="2024-06-28T00:00:00Z"/>
        <d v="2024-07-01T00:00:00Z"/>
        <d v="2024-06-26T00:00:00Z"/>
        <d v="2024-06-30T00:00:00Z"/>
        <d v="2024-07-10T00:00:00Z"/>
        <d v="2024-07-07T00:00:00Z"/>
        <d v="2024-07-14T00:00:00Z"/>
        <d v="2024-07-12T00:00:00Z"/>
        <d v="2024-07-23T00:00:00Z"/>
        <d v="2024-07-24T00:00:00Z"/>
        <d v="2024-07-22T00:00:00Z"/>
        <d v="2024-07-21T00:00:00Z"/>
        <d v="2024-07-25T00:00:00Z"/>
        <d v="2024-09-06T00:00:00Z"/>
        <d v="2024-07-26T00:00:00Z"/>
        <d v="2024-08-01T00:00:00Z"/>
        <d v="2024-09-08T00:00:00Z"/>
        <d v="2024-08-06T00:00:00Z"/>
        <d v="2024-08-03T00:00:00Z"/>
        <d v="2024-08-02T00:00:00Z"/>
        <d v="2024-07-20T00:00:00Z"/>
        <d v="2024-07-30T00:00:00Z"/>
        <d v="2024-08-09T00:00:00Z"/>
        <d v="2024-08-16T00:00:00Z"/>
        <d v="2024-08-08T00:00:00Z"/>
        <d v="2024-08-15T00:00:00Z"/>
        <d v="2024-09-07T00:00:00Z"/>
        <d v="2024-08-22T00:00:00Z"/>
        <d v="2024-08-25T00:00:00Z"/>
        <d v="2024-08-18T00:00:00Z"/>
        <d v="2024-08-21T00:00:00Z"/>
        <d v="2024-08-20T00:00:00Z"/>
        <d v="2024-08-23T00:00:00Z"/>
        <d v="2024-09-02T00:00:00Z"/>
        <d v="2024-08-28T00:00:00Z"/>
        <d v="2024-08-24T00:00:00Z"/>
        <d v="2024-08-30T00:00:00Z"/>
        <d v="2024-09-13T00:00:00Z"/>
        <d v="2024-09-18T00:00:00Z"/>
        <d v="2024-09-19T00:00:00Z"/>
        <d v="2024-09-09T00:00:00Z"/>
        <d v="2024-10-02T00:00:00Z"/>
        <d v="2024-10-11T00:00:00Z"/>
        <d v="2024-09-23T00:00:00Z"/>
        <d v="2024-09-21T00:00:00Z"/>
        <d v="2024-10-06T00:00:00Z"/>
        <d v="2024-09-20T00:00:00Z"/>
        <d v="2024-08-10T00:00:00Z"/>
        <d v="2024-09-25T00:00:00Z"/>
        <d v="2025-06-15T00:00:00Z"/>
        <d v="2024-09-30T00:00:00Z"/>
        <d v="2024-09-26T00:00:00Z"/>
        <d v="2024-10-03T00:00:00Z"/>
        <d v="2024-11-02T00:00:00Z"/>
        <d v="2024-11-15T00:00:00Z"/>
        <d v="2024-11-01T00:00:00Z"/>
        <d v="2024-11-08T00:00:00Z"/>
        <d v="2024-10-27T00:00:00Z"/>
        <d v="2024-10-26T00:00:00Z"/>
        <d v="2024-10-28T00:00:00Z"/>
        <d v="2025-06-14T00:00:00Z"/>
        <d v="2024-11-05T00:00:00Z"/>
        <d v="2024-11-16T00:00:00Z"/>
        <d v="2024-11-10T00:00:00Z"/>
        <d v="2024-11-12T00:00:00Z"/>
        <d v="2024-11-11T00:00:00Z"/>
        <d v="2025-06-17T00:00:00Z"/>
        <d v="2024-10-22T00:00:00Z"/>
        <d v="2024-11-07T00:00:00Z"/>
        <d v="2025-02-10T00:00:00Z"/>
        <d v="2024-11-09T00:00:00Z"/>
        <d v="2024-11-29T00:00:00Z"/>
        <d v="2024-12-03T00:00:00Z"/>
        <d v="2024-11-19T00:00:00Z"/>
        <d v="2024-11-30T00:00:00Z"/>
        <d v="2024-11-20T00:00:00Z"/>
        <d v="2024-11-27T00:00:00Z"/>
        <d v="2024-11-22T00:00:00Z"/>
        <d v="2024-11-26T00:00:00Z"/>
        <d v="2024-12-02T00:00:00Z"/>
        <d v="2024-12-09T00:00:00Z"/>
        <d v="2024-11-28T00:00:00Z"/>
        <d v="2024-12-15T00:00:00Z"/>
        <d v="2024-12-17T00:00:00Z"/>
        <d v="2024-12-01T00:00:00Z"/>
        <d v="2024-12-10T00:00:00Z"/>
        <d v="2025-03-05T00:00:00Z"/>
        <d v="2024-12-25T00:00:00Z"/>
        <d v="2024-12-19T00:00:00Z"/>
        <d v="2024-12-29T00:00:00Z"/>
        <d v="2025-01-03T00:00:00Z"/>
        <d v="2025-01-09T00:00:00Z"/>
        <d v="2025-01-10T00:00:00Z"/>
        <d v="2025-01-23T00:00:00Z"/>
        <d v="2025-01-24T00:00:00Z"/>
        <d v="2025-01-25T00:00:00Z"/>
        <d v="2025-01-05T00:00:00Z"/>
        <d v="2025-01-20T00:00:00Z"/>
        <d v="2025-01-13T00:00:00Z"/>
        <d v="2025-03-10T00:00:00Z"/>
        <d v="2025-01-29T00:00:00Z"/>
        <d v="2025-01-15T00:00:00Z"/>
        <d v="2025-01-30T00:00:00Z"/>
        <d v="2025-01-22T00:00:00Z"/>
        <d v="2025-02-07T00:00:00Z"/>
        <d v="2025-02-19T00:00:00Z"/>
        <d v="2025-01-31T00:00:00Z"/>
        <d v="2025-02-04T00:00:00Z"/>
        <d v="2025-02-05T00:00:00Z"/>
        <d v="2025-02-14T00:00:00Z"/>
        <d v="2025-02-08T00:00:00Z"/>
        <d v="2025-02-16T00:00:00Z"/>
        <d v="2025-02-20T00:00:00Z"/>
        <d v="2025-02-21T00:00:00Z"/>
        <d v="2025-02-26T00:00:00Z"/>
        <d v="2025-02-27T00:00:00Z"/>
        <d v="2025-02-22T00:00:00Z"/>
        <d v="2025-02-25T00:00:00Z"/>
        <d v="2025-02-13T00:00:00Z"/>
        <d v="2025-03-31T00:00:00Z"/>
        <d v="2025-03-04T00:00:00Z"/>
        <d v="2025-03-15T00:00:00Z"/>
        <d v="2025-03-12T00:00:00Z"/>
        <d v="2025-04-21T00:00:00Z"/>
        <d v="2025-03-13T00:00:00Z"/>
        <d v="2025-03-16T00:00:00Z"/>
        <d v="2025-03-18T00:00:00Z"/>
        <d v="2025-03-22T00:00:00Z"/>
        <d v="2025-04-23T00:00:00Z"/>
        <d v="2025-03-29T00:00:00Z"/>
        <d v="2025-03-24T00:00:00Z"/>
        <d v="2025-03-14T00:00:00Z"/>
        <d v="2025-03-19T00:00:00Z"/>
        <d v="2025-03-30T00:00:00Z"/>
        <d v="2025-04-26T00:00:00Z"/>
        <d v="2025-03-21T00:00:00Z"/>
        <d v="2025-05-24T00:00:00Z"/>
        <d v="2025-04-01T00:00:00Z"/>
        <d v="2025-04-04T00:00:00Z"/>
        <d v="2025-03-28T00:00:00Z"/>
        <d v="2025-04-06T00:00:00Z"/>
        <d v="2025-04-07T00:00:00Z"/>
        <d v="2025-02-28T00:00:00Z"/>
        <d v="2025-01-14T00:00:00Z"/>
        <d v="2025-04-10T00:00:00Z"/>
        <d v="2025-03-26T00:00:00Z"/>
        <d v="2025-04-09T00:00:00Z"/>
        <d v="2025-04-12T00:00:00Z"/>
        <d v="2025-04-16T00:00:00Z"/>
        <d v="2025-04-19T00:00:00Z"/>
        <d v="2025-05-09T00:00:00Z"/>
        <d v="2025-04-18T00:00:00Z"/>
        <d v="2025-04-25T00:00:00Z"/>
        <d v="2025-04-24T00:00:00Z"/>
        <d v="2025-04-27T00:00:00Z"/>
        <d v="2025-05-19T00:00:00Z"/>
        <d v="2025-05-30T00:00:00Z"/>
        <d v="2025-04-29T00:00:00Z"/>
        <d v="2025-05-01T00:00:00Z"/>
        <d v="2025-04-30T00:00:00Z"/>
        <d v="2025-05-31T00:00:00Z"/>
        <s v="31/04/2025"/>
        <d v="2025-03-06T00:00:00Z"/>
        <d v="2025-05-04T00:00:00Z"/>
        <d v="2025-05-05T00:00:00Z"/>
        <d v="2025-05-02T00:00:00Z"/>
        <d v="2025-05-14T00:00:00Z"/>
        <d v="2025-05-23T00:00:00Z"/>
        <d v="2025-05-08T00:00:00Z"/>
        <d v="2025-05-21T00:00:00Z"/>
        <d v="2025-05-10T00:00:00Z"/>
        <d v="2025-05-16T00:00:00Z"/>
        <d v="2025-05-25T00:00:00Z"/>
        <d v="2025-06-22T00:00:00Z"/>
        <d v="2025-06-30T00:00:00Z"/>
        <d v="2025-05-20T00:00:00Z"/>
        <d v="2025-05-15T00:00:00Z"/>
        <d v="2025-05-17T00:00:00Z"/>
        <d v="2025-07-08T00:00:00Z"/>
        <d v="2025-05-29T00:00:00Z"/>
        <d v="2025-05-22T00:00:00Z"/>
        <d v="2025-07-13T00:00:00Z"/>
        <d v="2025-07-16T00:00:00Z"/>
        <d v="2025-01-17T00:00:00Z"/>
        <d v="2025-06-10T00:00:00Z"/>
        <d v="2025-06-04T00:00:00Z"/>
        <d v="2025-06-05T00:00:00Z"/>
        <d v="2025-02-11T00:00:00Z"/>
        <d v="2025-06-11T00:00:00Z"/>
        <d v="2025-06-13T00:00:00Z"/>
        <d v="2025-04-22T00:00:00Z"/>
        <d v="2025-06-25T00:00:00Z"/>
        <d v="2025-06-18T00:00:00Z"/>
        <d v="2025-06-26T00:00:00Z"/>
        <d v="2025-06-24T00:00:00Z"/>
        <d v="2025-06-29T00:00:00Z"/>
        <d v="2025-07-03T00:00:00Z"/>
        <d v="2025-06-20T00:00:00Z"/>
        <d v="2025-06-28T00:00:00Z"/>
        <d v="2025-07-26T00:00:00Z"/>
        <s v="31/06/2025"/>
        <d v="2025-07-07T00:00:00Z"/>
        <d v="2025-07-18T00:00:00Z"/>
        <d v="2025-06-27T00:00:00Z"/>
        <d v="2025-07-11T00:00:00Z"/>
        <d v="2025-07-04T00:00:00Z"/>
        <d v="2025-07-17T00:00:00Z"/>
        <d v="2025-07-05T00:00:00Z"/>
        <d v="2024-07-13T00:00:00Z"/>
        <d v="2025-07-10T00:00:00Z"/>
        <d v="2025-07-14T00:00:00Z"/>
        <d v="2025-07-19T00:00:00Z"/>
        <d v="2025-07-20T00:00:00Z"/>
        <d v="2025-07-22T00:00:00Z"/>
        <d v="2025-07-27T00:00:00Z"/>
        <d v="2025-07-23T00:00:00Z"/>
        <d v="2025-07-25T00:00:00Z"/>
        <d v="2025-08-15T00:00:00Z"/>
        <d v="2025-07-31T00:00:00Z"/>
        <d v="2025-07-28T00:00:00Z"/>
        <d v="2025-07-29T00:00:00Z"/>
        <d v="2025-08-10T00:00:00Z"/>
        <d v="2025-06-21T00:00:00Z"/>
        <d v="2025-01-28T00:00:00Z"/>
        <d v="2025-06-19T00:00:00Z"/>
        <d v="2024-10-04T00:00:00Z"/>
        <d v="2024-11-25T00:00:00Z"/>
        <d v="2025-08-07T00:00:00Z"/>
        <d v="2025-06-09T00:00:00Z"/>
        <d v="2024-10-10T00:00:00Z"/>
        <d v="2024-10-25T00:00:00Z"/>
        <d v="2024-10-30T00:00:00Z"/>
        <d v="2024-12-24T00:00:00Z"/>
        <d v="2024-07-08T00:00:00Z"/>
        <d v="2025-03-20T00:00:00Z"/>
        <d v="2025-04-28T00:00:00Z"/>
        <d v="2024-09-22T00:00:00Z"/>
        <d v="2024-12-22T00:00:00Z"/>
        <d v="2025-01-11T00:00:00Z"/>
        <d v="2025-03-17T00:00:00Z"/>
        <d v="2024-05-09T00:00:00Z"/>
        <d v="2024-12-28T00:00:00Z"/>
        <d v="2025-01-04T00:00:00Z"/>
        <d v="2024-04-14T00:00:00Z"/>
        <d v="2024-04-29T00:00:00Z"/>
        <d v="2024-05-11T00:00:00Z"/>
        <d v="2024-05-28T00:00:00Z"/>
        <d v="2024-06-02T00:00:00Z"/>
        <d v="2024-06-05T00:00:00Z"/>
        <d v="2024-06-07T00:00:00Z"/>
        <d v="2024-06-21T00:00:00Z"/>
        <d v="2024-07-03T00:00:00Z"/>
        <d v="2024-07-15T00:00:00Z"/>
        <d v="2024-07-28T00:00:00Z"/>
        <d v="2024-09-16T00:00:00Z"/>
        <d v="2024-09-27T00:00:00Z"/>
        <d v="2024-10-07T00:00:00Z"/>
        <d v="2024-10-20T00:00:00Z"/>
        <d v="2024-10-21T00:00:00Z"/>
        <d v="2025-02-06T00:00:00Z"/>
        <d v="2025-02-17T00:00:00Z"/>
        <d v="2025-02-23T00:00:00Z"/>
        <d v="2024-03-01T00:00:00Z"/>
        <d v="2024-12-12T00:00:00Z"/>
        <d v="2024-04-07T00:00:00Z"/>
        <d v="2024-04-11T00:00:00Z"/>
        <d v="2024-04-21T00:00:00Z"/>
        <d v="2024-05-19T00:00:00Z"/>
        <d v="2024-05-20T00:00:00Z"/>
        <d v="2024-08-11T00:00:00Z"/>
        <d v="2024-10-15T00:00:00Z"/>
        <d v="2025-02-15T00:00:00Z"/>
        <d v="2025-03-08T00:00:00Z"/>
        <d v="2024-07-16T00:00:00Z"/>
        <d v="2024-09-15T00:00:00Z"/>
        <d v="2024-10-17T00:00:00Z"/>
        <d v="2024-12-16T00:00:00Z"/>
        <d v="2024-11-14T00:00:00Z"/>
        <d v="2024-10-05T00:00:00Z"/>
        <d v="2025-03-11T00:00:00Z"/>
        <d v="2024-08-07T00:00:00Z"/>
        <d v="2024-08-26T00:00:00Z"/>
        <d v="2024-04-28T00:00:00Z"/>
        <d v="2024-05-03T00:00:00Z"/>
        <d v="2024-05-25T00:00:00Z"/>
        <d v="2025-01-02T00:00:00Z"/>
        <d v="2024-08-12T00:00:00Z"/>
        <d v="2024-04-30T00:00:00Z"/>
        <d v="2024-05-12T00:00:00Z"/>
        <d v="2024-04-10T00:00:00Z"/>
        <d v="2024-11-24T00:00:00Z"/>
        <n v="-619359.0"/>
        <d v="2024-04-15T00:00:00Z"/>
        <d v="2024-08-04T00:00:00Z"/>
        <d v="2024-09-03T00:00:00Z"/>
        <d v="2024-10-16T00:00:00Z"/>
        <d v="2024-12-13T00:00:00Z"/>
        <d v="2025-01-06T00:00:00Z"/>
        <d v="2025-02-24T00:00:00Z"/>
        <d v="2024-12-21T00:00:00Z"/>
        <d v="2024-06-27T00:00:00Z"/>
        <d v="2024-09-01T00:00:00Z"/>
        <d v="2024-10-31T00:00:00Z"/>
        <d v="2024-11-23T00:00:00Z"/>
        <d v="2024-02-15T00:00:00Z"/>
        <d v="2024-05-15T00:00:00Z"/>
        <d v="2024-06-14T00:00:00Z"/>
        <d v="2024-07-27T00:00:00Z"/>
        <d v="2024-09-14T00:00:00Z"/>
        <d v="2024-09-17T00:00:00Z"/>
        <d v="2024-10-08T00:00:00Z"/>
        <d v="2024-06-08T00:00:00Z"/>
        <d v="2024-06-11T00:00:00Z"/>
        <d v="2024-12-20T00:00:00Z"/>
        <d v="2023-02-01T00:00:00Z"/>
        <d v="2024-02-01T00:00:00Z"/>
        <d v="2024-03-28T00:00:00Z"/>
        <d v="2024-03-31T00:00:00Z"/>
        <d v="2024-08-29T00:00:00Z"/>
        <d v="2024-11-03T00:00:00Z"/>
        <d v="2024-12-06T00:00:00Z"/>
        <d v="2024-12-23T00:00:00Z"/>
        <d v="2024-07-11T00:00:00Z"/>
        <d v="2024-08-19T00:00:00Z"/>
        <d v="2025-03-27T00:00:00Z"/>
        <d v="2025-09-15T00:00:00Z"/>
        <d v="2025-08-03T00:00:00Z"/>
        <d v="2025-05-18T00:00:00Z"/>
        <d v="2025-08-14T00:00:00Z"/>
        <d v="2025-08-08T00:00:00Z"/>
        <d v="2025-08-24T00:00:00Z"/>
        <d v="2025-08-13T00:00:00Z"/>
        <d v="2025-09-03T00:00:00Z"/>
        <d v="2025-08-21T00:00:00Z"/>
        <d v="2025-09-06T00:00:00Z"/>
        <d v="2025-09-01T00:00:00Z"/>
        <d v="2025-09-08T00:00:00Z"/>
        <d v="2025-09-19T00:00:00Z"/>
        <d v="2025-09-09T00:00:00Z"/>
        <d v="2025-10-03T00:00:00Z"/>
        <d v="2025-10-15T00:00:00Z"/>
      </sharedItems>
    </cacheField>
    <cacheField name="Status" numFmtId="0">
      <sharedItems containsBlank="1">
        <s v="Fait"/>
        <s v="Facture à envoyer"/>
        <s v="Script Revision Marque"/>
        <s v="Video Validée Marque"/>
        <s v="Video Revision Marque"/>
        <m/>
        <s v="Colis Reçu?"/>
        <s v="Script Validée Marque"/>
      </sharedItems>
    </cacheField>
    <cacheField name="Commentaire" numFmtId="0">
      <sharedItems containsBlank="1">
        <m/>
        <s v="ne pas mentionner d'autres marques 7 jours avant et après @ "/>
        <s v="resultat concours"/>
        <s v="en attente validation marque"/>
        <s v="VALIDÉ"/>
        <s v="Preview Validée"/>
        <s v="⚠️⚠️ demander à Inès code promo vs lien (car code différent)"/>
        <s v="à envoyer à la marque"/>
        <s v="en attente validation"/>
        <s v="envoyer facture"/>
        <s v="en attente info facturation"/>
        <s v="Ne pas envoyer facture au client mais faire une factureEn $$ une fois reception et convertion"/>
        <s v="brief partagé"/>
        <s v="ne pas poster 24h après ⚠️ verifier date (colis reçu le 23/05 = 3S)"/>
        <s v="en attente affiliate code"/>
        <s v="video"/>
        <s v="pas d'autres collabs 3 jours avant et après"/>
        <s v="commande passée"/>
        <s v="⚠️"/>
        <s v="date post à confirmer"/>
        <s v="DESCRIPTION (changement à faire) =&gt; Nouveautés @Anastasia Beverly Hills : Beauty balm &amp; Blurring serum blush ✨ Available from xxxx at Sephora all shades online and limited assortment in store #AD #ABHBLUSH #BLUSHHACK #LIQUIDBLUSH #ABHBeautyBalm #Anastasia"/>
        <s v="DESCRIPTION (changement à faire) =&gt;Makeup After Beachhh with Beauty Balm and Blurring Serum Blush @ANASTASIABEVERLYHILLS available from xxxx at Sephora all shades online and limited assortment in store. (il faudra remplacer les xx par la date de sortie, j"/>
        <s v="brouillon"/>
        <s v="DESCRIPTION (changement à faire) =&gt;⚠️ Date sortie SEPHORA"/>
        <s v="envoyer video à jour que Lily a partagé le 13/08"/>
        <s v="SUN SERUM"/>
        <s v="Partager ad code // DESCRIPTION (changement à faire) =&gt; The perfect complexion for this summer is: Beauty Balm and Blurring Serum Blush by @ANASTASIABEVERLYHILLS vavailable from xxxx (à remplacer par la date quand nous l'aurons) at Sephora all shades onli"/>
        <s v="une fois le paiement paypal faire facture pour € exact"/>
        <s v="DESCRIPTION (changement à faire) =&gt;"/>
        <s v="ajouter avant après"/>
        <s v="attendre retour autres factures"/>
        <s v="pas poster +3/-3   // partager ad code"/>
        <s v="envoyer facture 09/09 avec médiatisation + contenu"/>
        <s v="pas possible de poster le 23"/>
        <s v="⚠️ Dates Mixa -3+3 pas de collabs // date à confirmer"/>
        <s v="à poster"/>
        <s v="médiatisation à confirmer +100€"/>
        <s v="recuperer lien tacké pour IGs"/>
        <s v="IG"/>
        <s v="à refaire (réhaussement de cils)"/>
        <s v="24h no post any // 3 weeks of use"/>
        <s v="faire valider le contenu"/>
        <s v="+code boost"/>
        <s v="pas de média"/>
        <s v="date à définir"/>
        <s v="PERSONALISATION"/>
        <s v="draft: 3 jours apres reception // 26/09/2024 au plus tard // pas de post 12h apres poster"/>
        <s v="modif sur caption"/>
        <s v="Woo Juicy Tubes"/>
        <s v="facture à envoyer mais attendre ad code JEANNE"/>
        <s v="attendre Code boost"/>
        <s v="Facture à faire"/>
        <s v="Tracking Link 72h BIO https://testsgz.app.link/4hqEOX8xbNb"/>
        <s v="modifier caption  / pas de post 24h"/>
        <s v="en attente colis"/>
        <s v="18h"/>
        <s v="(+ usage rights + TikTok spark ads + IG ad codes"/>
        <s v="Reception Colis"/>
        <s v="video+ description"/>
        <s v="activer la fonctionnalité &quot;collaboration commercial&quot;"/>
        <s v="j'ai envoyé une facture en € mais c'est en dollar"/>
        <s v="125 de media à confimer "/>
        <s v="date à confirmer (7jours apres réception colis"/>
        <s v="commande"/>
        <s v="30j Myriam K entre chaque mois"/>
        <s v="cross post IG TT"/>
        <s v="mediat"/>
        <s v="ajouter lien en bio"/>
        <s v="Cross post IG + story swipe"/>
        <s v="rajouter code + 23% par contre impossible de refaire video modifs"/>
        <s v="mais ajouter ingrédient"/>
        <s v="facture faite"/>
        <s v="boost"/>
        <s v="preview"/>
        <s v="attente reception colis"/>
        <s v="facture au 3/03 à faire et envoyer"/>
        <s v="voir pour ajouter Ad"/>
        <s v=" "/>
        <s v="TT + Médiat"/>
        <s v="script idée creat TT médiat : du 1er au 27 avril !"/>
        <s v="médiat de 100€ en plus validée?"/>
        <s v="IGS à partager      IGs+ TIKTOK"/>
        <s v="1 TT"/>
        <s v="Pendant le repas"/>
        <s v="IG Reel médiat 01/03 au 27/03"/>
        <s v="02/03=&gt; idée creative ///// 10/03/2025 brouillon"/>
        <s v="1 IG reel + 1 IGs (3sets) AD CODE⚠️"/>
        <s v="dont 250€ de mediat"/>
        <s v="contrat à faire"/>
        <s v="en attente retour de la marque pour feu vert post"/>
        <s v="poster et partager ad code avant 12h"/>
        <s v="TT"/>
        <s v="x3 videos "/>
        <s v="pas besoin de valider preview 2 stories (10/04 et 11/04)"/>
        <s v="link in bio"/>
        <s v="avec ad code"/>
        <s v="⚠️changement facture - se referer au mail"/>
        <s v="médiatisation"/>
        <s v="dont 250€ mediat"/>
        <s v="integration produit"/>
        <s v="IG reel"/>
        <s v="350€ au lieu de 195 pour la derniere"/>
        <s v="IGS  "/>
        <s v="23/04/2025 preview et 16/04 idée creative"/>
        <s v="script  et preview le 01/05/2025"/>
        <s v="script"/>
        <s v="TT IGreel SNAP"/>
        <s v="poster sur TT"/>
        <s v="81€ en option?"/>
        <s v=": https://amzn.to/3Eubtp1"/>
        <s v="Comme beaucoup de followers lui demandent comment faire partir les taches d’acné, elle pourrait créer une vidéo sous l’un de ces formats : « J’ai trouvé un appareil magique pour éliminer les taches d’acné ! » Je présente le produit en détail.Je montre com"/>
        <s v="avec 100e d'ad code inclu"/>
        <s v="vidéo ok descritpion a modifier"/>
        <s v="TT add code a recup"/>
        <s v="GR check dates"/>
        <s v="pas besoin de revision"/>
        <s v="verifier si Lily a posté et partager lien video"/>
        <s v="Video tournée avant Script // envoyer video quand meme"/>
        <s v="partager les captions modifier repost ig"/>
        <s v="Contenu attendu par la marque"/>
        <s v="IGs ANAIS20 20% valable sur ensemble produit du site"/>
        <s v="médiat"/>
        <s v="TT ANAIS20 20% valable sur ensemble produit du site"/>
        <s v="Script 18/06 TT"/>
        <s v="One INS reel + 30 days ad &amp; organic usage rights+ link in bio"/>
        <s v="idée creative"/>
        <s v="manque HD + Sous Titres"/>
        <s v="idée creative à partager"/>
        <s v="TT + Tiktok Shop (reassort le 12/06"/>
        <s v="Script 18/06 IG + Cross Post Reel + IGs"/>
        <s v="UGC"/>
        <s v="Beach Babe Hair Waver Campaign"/>
        <s v="partager les stats dès le 18 juillet ?"/>
        <s v="Tiktok/ pas chez elle avant le 1 er juillet "/>
        <s v="Tiktok"/>
        <s v="partager dès le 24/07 les screens des statistiques de son contenu UGC aussi cession de droit partager la video en HD"/>
        <s v="4EX"/>
        <s v="TT + IGr"/>
        <s v="on a pas le brief"/>
        <s v="n'a pas le produit"/>
        <s v="avec mediat"/>
        <s v="IG + TT cross post + ad code +UGC"/>
        <s v="3 videos"/>
        <s v="Code promo perso à partager"/>
        <s v="mettre explications en anglais"/>
        <s v="⚠️ Gifting voir avec Gauthier "/>
        <s v="POUR CONTENU UGC AVANT AGENCE"/>
        <s v="TT + Tiktok Shop"/>
        <s v="partager stats"/>
        <s v="pas fait "/>
        <s v="16h30"/>
        <s v="partager à Jolt les détails pour la campagne (date, orna...)"/>
        <s v=": #Kiehlsfrance (TikTok) et @kiehlsfrance (Instagram) et le hashtag : #HYDRATATION"/>
        <s v="Fonctionnement Nice Work"/>
        <s v="3 contenus // pas d'exclu"/>
        <s v="https://docs.google.com/presentation/d/1q4NE7BfV_3-rP4IUQJmAq-Et7OVpK16CYhR5OVpmQYo/edit?usp=sharing"/>
        <s v="Fonctionnement Nice Work - Envoyer lien marque"/>
        <s v="Affiliation 10% // 2 post/mois"/>
        <s v="https://www.tiktok.com/@lavishhcam/video/7384102579849956641?lang=en"/>
        <s v="Reçu"/>
        <s v="Médiatisation "/>
        <s v="envoyer facture MÉDIA EN OPTION 250€ 4semaines 7-18 Octobre"/>
        <s v="Google Ads"/>
        <s v="La semaine du 1er avril"/>
        <s v="7 jours après reception sac"/>
        <s v="ATTENTION NOUVEAU BRIEF?"/>
        <s v="La semaine du 15 avril"/>
        <s v="VOIR MAIL POUR BRIEF"/>
        <s v="⚠️chiara_12  + Lien dans bio"/>
        <s v="Libre"/>
        <s v="Tester les produits et leur faire un retour. Si tu aimes pourquoi pas poster sur Tiktok"/>
        <s v="Photo avant/après"/>
        <s v="pas reçu"/>
        <s v="⚠️bleulividee_12 + Lien dans Bio"/>
        <s v="story juste"/>
        <s v="X2 video"/>
        <s v="en attente Micro Entreprise Jeanne"/>
        <s v="Brief dans mail Sparkle"/>
        <s v="colis pas encore reçu (30/11)"/>
        <s v="Contenu libre"/>
        <s v="laurine_12 + Lien dans bio"/>
        <s v="Post obligatoire sans brief"/>
        <s v="attendre description"/>
        <s v="Dès que possible"/>
        <s v="à poster dès que possible"/>
        <s v="retard livraison"/>
        <s v="Nice Work Fonctionnement "/>
        <s v="https://www.tiktok.com/@lilyy.nl/video/7361800761090526497"/>
        <s v="Attendre avant de facturer Médiatisation "/>
        <s v="Showroom 16h"/>
        <s v="RDV 11h Showroom"/>
        <s v="pas de preview"/>
        <s v="Nice Work"/>
        <s v="https://www.tiktok.com/@melf.fnt/video/7384078329554423073"/>
        <s v="D'ici 2 semaines après 20/03/24"/>
        <s v="https://www.tiktok.com/@melf.fnt/video/7360752268607491360"/>
        <s v="En attente date"/>
        <s v="colis confidentiel jussqu'au 08/10"/>
        <s v="Rappel"/>
        <s v="https://www.tiktok.com/@morgane.mrckk/video/7384031967643307296"/>
        <s v="10h à 18h"/>
        <s v="partager video TT"/>
        <s v="en attente validation contrat"/>
        <s v="Brief"/>
        <s v="Dès réception colis"/>
        <s v="ads big cils"/>
        <s v="RDV 12h Showroom"/>
        <s v="description"/>
        <s v="mercredi 18/09, de 19h à 21h30,"/>
        <s v="IG + TT Cross Post"/>
        <s v="n'a pas reçu les produits"/>
        <s v="demander ce qu'elle pense du produit"/>
        <s v="colis non reçu"/>
        <s v="1 mois d'utilisation? si elle a bien utiliser le produit? lui rappeler de bien mettre photo avant/après dans l video"/>
        <s v="acheter produit Script 18/06 IG + Cross Post Reel + IGs"/>
        <s v="colis recu ? "/>
        <s v="colis recu oui "/>
        <s v="colis recu ? oui "/>
        <s v="IG + Cross post TT"/>
      </sharedItems>
    </cacheField>
    <cacheField name="Description rapide de la demande" numFmtId="0">
      <sharedItems containsBlank="1">
        <s v="vidéo dédiée maquillage avec la marque Bell."/>
        <s v="post obligatoire avec brief"/>
        <s v="post obligatoire  "/>
        <s v="Brief à respecter"/>
        <s v="Thème du book"/>
        <m/>
        <s v="Post Obligatoire "/>
        <s v="Brief dans mail"/>
        <s v="Ne pas poster / Suivre brief"/>
        <s v="Post avec brief"/>
        <s v="Libre"/>
        <s v="Seeding"/>
        <s v="NiceWork"/>
        <s v="Nice Work"/>
        <s v="Post Obligatoire"/>
        <s v="Fonctionnement Nice Work"/>
        <s v="Pas de brief"/>
        <s v="Consignes Nice Work"/>
        <s v="Post obligatoire sans brief"/>
        <s v="1 Tiktok + 1 Reel"/>
        <s v="1 Tiktok + 1 IG story"/>
        <s v="Post non obligatoire"/>
        <s v="Libre - colis presse"/>
        <s v="Evenement"/>
        <s v="Sans obligation de post"/>
        <s v="Obligation de post"/>
        <s v="Nice Work Fonctionnement"/>
        <s v="Médiatisation"/>
        <s v="Apport D'affaire"/>
        <s v="Promouvoir les 2 produits"/>
        <s v="Voir Brief mail"/>
        <s v="Event"/>
      </sharedItems>
    </cacheField>
    <cacheField name="Format (influence vs UGC)" numFmtId="166">
      <sharedItems containsBlank="1">
        <s v="Influence"/>
        <m/>
        <s v="UGC "/>
        <s v="UGC"/>
        <s v="Evenement"/>
        <s v="Skeepers"/>
        <s v="Interview"/>
        <s v="Médiatisation"/>
      </sharedItems>
    </cacheField>
    <cacheField name="Rémunération totale">
      <sharedItems containsBlank="1" containsMixedTypes="1" containsNumber="1">
        <n v="70.0"/>
        <n v="130.0"/>
        <n v="200.0"/>
        <s v="Gifting + Médiatisation"/>
        <s v="20€/semaine de médiatisation"/>
        <n v="350.0"/>
        <s v="Comptabilisé"/>
        <n v="500.0"/>
        <n v="150.0"/>
        <s v="Gifting"/>
        <n v="100.0"/>
        <m/>
        <n v="650.0"/>
        <n v="450.0"/>
        <n v="629.92"/>
        <n v="1800.0"/>
        <n v="175.0"/>
        <n v="250.0"/>
        <n v="1000.0"/>
        <n v="230.0"/>
        <n v="300.0"/>
        <n v="80.0"/>
        <n v="531.0"/>
        <n v="400.0"/>
        <n v="241.28"/>
        <n v="75.0"/>
        <n v="275.0"/>
        <n v="137.5"/>
        <n v="600.0"/>
        <n v="526.48"/>
        <n v="625.0"/>
        <n v="1250.0"/>
        <n v="800.0"/>
        <n v="699.2"/>
        <n v="225.0"/>
        <n v="1500.0"/>
        <n v="357.935"/>
        <n v="173.0"/>
        <n v="1200.0"/>
        <n v="233.33333333333334"/>
        <n v="750.0"/>
        <n v="700.0"/>
        <n v="393.3"/>
        <n v="125.0"/>
        <n v="382.5"/>
        <n v="325.0"/>
        <n v="0.0"/>
        <n v="170.0"/>
        <n v="900.0"/>
        <n v="375.0"/>
        <n v="195.0"/>
        <n v="950.0"/>
        <n v="1012.5"/>
        <n v="2000.0"/>
        <n v="333.3333333333333"/>
        <n v="582.0"/>
        <n v="291.0"/>
        <n v="970.0"/>
        <n v="1850.0"/>
        <n v="940.0"/>
        <n v="2500.0"/>
        <n v="850.0"/>
        <n v="1100.0"/>
        <n v="810.0"/>
        <n v="552.0"/>
        <n v="550.13"/>
        <n v="1400.0"/>
        <n v="1125.0"/>
        <n v="395.09"/>
        <n v="410.72"/>
        <n v="550.0"/>
        <n v="508.3"/>
        <n v="370.0"/>
        <n v="1300.0"/>
        <n v="492.87"/>
        <n v="166.66666666666666"/>
        <n v="3298.0"/>
        <n v="666.6666666666666"/>
        <n v="620.0"/>
        <n v="112.5"/>
        <n v="217.4"/>
        <n v="3125.0"/>
        <n v="266.6666666666667"/>
        <n v="310.0"/>
        <n v="880.0"/>
        <n v="1290.0"/>
        <n v="840.0"/>
        <n v="602.0"/>
        <n v="190.0"/>
        <s v="Affiliation"/>
        <s v="10% Commission"/>
        <s v="Showroom"/>
        <s v="Evenement"/>
        <n v="235.0"/>
        <n v="144.0"/>
        <s v="Affiliate"/>
        <s v="Event"/>
        <n v="933.3333333333334"/>
        <n v="3000.0"/>
        <n v="4500.0"/>
        <n v="588.0"/>
        <n v="471.27"/>
        <s v="PR"/>
        <n v="2985.0"/>
      </sharedItems>
    </cacheField>
    <cacheField name="Date Stats">
      <sharedItems containsDate="1" containsString="0" containsBlank="1" containsMixedTypes="1">
        <m/>
        <d v="2024-04-16T00:00:00Z"/>
        <d v="2024-04-29T00:00:00Z"/>
        <d v="2024-04-25T00:00:00Z"/>
        <d v="2024-05-08T00:00:00Z"/>
        <d v="2024-05-11T00:00:00Z"/>
        <d v="2024-05-31T00:00:00Z"/>
        <n v="105.0"/>
        <n v="96.25"/>
        <n v="280.0"/>
        <n v="140.0"/>
        <n v="350.0"/>
        <n v="420.0"/>
      </sharedItems>
    </cacheField>
    <cacheField name="Lien video" numFmtId="0">
      <sharedItems containsBlank="1">
        <m/>
        <s v="https://www.tiktok.com/@melf.fnt/video/7382192283279494432"/>
        <s v="https://www.tiktok.com/@lilyy.nl/video/7383728309110050080"/>
        <s v="https://www.tiktok.com/@lolatagliaferroo/video/7383998473613479201"/>
        <s v="https://www.tiktok.com/@lavishhcam/video/7390792553022442784?lang=en"/>
        <s v="https://www.tiktok.com/@chiaraaaa.bnc/video/7391058568260111649"/>
        <s v="https://www.tiktok.com/@lina.mkrn2/video/7390790437969104161"/>
        <s v="https://www.tiktok.com/@perrine.trp/video/7391590382611516705"/>
        <s v="https://www.tiktok.com/@morgane.mrckk/video/7390710366738681121"/>
        <s v="https://www.tiktok.com/@perrine.trp/video/7394891259883654433"/>
        <s v="https://www.tiktok.com/@___oraane/video/7392965105924738336"/>
        <s v="https://www.tiktok.com/@paupibeauty/video/7395224727377251617"/>
        <s v="https://www.tiktok.com/@lolatagliaferroo/video/7395519666556259616"/>
        <s v="https://www.tiktok.com/@melf.fnt/video/7393286593676660000"/>
        <s v="https://www.tiktok.com/@perrine.trp/video/7393392477878701345"/>
        <s v="https://www.tiktok.com/@morgane.mrckk/video/7394042444519591201"/>
        <s v="https://www.tiktok.com/@paupibeauty/video/7394501330364075296"/>
        <s v="https://www.tiktok.com/@paupibeauty/video/7397449808555937056?_r=1&amp;_t=8oSOvlgWeMi"/>
        <s v="https://www.tiktok.com/@lolatagliaferroo/video/7398086597721263393"/>
        <s v="https://www.tiktok.com/@___oraane/video/7398548157925248288"/>
        <s v="https://vm.tiktok.com/ZGenfd12c/"/>
        <s v="https://www.tiktok.com/@liserdg/video/7397464254451911969"/>
        <s v="https://www.tiktok.com/@liserdg/video/7401195152984870176"/>
        <s v="https://www.tiktok.com/@lilyy.nl/video/7403767696283766048"/>
        <s v="https://www.tiktok.com/@morgane.mrckk/video/7411931626252422433"/>
        <s v="https://www.tiktok.com/@___oraane/video/7403673068578688289"/>
        <s v="https://www.tiktok.com/@lavishhcam/video/7406036857340824865?lang=en"/>
        <s v="https://www.tiktok.com/@lilyy.nl/video/7407093682731502880"/>
        <s v="https://www.tiktok.com/@paupibeauty/video/7403439757415533856?_r=1&amp;_t=8otpeszl9rE"/>
        <s v="https://www.tiktok.com/@perrine.trp/video/7411953653143129376"/>
        <s v="https://www.tiktok.com/@lavishhcam/video/7407487090046389537?lang=en"/>
        <s v="https://www.tiktok.com/@melf.fnt/video/7408135764502007073"/>
        <s v="https://www.tiktok.com/@lavishhcam/video/7406708879695875360?lang=en"/>
        <s v="https://www.tiktok.com/@lavishhcam/video/7411562966337834272?lang=en"/>
        <s v="https://www.tiktok.com/@morgane.mrckk/video/7406767459749055777"/>
        <s v="https://www.tiktok.com/@lilyy.nl/video/7411947131440827681"/>
        <s v="https://www.tiktok.com/@julianebernard/video/7415999447202663713"/>
        <s v="https://www.tiktok.com/@lilyy.nl/video/7412698376162135328"/>
        <s v="https://www.tiktok.com/@melf.fnt/video/7421252203458874656"/>
        <s v="https://www.tiktok.com/@melf.fnt/video/7417119746270776609"/>
        <s v="https://www.tiktok.com/@melf.fnt/video/7422703664969616673"/>
        <s v="https://www.tiktok.com/@paupibeauty/video/7416729046316338465?_r=1&amp;_t=8psjQcSNmPA"/>
        <s v="https://www.tiktok.com/@jessicadcstr/video/7401576606319398177"/>
        <s v="https://tiktok.com/@mary.zhh/video/7416774634885926176?lang=en"/>
        <s v="https://www.tiktok.com/@chiaraaaa.bnc/video/7417486710386232609"/>
        <s v="https://www.tiktok.com/@perrine.trp/video/7420530124208016672"/>
        <s v="https://www.tiktok.com/@paupibeauty/video/7418269204975078689"/>
        <s v="https://www.tiktok.com/@jeanne_bayart/video/7425572834992344353?_r=1&amp;_t=8qXCYC0RFJY"/>
        <s v="https://www.tiktok.com/@jeanne_bayart/video/7437562970659491105?lang=en"/>
        <s v="https://www.tiktok.com/@___oraane/video/7434852783339195681?lang=en"/>
        <s v="https://www.tiktok.com/@melf.fnt/video/7430522334919822624"/>
        <s v="https://www.tiktok.com/@liserdg/video/7430136572063796513?lang=en"/>
        <s v="https://www.tiktok.com/@liserdg/video/7432768931619802401?lang=en"/>
        <s v="https://www.tiktok.com/@morgane.mrckk/video/7430757799249988896?lang=en"/>
        <s v="https://www.tiktok.com/@shaa_dl/video/7515842386795187478"/>
        <s v="https://www.tiktok.com/@___oraane/video/7419283054981664033"/>
        <s v="https://www.tiktok.com/@anaiswairyy/video/7433837110584479008?lang=en"/>
        <s v="https://www.tiktok.com/@chiaraaaa.bnc/video/7438003860733578528?lang=en"/>
        <s v="https://www.tiktok.com/@morgane.mrckk/video/7437476392905805089?lang=en"/>
        <s v="https://www.tiktok.com/@iimslma/video/7436438336383880480?lang=en"/>
        <s v="https://www.tiktok.com/@melf.fnt/video/7436438601740668192?_r=1&amp;_t=8rKy09eXARN"/>
        <s v="https://www.tiktok.com/@lavishhcam/video/7437477138430741792"/>
        <s v="https://www.tiktok.com/@julianebernard/video/7437454498747927841?lang=en"/>
        <s v="https://www.tiktok.com/@melf.fnt/video/7437532619706731809"/>
        <s v="https://www.tiktok.com/@anaiswairyy/video/7455393883908771094?lang=en"/>
        <s v="https://www.tiktok.com/@anaiswairyy/video/7469871245606030614?lang=en"/>
        <s v="https://www.tiktok.com/@___oraane/video/7450792735776296214?lang=en"/>
        <s v="https://www.tiktok.com/@___oraane/video/7449648582451350806?lang=en"/>
        <s v="https://www.tiktok.com/@melf.fnt/video/7441913953858489633"/>
        <s v="https://www.tiktok.com/@paupibeauty/video/7442018892454694176?_r=1&amp;_t=8rkWjFn0wJa"/>
        <s v="https://www.tiktok.com/@anaiswairyy?lang=en"/>
        <s v="https://www.tiktok.com/@lilyy.nl/video/7443863318730689814"/>
        <s v="https://www.tiktok.com/@jeanne_bayart/video/7442798993492479265?lang=en"/>
        <s v="https://www.tiktok.com/@iman_cvls/video/7451924438834089238?_r=1&amp;_t=8sTta62xc1u"/>
        <s v="https://www.tiktok.com/@iman_cvls/video/7452023214944947478?_r=1&amp;_t=8sWEGQqinJO"/>
        <s v="https://www.tiktok.com/@iman_cvls/video/7452403635708775702"/>
        <s v="https://www.tiktok.com/@jasmiinelife/video/7453739165205777686?lang=en"/>
        <s v="https://www.tiktok.com/@lavishhcam/video/7463441462252932374"/>
        <s v="https://www.tiktok.com/@iimslma/video/7465383468805999894?_r=1&amp;_t=ZN-8tTXg6qHkUY"/>
        <s v="https://www.tiktok.com/@iman_cvls/video/7465390038260485398?_t=ZN-8tTZG4XbMr0&amp;_r=1"/>
        <s v="https://www.tiktok.com/@liserdg/video/7465785595495763222?lang=en"/>
        <s v="https://www.tiktok.com/@la_gur/video/7467998009230363926?lang=en"/>
        <s v="75 de media"/>
        <s v="https://www.tiktok.com/@dounsbnl/video/7471295610063310102"/>
        <s v="https://www.tiktok.com/@lolatagliaferroo?lang=en"/>
        <s v="https://www.tiktok.com/@___oraane/video/7471294678306934038?lang=en"/>
        <s v="https://www.tiktok.com/@shaa_dl/video/7471336075559046422"/>
        <s v="https://www.tiktok.com/@dounsbnl/video/7451645404535442710"/>
        <s v="https://www.tiktok.com/@anaiswairyy/video/7471353868702502166?lang=en"/>
        <s v="https://www.tiktok.com/@dounsbnl/video/7473150812873788674?_t=ZN-8u36zKwjrx0&amp;_r=1"/>
        <s v="https://www.tiktok.com/@lolatagliaferroo/video/7473819808870534422?lang=en"/>
        <s v="https://www.tiktok.com/@paupibeauty/video/7473538347969875222?_r=1&amp;_t=ZN-8u4tYDuW4wQ"/>
        <s v="https://www.tiktok.com/@perrine.trp/video/7476172058406194454?lang=en"/>
        <s v="https://www.tiktok.com/@eloiseaubeneauu/video/7482020827924401451"/>
        <s v="https://www.tiktok.com/@julianebernard/video/7496568197135486230?_r=1&amp;_t=ZN-8vmOTilRwgg"/>
        <s v="https://www.tiktok.com/@iimslma/video/7485792482345618710?_r=1&amp;_t=ZN-8uz1T2hjhy6"/>
        <s v="https://www.tiktok.com/@dounsbnl/video/7476794031935147286"/>
        <s v="https://www.tiktok.com/@eloiseaubeneauu/video/7495738839487581470?_t=ZP-8viaG7wegWt&amp;_r=1"/>
        <s v="https://www.tiktok.com/@lilyy.nl/video/7493984160173034774"/>
        <s v="https://www.tiktok.com/@ttemarine/video/7495056234014379266"/>
        <s v="https://www.tiktok.com/@ttemarine/video/7494670749865757974"/>
        <s v="https://www.tiktok.com/@julianebernard/video/7493986086654315798?lang=en"/>
        <s v="https://www.tiktok.com/@paupibeauty/video/7493948630144011542"/>
        <s v="https://www.tiktok.com/@lavishhcam/video/7495428391882198295"/>
        <s v="https://www.tiktok.com/@la_gur/video/7499405044245204246?lang=en"/>
        <s v="https://www.tiktok.com/@sarah.bdii/video/7499149208293788950"/>
        <s v="https://www.tiktok.com/@jasmiinelife/video/7499164614366645526?lang=en"/>
        <s v="https://www.tiktok.com/@ttemarine/video/7499519504368569622"/>
        <s v="https://www.tiktok.com/@lovelymorgane/video/7499894490853821718?_r=1&amp;_t=8kth38xkh3x"/>
        <s v="https://www.tiktok.com/@arwen.arwen1/video/7506934371669101846?lang=en"/>
        <s v="https://www.tiktok.com/@farahdisiaque/video/7505057972834372886"/>
        <s v="https://www.tiktok.com/@paupibeauty/video/7506557930817277206?_t=ZN-8wW7MsM3mNy&amp;_r=1"/>
        <s v="https://www.tiktok.com/@lavishhcam/video/7505069359010794774"/>
        <s v="https://www.tiktok.com/@paupibeauty/video/7507679880100810007?_r=1&amp;_t=ZN-8wbG54dkxtO"/>
        <s v="https://www.tiktok.com/@iam.sissou/video/7526589360469265686?is_from_webapp=1&amp;sender_device=pc&amp;web_id=7504317976587437590"/>
        <s v="https://www.tiktok.com/@mary.zhh/video/7462430581402520854"/>
        <s v="https://www.tiktok.com/@mary.zhh/video/7460561651675303190"/>
        <s v="https://www.tiktok.com/@paupibeauty/video/7439768252269546785?_r=1&amp;_t=8raH38QLVtG"/>
        <s v="https://www.tiktok.com/@amani_mee/video/7494728696528522518"/>
        <s v="https://vm.tiktok.com/ZNdPeJgF7/"/>
        <s v="https://www.tiktok.com/@ttemarine/video/7522142648207936790?_t=ZN-8xfVHZaTphe&amp;_r=1"/>
        <s v="https://www.tiktok.com/@iam.sissou/video/7513475563936369942"/>
        <s v="https://www.tiktok.com/@iimslma/video/7522888104374701335"/>
        <s v="https://drive.google.com/drive/folders/19ToYFCpY-wQNqLL1X6hkS610Je7ZJWpH?usp=sharing"/>
        <s v="https://drive.google.com/drive/folders/1cqb0DvHrI2AEf5Y1mODPl-Wb-x2ZpIBF?usp=sharing"/>
        <s v="https://www.tiktok.com/@shaa_dl/video/7525111945536523542?_r=1&amp;_t=ZN-8xwa2XIbgXO"/>
        <s v="https://www.instagram.com/p/DL9s1T-ucxx/?hl=fr"/>
        <s v="https://www.tiktok.com/@___oraane/video/7525503490924416279"/>
        <s v="https://www.tiktok.com/@julianebernard/video/7522838166227864854?lang=en"/>
        <s v="https://www.tiktok.com/@laudewit/video/7519192074919365920"/>
        <s v="https://www.tiktok.com/@asmaenel/video/7526542702301826326?is_from_webapp=1&amp;sender_device=pc&amp;web_id=7504317976587437590"/>
        <s v="https://www.tiktok.com/@shaa_dl/video/7525111987638979862?_r=1&amp;_t=ZN-8xwa1oeBxCQ"/>
        <s v="https://www.tiktok.com/@juliette.pn/video/7525473712418622742?is_from_webapp=1&amp;sender_device=pc&amp;web_id=7504317976587437590"/>
        <s v="https://www.tiktok.com/@laudewit/video/7525483945366998305"/>
        <s v="https://www.tiktok.com/@julianebernard/video/7526982773156924694?_r=1&amp;_t=ZN-8y1f4d2rh1K"/>
        <s v="https://www.tiktok.com/@la_gur/video/7528400374802173206"/>
        <s v="https://www.tiktok.com/@paupibeauty/video/7529220565756857622"/>
        <s v="https://vm.tiktok.com/ZNHp1gFdSuU6L-Orqzs/"/>
        <s v="https://www.tiktok.com/@melissa.pndd/video/7526574135296773398?is_from_webapp=1&amp;sender_device=pc&amp;web_id=7504317976587437590"/>
        <s v="https://www.tiktok.com/@laudewit/video/7529089646714735905"/>
        <s v="https://www.tiktok.com/@guenaire/video/7532570588146076950"/>
        <s v="https://www.tiktok.com/@laudewit/video/7525765188893674784"/>
        <s v="https://www.tiktok.com/@sarah.bdii/video/7516951979084598550"/>
        <s v="https://www.tiktok.com/@anaiswairyy/video/7466167514402229526?lang=en"/>
        <s v="https://www.tiktok.com/@melissa.pndd/video/7514352561562946838"/>
        <s v="https://vm.tiktok.com/ZNdyXTXHb/"/>
        <s v="https://www.instagram.com/reel/DLc5EB4ogna/?utm_source=ig_web_copy_link"/>
        <s v="https://www.tiktok.com/@glennwolff/video/7517353745353559318?is_from_webapp=1&amp;sender_device=pc&amp;web_id=7504317976587437590"/>
        <s v="https://www.instagram.com/reel/DLXs9HIijUX/?utm_source=ig_web_copy_link&amp;igsh=MzEyc2ZyNmFwZTMw"/>
        <s v="https://www.tiktok.com/@lolatagliaferroo/video/7520567485473492246?is_from_webapp=1&amp;sender_device=pc&amp;web_id=7504317976587437590"/>
        <s v="https://www.tiktok.com/@melissa.pndd/video/7519911199744494850?is_from_webapp=1&amp;sender_device=pc&amp;web_id=7504317976587437590"/>
        <s v="https://www.tiktok.com/@___oraane/video/7518063433611480343?_t=ZN-8xMoEPKM08s&amp;_r=1"/>
        <s v="https://www.tiktok.com/@paupibeauty/video/7521283052488641814?is_from_webapp=1&amp;sender_device=pc&amp;web_id=7504317976587437590"/>
        <s v="https://www.tiktok.com/@sarah.bdii/video/7532173540204891414"/>
        <s v="https://www.tiktok.com/@shaa_dl/video/7414067609177476384"/>
        <s v="https://www.tiktok.com/@shaa_dl/video/7430530285852167457"/>
        <s v="https://www.tiktok.com/@shaa_dl/video/7456916860278295830?_t=ZN-8sqlAIVsOJS&amp;_r=1"/>
        <s v="https://www.tiktok.com/@amandambt_/video/7483639690327788822?lang=en"/>
        <s v="La première à 1 min 17 https://vm.tiktok.com/ZNdMWypK4/ La seconde à 1 min 32 https://vm.tiktok.com/ZNdMWUM5e/"/>
        <s v="https://www.instagram.com/reel/DFqvAlCNUMN/"/>
        <s v="https://www.tiktok.com/@arwen.arwen1/video/7453509821812280598?lang=en"/>
        <s v="https://www.tiktok.com/@arwen.arwen1/video/7453509775200980246?lang=en"/>
        <s v="https://www.tiktok.com/@arwen.arwen1/video/7453530509163973910?lang=en"/>
        <s v="https://www.tiktok.com/@lavishhcam/video/7372599354646957344"/>
        <s v="https://www.tiktok.com/@lavishhcam/video/7370721490632772896?lang=en"/>
        <s v="https://www.tiktok.com/@lavishhcam/video/7374120668813659425"/>
        <s v="https://vm.tiktok.com/ZGeGrsEfX/"/>
        <s v="https://www.tiktok.com/@lavishhcam/video/7392636437163773217"/>
        <s v="https://www.tiktok.com/@lavishhcam/video/7401082023797902625?lang=en"/>
        <s v="https://www.tiktok.com/@lavishhcam/video/7401156666479119649?lang=en"/>
        <s v="https://www.tiktok.com/@lavishhcam/video/7415270528665046305?lang=en"/>
        <s v="https://www.tiktok.com/@lavishhcam/video/7414065973084359968?lang=en"/>
        <s v="https://www.tiktok.com/@lavishhcam/video/7421861704159464736?lang=en"/>
        <s v="https://www.tiktok.com/@lavishhcam/video/7421578850808646944"/>
        <s v="https://www.tiktok.com/@lavishhcam/video/7424528927714020641"/>
        <s v="https://tiktok.com/@lavishhcam/video/7428536491384638753"/>
        <s v="https://www.tiktok.com/@lavishhcam/video/7431968536773299489"/>
        <s v="https://www.tiktok.com/@lavishhcam/video/7431640311199255840"/>
        <s v="https://www.tiktok.com/@lavishhcam/video/7442372621200575776"/>
        <s v="https://www.tiktok.com/@lavishhcam/video/7451273510346820886"/>
        <s v="https://www.tiktok.com/@lavishhcam/video/7465046952749616406"/>
        <s v="https://www.tiktok.com/@lavishhcam/video/7462439461763157270"/>
        <s v="https://www.tiktok.com/@lavishhcam/video/7467602307832745238?_r=1&amp;_t=ZN-8tpZSV3gUPG"/>
        <s v="https://www.tiktok.com/@lavishhcam/video/7481621153107217686?_t=ZN-8ufuB4coZpW&amp;_r=1"/>
        <s v="https://www.tiktok.com/@lavishhcam/video/7480248461112216854?_t=ZN-8uksUX9QNRG&amp;_r=1"/>
        <s v="https://www.tiktok.com/@lavishhcam/video/7395231761887759649?lang=en"/>
        <s v="https://www.tiktok.com/@lavishhcam/video/7398186484789988641?lang=en"/>
        <s v="https://www.tiktok.com/@lavishhcam/video/7365759408892103969?lang=en"/>
        <s v="https://www.tiktok.com/@lavishhcam/video/7401530328214441248?lang=en"/>
        <s v="https://www.tiktok.com/@lavishhcam/video/7394844935842778400?lang=en"/>
        <s v="https://www.tiktok.com/@chiaraaaa.bnc/video/7391983750164319520?_r=1&amp;_t=8o3MXv1mvZJ"/>
        <s v="https://www.tiktok.com/@chiaraaaa.bnc/video/7394423173132913952"/>
        <s v="https://www.tiktok.com/@chiaraaaa.bnc/video/7405297473117310240"/>
        <s v="https://www.tiktok.com/@chiaraaaa.bnc/video/7404583889974480161"/>
        <s v="https://www.tiktok.com/@chiaraaaa.bnc/video/7416745525149584673"/>
        <s v="https://www.tiktok.com/@chiaraaaa.bnc/video/7415682356973014305?_r=1&amp;_t=8pnu1Dc4LKK"/>
        <s v="https://www.tiktok.com/@chiaraaaa.bnc/video/7426062687051713824?lang=en"/>
        <s v="https://www.tiktok.com/@chiaraaaa.bnc/video/7429003433572715809?lang=en"/>
        <s v="https://www.tiktok.com/@dounsbnl/video/7431205107913493793"/>
        <s v="https://www.tiktok.com/@dounsbnl/video/7474747644808613142"/>
        <s v="https://www.instagram.com/p/DHT2-JnIB-6/"/>
        <s v="https://www.instagram.com/reel/DJMIRWMoL9E/?igsh=MTY5bnFnZW5mZGI2dA=="/>
        <s v="https://www.tiktok.com/@eloiseaubeneauu/video/7483491441663036718?_t=ZT-8uoTJcOEruw&amp;_r=1"/>
        <s v="https://www.tiktok.com/@eloiseaubeneauu/video/7507226915682389279"/>
        <s v="https://www.instagram.com/reel/DJPcuR3Idt7/?igsh=OW9lOXZyc2hucGI="/>
        <s v="https://www.tiktok.com/@farahdisiaque/video/7483922941864955158?_t=ZN-8uqT7rbpmb8&amp;_r=1"/>
        <s v="c"/>
        <s v="https://www.tiktok.com/@bleulividee/video/7372251599776877856"/>
        <s v="https://vm.tiktok.com/ZGepDFE5y/"/>
        <s v="https://www.tiktok.com/@bleulividee/video/7391910299361709344"/>
        <s v="https://www.tiktok.com/@bleulividee/video/7392682253026970912"/>
        <s v="https://www.tiktok.com/@bleulividee/video/7410370727486049568"/>
        <s v="https://www.tiktok.com/@bleulividee/video/7375559768552770849"/>
        <s v="https://www.tiktok.com/@bleulividee/video/7393388652753194273"/>
        <s v="https://www.tiktok.com/@bleulividee/video/7397487380388744480"/>
        <s v="https://www.tiktok.com/@bleulividee/video/7365539403646651680"/>
        <s v="https://www.tiktok.com/@la_gur/photo/7457999858377428246?lang=en"/>
        <s v="https://www.tiktok.com/@la_gur/video/7485089693206433046?lang=en"/>
        <s v="https://www.tiktok.com/@la_gur/video/7495733948685815062?lang=en"/>
        <s v="https://drive.google.com/drive/folders/1bllXfbrb3bUB07wpoG2Ebl0SK0IzuWTC?usp=sharing"/>
        <s v="https://www.tiktok.com/@hidaya_bl/video/7484394919600213270"/>
        <s v="https://www.tiktok.com/@iman_cvls/video/7397858754177551649"/>
        <s v="https://www.tiktok.com/@iman_cvls/video/7404463230673849633"/>
        <s v="https://www.tiktok.com/@iman_cvls/video/7414564750392184096"/>
        <s v="https://www.tiktok.com/@iman_cvls/video/7430007298031930656?lang=en"/>
        <s v="https://www.tiktok.com/@iman_cvls/video/7442289270481636640?lang=en"/>
        <s v="https://www.tiktok.com/@iman_cvls/video/7458583066676710678?_t=ZN-8syYtKZMQGF&amp;_r=1"/>
        <s v="https://vm.tiktok.com/ZNdrMWKU9/   https://vm.tiktok.com/ZNdrMbUmK/&#10;"/>
        <s v="https://www.tiktok.com/@iman_cvls/video/7405646497515113761"/>
        <s v="https://www.tiktok.com/@jasmiinelife/video/7402157667159969057"/>
        <s v="https://www.tiktok.com/@jasmiinelife/video/7398942773430308128"/>
        <s v="https://www.tiktok.com/@jasmiinelife/video/7411133691189071137"/>
        <s v="https://www.tiktok.com/@jasmiinelife/video/7431849329335209249?_t=8qzxJsLvUuH&amp;_r=1"/>
        <s v="https://www.tiktok.com/@jasmiinelife/video/7481342810977881366?_r=1&amp;_t=ZN-8ued6vIUIJa"/>
        <s v="https://www.tiktok.com/@jasmiinelife/video/7478010649835064598?_t=ZN-8uksMc15EkI&amp;_r=1"/>
        <s v="https://vm.tiktok.com/ZNdr6BsyX/"/>
        <s v="https://www.tiktok.com/@jasmiinelife/video/7406012010816638240"/>
        <s v="https://www.instagram.com/reel/DAEGiSUicZy/"/>
        <s v="https://www.tiktok.com/@jeanne_bayart/video/7405111060274924832"/>
        <s v="https://www.tiktok.com/@jeanne_bayart/video/7401629838697565472"/>
        <s v="https://www.instagram.com/reel/DHYZokMIocA/?igsh=MXJmNGNqYzdlNjZ6eg%3D%3D"/>
        <s v="https://www.tiktok.com/@jessicadcstr/video/7374052571708771616"/>
        <s v="https://www.tiktok.com/@jessicadcstr/video/7375545597094464801"/>
        <s v="https://www.tiktok.com/@jessicadcstr/video/7388534640631450913"/>
        <s v="https://www.tiktok.com/@jessicadcstr/video/7389326468137995552"/>
        <s v="https://www.tiktok.com/@jessicadcstr/video/7402283442785766688"/>
        <s v="https://www.tiktok.com/@jessicadcstr/video/7400003750661819681"/>
        <s v="https://www.tiktok.com/@jessicadcstr/video/7401184127703108897"/>
        <s v="https://www.tiktok.com/@jessicadcstr/video/7379634512625487137"/>
        <s v="https://www.tiktok.com/@jessicadcstr/video/7370005908706921761?q=jessicadcstr%20aromazone&amp;t=1716383408647"/>
        <s v="https://www.tiktok.com/@julianebernard/video/7375950922876194080"/>
        <s v="https://www.tiktok.com/@julianebernard/video/7394526025591409952"/>
        <s v="https://www.tiktok.com/@julianebernard/video/7415662953526988065"/>
        <s v="https://www.tiktok.com/@julianebernard/video/7422201837324979489"/>
        <s v="https://www.tiktok.com/@julianebernard/video/7423819976387218720?lang=en"/>
        <s v="https://www.tiktok.com/@julianebernard/video/7428654055754353952?lang=en"/>
        <s v="https://www.tiktok.com/@julianebernard/video/7431227139405466912?lang=en"/>
        <s v="https://www.tiktok.com/@julianebernard/video/7470566844924005654?lang=en"/>
        <s v="https://www.tiktok.com/@julianebernard/video/7480957956545203478?_t=ZN-8uflzHw9hd0&amp;_r=1"/>
        <s v="https://www.tiktok.com/@julianebernard/video/7483144981474053398?_r=1&amp;_t=ZN-8umtSsTCOtq"/>
        <s v="https://www.tiktok.com/@julianebernard/video/7505188044769611030?_r=1&amp;_t=ZN-8wUPhwBCpra"/>
        <s v="https://www.tiktok.com/@julianebernard/video/7387355316817612064"/>
        <s v="https://www.tiktok.com/@laurieespamm/video/7373977897394048289"/>
        <s v="https://www.tiktok.com/@laurieespamm/video/7372894690884029729"/>
        <s v="https://www.tiktok.com/@laurieespamm/video/7385220213458980129"/>
        <s v="https://www.tiktok.com/@laurieespamm/video/7403685503830084896?_r=1&amp;_t=8ouxXOOFEH3"/>
        <s v="https://www.tiktok.com/@laurieespamm/video/7385584137039596833"/>
        <s v="https://www.tiktok.com/@lilyy.nl/video/7372250529398836512"/>
        <s v="https://www.tiktok.com/@lilyy.nl/video/7374127349601701153"/>
        <s v="https://www.tiktok.com/@lilyy.nl/video/7377465554560453921"/>
        <s v="https://www.tiktok.com/@lilyy.nl/video/7382595650866662688"/>
        <s v="https://www.tiktok.com/@lilyy.nl/video/7387413713944333601"/>
        <s v="https://www.tiktok.com/@lilyy.nl/video/7398197901182111008"/>
        <s v="https://www.tiktok.com/@lilyy.nl/video/7400071344089533728"/>
        <s v="https://www.tiktok.com/@lilyy.nl/video/7401181475330198816"/>
        <s v="https://www.tiktok.com/@lilyy.nl/video/7416387740951956768"/>
        <s v="https://www.tiktok.com/@lilyy.nl/video/7414163405205982497"/>
        <s v="https://www.tiktok.com/@lilyy.nl/video/7424229467951729953"/>
        <s v="https://www.tiktok.com/@lilyy.nl/video/7421229015719103776"/>
        <s v="https://www.tiktok.com/@lilyy.nl/video/7432644019890539808"/>
        <s v="https://www.tiktok.com/@lilyy.nl/video/7467121622500003094"/>
        <s v="https://www.tiktok.com/@lilyy.nl/video/7465615921470557462"/>
        <s v="https://www.tiktok.com/@lilyy.nl/video/7473378357531397398?_t=ZN-8uecd1X7Rby&amp;_r=1"/>
        <s v="https://www.tiktok.com/@lilyy.nl/video/7381865050685934881"/>
        <s v="https://www.tiktok.com/@lilyy.nl/video/7397468947290918176"/>
        <s v="https://www.tiktok.com/@lilyy.nl/video/7355571660520426784?q=lilyy.nl%20aromazone&amp;t=1716382679417"/>
        <s v="https://www.tiktok.com/@lilyy.nl/video/7407474534565154081"/>
        <s v="www.tiktok.com/@lilyy.nl/video/7402233435932216608?cid=NzQwMjIzNDY4NzAzMDE5OTA3Mg"/>
        <s v="https://www.tiktok.com/@lina.mkrn2/video/7384054300869217569?browserMode=1"/>
        <s v="https://www.tiktok.com/@liserdg/video/7399262478896614689"/>
        <s v="https://www.tiktok.com/@liserdg/video/7399698677285014817"/>
        <s v="https://www.tiktok.com/@liserdg/video/7404521868960501024"/>
        <s v="https://www.tiktok.com/@liserdg/video/7407523195101728033"/>
        <s v="https://www.tiktok.com/@liserdg/video/7418260695130623264"/>
        <s v="https://www.tiktok.com/@liserdg/video/7420486871957998880"/>
        <s v="https://www.tiktok.com/@liserdg/video/7431256738801667360?lang=en"/>
        <s v="https://www.tiktok.com/@liserdg/video/7441653570472135969?_t=8riqrKU7tr6&amp;_r=1"/>
        <s v="https://www.tiktok.com/@liserdg/video/7408641991967378720"/>
        <s v="https://www.tiktok.com/@liserdg/video/7381070326211317025"/>
        <s v="https://tiktok.com/@liserdg/video/7422323883673423136"/>
        <s v="https://www.tiktok.com/@lolatagliaferroo/video/7388560111800749345"/>
        <s v="https://www.tiktok.com/@lolatagliaferroo/video/7417167690537717024"/>
        <s v="https://www.tiktok.com/@lolatagliaferroo/video/7417539584071830816"/>
        <s v="https://www.tiktok.com/@lolatagliaferroo/video/7428671047366348065?lang=en"/>
        <s v="https://www.tiktok.com/@lolatagliaferroo/video/7445278458680266006?lang=en"/>
        <s v="https://www.tiktok.com/@melf.fnt/video/7372218331379666209"/>
        <s v="https://www.tiktok.com/@melf.fnt/video/7370750286744292641"/>
        <s v="https://www.tiktok.com/@melf.fnt/video/7383665768757579041"/>
        <s v="https://www.tiktok.com/@melf.fnt/video/7384078329554423073"/>
        <s v="https://www.tiktok.com/@melf.fnt/video/7388460088819797280"/>
        <s v="https://www.tiktok.com/@melf.fnt/video/7391885588057656609"/>
        <s v="https://www.tiktok.com/@melf.fnt/video/7399939773575613728"/>
        <s v="https://www.tiktok.com/@melf.fnt/video/7416390437692280096"/>
        <s v="https://www.tiktok.com/@melf.fnt/video/7415636160636013856"/>
        <s v="https://www.tiktok.com/@melf.fnt/video/7417407814903057697"/>
        <s v="https://www.tiktok.com/@melf.fnt/video/7422664116545801504"/>
        <s v="https://www.tiktok.com/@melf.fnt/video/7431619697042296096"/>
        <s v="https://www.tiktok.com/@melf.fnt/video/7428571977918500128"/>
        <s v="https://www.tiktok.com/@melf.fnt/video/7375924184494476577"/>
        <s v="https://www.tiktok.com/@melf.fnt/video/7395873680867233057"/>
        <s v="https://www.tiktok.com/@melf.fnt/video/7364824274315529505"/>
        <s v="https://www.tiktok.com/@melf.fnt/video/7400756804549971232"/>
        <s v="https://www.tiktok.com/@morgane.mrckk/video/7384031967643307296"/>
        <s v="https://www.tiktok.com/@morgane.mrckk/video/7402654625314196769"/>
        <s v="https://www.tiktok.com/@morgane.mrckk/video/7414534348910775584"/>
        <s v="https://www.tiktok.com/@morgane.mrckk/video/7413431476252970272"/>
        <s v="https://www.tiktok.com/@morgane.mrckk/video/7412302749104114977"/>
        <s v="https://www.tiktok.com/@morgane.mrckk/video/7423352236501241121"/>
        <s v="https://www.tiktok.com/@morgane.mrckk/video/7424156968429833504?lang=en"/>
        <s v="https://www.tiktok.com/@morgane.mrckk/video/7436771318671953185?lang=en"/>
        <s v="https://www.tiktok.com/@morgane.mrckk/video/7385545243870973216"/>
        <s v="https://www.tiktok.com/@morgane.mrckk/video/7397382935453764896"/>
        <s v="https://www.tiktok.com/@morgane.mrckk/video/7381070101392477472"/>
        <s v="https://www.tiktok.com/@morgane.mrckk/video/7416632134347033889"/>
        <s v="https://www.instagram.com/p/DF3IS0nN9_G/?img_index=1"/>
        <s v="https://www.instagram.com/p/DHTVmb9tQrc/"/>
        <s v="https://www.instagram.com/p/DJtb4I3NWCt/?img_index=1&amp;igsh=cHBsdGw3bjhsaTd2"/>
        <s v="https://www.tiktok.com/@___oraane/video/7370306532183002401"/>
        <s v="https://www.tiktok.com/@___oraane/video/7385808181940784417"/>
        <s v="https://www.tiktok.com/@___oraane/video/7396281714101734689"/>
        <s v="https://www.tiktok.com/@___oraane/video/7398824092297612576"/>
        <s v="https://www.tiktok.com/@___oraane/video/7408970007402663200"/>
        <s v="https://www.tiktok.com/@___oraane/video/7422246939724385569?lang=en"/>
        <s v="https://www.tiktok.com/@___oraane/video/7427080640987712800?lang=en"/>
        <s v="https://www.tiktok.com/@___oraane/video/7476554634371337495?_t=ZN-8uksMQy8spa&amp;_r=1"/>
        <s v="https://www.tiktok.com/@___oraane/video/7497260335687142678?_r=1&amp;_t=ZN-8wK7rhJ1GDe"/>
        <s v="https://www.tiktok.com/@___oraane/video/7375468422068571424?_r=1&amp;_t=8krP3tfqVUH"/>
        <s v="https://www.tiktok.com/@___oraane/video/7410372109068766496"/>
        <s v="https://www.tiktok.com/@paupibeauty/video/7376008068775120160"/>
        <s v="https://vm.tiktok.com/ZGeb3qMjG/"/>
        <s v="https://www.tiktok.com/@paupibeauty/video/7388913023471176993"/>
        <s v="https://www.tiktok.com/@paupibeauty/video/7391913188587048224"/>
        <s v="https://www.tiktok.com/@paupibeauty/video/7391464252877442336"/>
        <s v="https://www.tiktok.com/@paupibeauty/video/7399701843338612001?_r=1&amp;_t=8ocjkRHNArg"/>
        <s v="https://www.tiktok.com/@paupibeauty/video/7397104051248188704"/>
        <s v="https://www.tiktok.com/@paupibeauty/video/7409632617487699233?_r=1&amp;_t=8pifPT1JA5h"/>
        <s v="https://www.tiktok.com/@paupibeauty/video/7422233100345806113?_r=1&amp;_t=8qHw0Tc0W3d"/>
        <s v="https://www.tiktok.com/@paupibeauty/video/7433470283073244449"/>
        <s v="https://vm.tiktok.com/ZGdLKEWpH/"/>
        <s v="https://www.tiktok.com/@paupibeauty/video/7469447565080005910"/>
        <s v="https://www.tiktok.com/@paupibeauty/video/7483230429919677718?_r=1&amp;u_code=db2iba9fkd722g&amp;preview_pb=0&amp;sharer_language=fr&amp;_d=e50dm7j0f1glif&amp;share_item_id=7483230429919677718&amp;source=h5_m&amp;timestamp=1742383722&amp;utm_source=copy&amp;tt_from=copy&amp;enable_checksum=1&amp;ut"/>
        <s v="https://vm.tiktok.com/ZNdr6B5df/  https://vm.tiktok.com/ZNdr62oeS/"/>
        <s v="https://www.tiktok.com/@paupibeauty/video/7390429662033251617"/>
        <s v="https://www.tiktok.com/@paupibeauty/video/7364899892755565857"/>
        <s v="https://www.tiktok.com/@paupibeauty/video/7400829639158992161"/>
        <s v="https://www.tiktok.com/@paupibeauty/video/7403338641294101793?_r=1&amp;_t=8otMyM33Aq9"/>
        <s v="https://www.tiktok.com/@paupibeauty/video/7419986303070129441"/>
        <s v="https://www.tiktok.com/@perrine.trp/video/7388970033046736161"/>
        <s v="https://www.tiktok.com/@perrine.trp/video/7391934268479425825"/>
        <s v="https://www.tiktok.com/@perrine.trp/video/7388938973533490465"/>
        <s v="https://www.tiktok.com/@perrine.trp/video/7404526978864270625"/>
        <s v="https://www.tiktok.com/@perrine.trp/video/7416397579652549920"/>
        <s v="https://www.tiktok.com/@perrine.trp/video/7420481706290990368"/>
        <s v="https://www.tiktok.com/@perrine.trp/video/7432357615906082081?lang=en"/>
        <s v="https://www.tiktok.com/@perrine.trp/video/7470594564579921174?_t=ZN-8trcT1kEJTq&amp;_r=1"/>
        <s v="https://www.tiktok.com/@romlabordelaise/photo/7374826918236949793?_d=secCgYIASAHKAESPgo8q9siUnZtyE0109XMp5dx3cMmVFVIaMGy%2BlAK8UtWtglSCdVgBy%2FzSdjJmzYWsISFC9%2B%2FlyF04TxmdiBEGgA%3D&amp;_r=1&amp;checksum=76ea1d67e0b71fc0c1e121f4b86c89eead08caa18274e51cbd7e8fffc4"/>
        <s v="https://www.tiktok.com/@romlabordelaise/video/7367768975154990369"/>
        <s v="https://www.tiktok.com/@iimslma/video/7437910864826486048?_r=1&amp;_t=8rRi7SCy1Ka"/>
        <s v="https://www.tiktok.com/@iimslma/video/7396769960623738145"/>
        <s v="https://www.tiktok.com/@iimslma/video/7403774825702886688"/>
        <s v="https://www.tiktok.com/@iimslma/video/7399725613407309089"/>
        <s v="https://www.tiktok.com/@iimslma/video/7400436730320456993"/>
        <s v="https://www.tiktok.com/@iimslma/video/7407485284817882401"/>
        <s v="https://www.tiktok.com/@iimslma/video/7412021525198425376"/>
        <s v="https://www.tiktok.com/@iimslma/video/7408622473912061216"/>
        <s v="https://www.tiktok.com/@iimslma/video/7413780170781347105"/>
        <s v="https://www.tiktok.com/@iimslma/video/7431628369067838753?lang=en"/>
        <s v="https://www.tiktok.com/@iimslma/video/7435745133313805601?_r=1&amp;_t=8rleTqgb0vG"/>
        <s v="https://www.tiktok.com/@iimslma/video/7468747433061944599?lang=en"/>
        <s v="https://www.tiktok.com/@iimslma/video/7468781724462337302?lang=en"/>
        <s v="https://www.tiktok.com/@iimslma/video/7472835179187424534?lang=en"/>
        <s v="https://www.tiktok.com/@iimslma/video/7481752779980147990?_t=ZN-8ugXSybaIEw&amp;_r=1"/>
        <s v="https://www.tiktok.com/@iimslma/video/7483594182083218710?_r=1&amp;_t=ZN-8uox8rOjAzm"/>
        <s v="https://vm.tiktok.com/ZNdrrBuVK/"/>
      </sharedItems>
    </cacheField>
    <cacheField name="X">
      <sharedItems containsBlank="1" containsMixedTypes="1" containsNumber="1" containsInteger="1">
        <m/>
        <n v="350.0"/>
        <n v="420.0"/>
        <n v="320.0"/>
        <s v="https://www.instagram.com/reel/DEKlEAhCcsg/"/>
        <s v="ANAIS-10 Il offre -10% de réduction sur une commande sans minimum d’achat, hors frais de port, valable jusqu’au 30/04/2025"/>
        <s v="envoyer facture en anglais"/>
        <s v="deja facture"/>
        <s v="500 médiat"/>
        <s v="dont 150 de médiat"/>
        <s v="envoyer facture en €"/>
        <s v="médiat à confirmer 202,50€"/>
        <s v="ajouter code promo"/>
        <s v="lien en bio"/>
        <s v="rembourser Produits"/>
        <s v="facture déjà envoyée"/>
        <s v="enlever 75 media à facturer plus tard"/>
      </sharedItems>
    </cacheField>
    <cacheField name="Grapper" numFmtId="0">
      <sharedItems containsBlank="1">
        <s v="Oui"/>
        <s v="Non"/>
        <m/>
        <s v="Non "/>
      </sharedItems>
    </cacheField>
    <cacheField name="Date vente" numFmtId="164">
      <sharedItems containsDate="1" containsString="0" containsBlank="1">
        <d v="2024-03-01T00:00:00Z"/>
        <d v="2024-03-15T00:00:00Z"/>
        <m/>
        <d v="2024-03-30T00:00:00Z"/>
        <d v="2024-03-25T00:00:00Z"/>
        <d v="2024-04-08T00:00:00Z"/>
        <d v="2024-04-11T00:00:00Z"/>
        <d v="2024-03-21T00:00:00Z"/>
        <d v="2024-04-25T00:00:00Z"/>
        <d v="2024-04-19T00:00:00Z"/>
        <d v="2024-05-07T00:00:00Z"/>
        <d v="2024-05-06T00:00:00Z"/>
        <d v="2024-05-02T00:00:00Z"/>
        <d v="2024-05-13T00:00:00Z"/>
        <d v="2024-05-14T00:00:00Z"/>
        <d v="2024-03-20T00:00:00Z"/>
        <d v="2024-04-10T00:00:00Z"/>
        <d v="2024-05-30T00:00:00Z"/>
        <d v="2024-05-11T00:00:00Z"/>
        <d v="2024-04-30T00:00:00Z"/>
        <d v="2024-05-23T00:00:00Z"/>
        <d v="2024-05-16T00:00:00Z"/>
        <d v="2024-06-08T00:00:00Z"/>
        <d v="2024-06-20T00:00:00Z"/>
        <d v="2024-06-18T00:00:00Z"/>
        <d v="2024-06-12T00:00:00Z"/>
        <d v="2024-06-24T00:00:00Z"/>
        <d v="2024-06-11T00:00:00Z"/>
        <d v="2024-07-16T00:00:00Z"/>
        <d v="2024-07-25T00:00:00Z"/>
        <d v="2024-07-03T00:00:00Z"/>
        <d v="2024-06-17T00:00:00Z"/>
        <d v="2024-06-27T00:00:00Z"/>
        <d v="2024-07-06T00:00:00Z"/>
        <d v="2024-06-14T00:00:00Z"/>
        <d v="2024-07-24T00:00:00Z"/>
        <d v="2024-07-10T00:00:00Z"/>
        <d v="2024-08-01T00:00:00Z"/>
        <d v="2024-07-04T00:00:00Z"/>
        <d v="2024-07-23T00:00:00Z"/>
        <d v="2024-07-21T00:00:00Z"/>
        <d v="2024-08-06T00:00:00Z"/>
        <d v="2024-07-29T00:00:00Z"/>
        <d v="2024-07-30T00:00:00Z"/>
        <d v="2024-07-17T00:00:00Z"/>
        <d v="2024-08-02T00:00:00Z"/>
        <d v="2024-07-31T00:00:00Z"/>
        <d v="2024-08-21T00:00:00Z"/>
        <d v="2024-08-19T00:00:00Z"/>
        <d v="2024-08-13T00:00:00Z"/>
        <d v="2024-09-11T00:00:00Z"/>
        <d v="2024-08-16T00:00:00Z"/>
        <d v="2024-09-12T00:00:00Z"/>
        <d v="2024-08-23T00:00:00Z"/>
        <d v="2024-09-04T00:00:00Z"/>
        <d v="2025-05-20T00:00:00Z"/>
        <d v="2024-09-09T00:00:00Z"/>
        <d v="2024-08-28T00:00:00Z"/>
        <d v="2024-09-14T00:00:00Z"/>
        <d v="2024-09-13T00:00:00Z"/>
        <d v="2024-08-20T00:00:00Z"/>
        <d v="2024-09-26T00:00:00Z"/>
        <d v="2024-08-29T00:00:00Z"/>
        <d v="2025-05-13T00:00:00Z"/>
        <d v="2024-09-03T00:00:00Z"/>
        <d v="2024-09-27T00:00:00Z"/>
        <d v="2024-10-01T00:00:00Z"/>
        <d v="2025-05-07T00:00:00Z"/>
        <d v="2024-10-28T00:00:00Z"/>
        <d v="2024-09-10T00:00:00Z"/>
        <d v="2024-10-15T00:00:00Z"/>
        <d v="2024-10-29T00:00:00Z"/>
        <d v="2024-10-24T00:00:00Z"/>
        <d v="2024-10-02T00:00:00Z"/>
        <d v="2024-10-30T00:00:00Z"/>
        <d v="2024-10-14T00:00:00Z"/>
        <d v="2024-10-25T00:00:00Z"/>
        <d v="2024-11-05T00:00:00Z"/>
        <d v="2024-11-08T00:00:00Z"/>
        <d v="2024-11-04T00:00:00Z"/>
        <d v="2024-10-23T00:00:00Z"/>
        <d v="2024-11-29T00:00:00Z"/>
        <d v="2024-11-19T00:00:00Z"/>
        <d v="2024-12-09T00:00:00Z"/>
        <d v="2024-11-26T00:00:00Z"/>
        <d v="2024-11-25T00:00:00Z"/>
        <d v="2024-12-05T00:00:00Z"/>
        <d v="2024-12-16T00:00:00Z"/>
        <d v="2024-11-11T00:00:00Z"/>
        <d v="2024-12-03T00:00:00Z"/>
        <d v="2024-12-24T00:00:00Z"/>
        <d v="2025-02-20T00:00:00Z"/>
        <d v="2024-12-23T00:00:00Z"/>
        <d v="2025-01-07T00:00:00Z"/>
        <d v="2024-12-12T00:00:00Z"/>
        <d v="2025-01-21T00:00:00Z"/>
        <d v="2025-01-24T00:00:00Z"/>
        <d v="2025-01-17T00:00:00Z"/>
        <d v="2025-01-09T00:00:00Z"/>
        <d v="2025-01-27T00:00:00Z"/>
        <d v="2025-01-23T00:00:00Z"/>
        <d v="2024-10-22T00:00:00Z"/>
        <d v="2024-10-21T00:00:00Z"/>
        <d v="2025-01-22T00:00:00Z"/>
        <d v="2025-01-16T00:00:00Z"/>
        <d v="2025-02-12T00:00:00Z"/>
        <d v="2025-02-18T00:00:00Z"/>
        <d v="2025-01-29T00:00:00Z"/>
        <d v="2025-02-14T00:00:00Z"/>
        <d v="2025-02-15T00:00:00Z"/>
        <d v="2025-02-06T00:00:00Z"/>
        <d v="2025-02-21T00:00:00Z"/>
        <d v="2025-03-31T00:00:00Z"/>
        <d v="2025-02-26T00:00:00Z"/>
        <d v="2025-02-28T00:00:00Z"/>
        <d v="2025-02-25T00:00:00Z"/>
        <d v="2025-02-19T00:00:00Z"/>
        <d v="2025-03-11T00:00:00Z"/>
        <d v="2025-03-21T00:00:00Z"/>
        <d v="2025-03-12T00:00:00Z"/>
        <d v="2025-03-17T00:00:00Z"/>
        <d v="2025-03-24T00:00:00Z"/>
        <d v="2025-03-10T00:00:00Z"/>
        <d v="2025-03-14T00:00:00Z"/>
        <d v="2025-04-17T00:00:00Z"/>
        <d v="2025-03-16T00:00:00Z"/>
        <d v="2025-04-04T00:00:00Z"/>
        <d v="2025-04-07T00:00:00Z"/>
        <d v="2025-04-15T00:00:00Z"/>
        <d v="2025-04-25T00:00:00Z"/>
        <d v="2025-05-16T00:00:00Z"/>
        <d v="2025-04-14T00:00:00Z"/>
        <d v="2025-03-28T00:00:00Z"/>
        <d v="2025-03-06T00:00:00Z"/>
        <d v="2025-03-20T00:00:00Z"/>
        <d v="2025-04-09T00:00:00Z"/>
        <d v="2025-04-11T00:00:00Z"/>
        <d v="2025-03-13T00:00:00Z"/>
        <d v="2025-04-08T00:00:00Z"/>
        <d v="2025-04-30T00:00:00Z"/>
        <d v="2025-04-21T00:00:00Z"/>
        <d v="2025-06-02T00:00:00Z"/>
        <d v="2025-06-10T00:00:00Z"/>
        <d v="2025-03-30T00:00:00Z"/>
        <d v="2025-03-26T00:00:00Z"/>
        <d v="2025-06-20T00:00:00Z"/>
        <d v="2025-02-10T00:00:00Z"/>
        <d v="2025-05-19T00:00:00Z"/>
        <d v="2025-04-24T00:00:00Z"/>
        <d v="2025-06-26T00:00:00Z"/>
        <d v="2025-05-23T00:00:00Z"/>
        <d v="2025-05-06T00:00:00Z"/>
        <d v="2025-05-24T00:00:00Z"/>
        <d v="2025-06-05T00:00:00Z"/>
        <d v="2025-05-27T00:00:00Z"/>
        <d v="2025-06-12T00:00:00Z"/>
        <d v="2025-05-28T00:00:00Z"/>
        <d v="2025-06-16T00:00:00Z"/>
        <d v="2025-06-18T00:00:00Z"/>
        <d v="2025-06-11T00:00:00Z"/>
        <d v="2025-06-23T00:00:00Z"/>
        <d v="2025-02-03T00:00:00Z"/>
        <d v="2025-06-04T00:00:00Z"/>
        <d v="2025-05-22T00:00:00Z"/>
        <d v="2025-06-22T00:00:00Z"/>
        <d v="2025-07-16T00:00:00Z"/>
        <d v="2025-06-19T00:00:00Z"/>
        <d v="2025-07-01T00:00:00Z"/>
        <d v="2025-06-17T00:00:00Z"/>
        <d v="2025-06-13T00:00:00Z"/>
        <d v="2025-07-03T00:00:00Z"/>
        <d v="2024-10-18T00:00:00Z"/>
        <d v="2025-05-29T00:00:00Z"/>
        <d v="2025-06-30T00:00:00Z"/>
        <d v="2025-03-07T00:00:00Z"/>
        <d v="2024-09-08T00:00:00Z"/>
        <d v="2024-10-08T00:00:00Z"/>
        <d v="2024-11-13T00:00:00Z"/>
        <d v="2024-12-10T00:00:00Z"/>
        <d v="2024-12-04T00:00:00Z"/>
        <d v="2024-06-07T00:00:00Z"/>
        <d v="2024-05-31T00:00:00Z"/>
        <d v="2025-02-23T00:00:00Z"/>
        <d v="2024-11-07T00:00:00Z"/>
        <d v="2024-11-28T00:00:00Z"/>
        <d v="2024-12-18T00:00:00Z"/>
        <d v="2025-02-11T00:00:00Z"/>
        <d v="2025-02-07T00:00:00Z"/>
        <d v="2024-09-05T00:00:00Z"/>
        <d v="2024-12-13T00:00:00Z"/>
        <d v="2024-03-08T00:00:00Z"/>
        <d v="2024-04-22T00:00:00Z"/>
        <d v="2024-05-17T00:00:00Z"/>
        <d v="2024-04-24T00:00:00Z"/>
        <d v="2024-05-24T00:00:00Z"/>
        <d v="2024-07-19T00:00:00Z"/>
        <d v="2024-08-09T00:00:00Z"/>
        <d v="2024-07-01T00:00:00Z"/>
        <d v="2024-08-26T00:00:00Z"/>
        <d v="2024-09-17T00:00:00Z"/>
        <d v="2024-09-25T00:00:00Z"/>
        <d v="2024-09-30T00:00:00Z"/>
        <d v="2024-10-10T00:00:00Z"/>
        <d v="2024-12-02T00:00:00Z"/>
        <d v="2025-01-06T00:00:00Z"/>
        <d v="2025-01-13T00:00:00Z"/>
        <d v="2024-06-26T00:00:00Z"/>
        <d v="2024-08-07T00:00:00Z"/>
        <d v="2024-07-11T00:00:00Z"/>
        <d v="2024-09-16T00:00:00Z"/>
        <d v="2024-11-14T00:00:00Z"/>
        <d v="2024-03-22T00:00:00Z"/>
        <d v="2024-04-06T00:00:00Z"/>
        <d v="2024-04-07T00:00:00Z"/>
        <d v="2024-06-04T00:00:00Z"/>
        <d v="2024-10-11T00:00:00Z"/>
        <d v="2024-03-23T00:00:00Z"/>
        <d v="2024-04-04T00:00:00Z"/>
        <d v="2024-04-09T00:00:00Z"/>
        <d v="2024-05-21T00:00:00Z"/>
        <d v="2024-05-27T00:00:00Z"/>
        <d v="2024-08-27T00:00:00Z"/>
        <d v="2025-04-12T00:00:00Z"/>
        <d v="2024-02-28T00:00:00Z"/>
        <d v="2024-05-28T00:00:00Z"/>
        <d v="2024-09-23T00:00:00Z"/>
        <d v="2024-06-30T00:00:00Z"/>
        <d v="2024-09-20T00:00:00Z"/>
        <d v="2024-10-07T00:00:00Z"/>
        <d v="2024-03-27T00:00:00Z"/>
        <d v="2024-04-13T00:00:00Z"/>
        <d v="2024-04-27T00:00:00Z"/>
        <d v="2024-01-15T00:00:00Z"/>
        <d v="2024-01-14T00:00:00Z"/>
        <d v="2025-03-18T00:00:00Z"/>
        <d v="2024-05-18T00:00:00Z"/>
        <d v="2024-06-19T00:00:00Z"/>
        <d v="2024-10-09T00:00:00Z"/>
        <d v="2024-11-12T00:00:00Z"/>
        <d v="2024-12-19T00:00:00Z"/>
        <d v="2025-02-22T00:00:00Z"/>
        <d v="2024-03-26T00:00:00Z"/>
        <d v="2024-05-20T00:00:00Z"/>
        <d v="2024-07-08T00:00:00Z"/>
        <d v="2024-11-22T00:00:00Z"/>
        <d v="2024-10-31T00:00:00Z"/>
        <d v="2024-07-15T00:00:00Z"/>
        <d v="2024-09-24T00:00:00Z"/>
        <d v="2024-02-15T00:00:00Z"/>
        <d v="2024-04-26T00:00:00Z"/>
        <d v="2024-06-03T00:00:00Z"/>
        <d v="2024-04-12T00:00:00Z"/>
        <d v="2024-07-09T00:00:00Z"/>
        <d v="2024-09-29T00:00:00Z"/>
        <d v="2024-10-06T00:00:00Z"/>
        <d v="2024-10-16T00:00:00Z"/>
        <d v="2024-09-19T00:00:00Z"/>
        <d v="2024-03-28T00:00:00Z"/>
        <d v="2024-10-17T00:00:00Z"/>
        <d v="2025-04-29T00:00:00Z"/>
        <d v="2024-03-18T00:00:00Z"/>
        <d v="2024-08-14T00:00:00Z"/>
        <d v="2024-09-01T00:00:00Z"/>
        <d v="2024-11-15T00:00:00Z"/>
        <d v="2025-01-03T00:00:00Z"/>
        <d v="2024-07-18T00:00:00Z"/>
        <d v="2025-07-11T00:00:00Z"/>
        <d v="2025-07-18T00:00:00Z"/>
        <d v="2025-07-21T00:00:00Z"/>
        <d v="2025-07-22T00:00:00Z"/>
        <d v="2025-07-24T00:00:00Z"/>
        <d v="2025-07-25T00:00:00Z"/>
        <d v="2025-07-28T00:00:00Z"/>
        <d v="2025-06-24T00:00:00Z"/>
        <d v="2025-06-27T00:00:00Z"/>
        <d v="2025-01-31T00:00:00Z"/>
      </sharedItems>
    </cacheField>
    <cacheField name="Commission" numFmtId="166">
      <sharedItems containsString="0" containsBlank="1" containsNumber="1">
        <n v="14.0"/>
        <m/>
        <n v="40.0"/>
        <n v="125.0"/>
        <n v="20.0"/>
        <n v="130.0"/>
        <n v="112.5"/>
        <n v="157.48"/>
        <n v="50.0"/>
        <n v="450.0"/>
        <n v="43.75"/>
        <n v="62.5"/>
        <n v="200.0"/>
        <n v="45.0"/>
        <n v="46.0"/>
        <n v="75.0"/>
        <n v="90.0"/>
        <n v="16.0"/>
        <n v="37.5"/>
        <n v="150.0"/>
        <n v="87.5"/>
        <n v="159.29999999999998"/>
        <n v="100.0"/>
        <n v="135.0"/>
        <n v="60.32"/>
        <n v="250.0"/>
        <n v="30.0"/>
        <n v="22.5"/>
        <n v="82.5"/>
        <n v="41.25"/>
        <n v="70.0"/>
        <n v="120.0"/>
        <n v="60.0"/>
        <n v="180.0"/>
        <n v="80.0"/>
        <n v="105.0"/>
        <n v="157.944"/>
        <n v="312.5"/>
        <n v="209.76000000000002"/>
        <n v="71.587"/>
        <n v="34.6"/>
        <n v="360.0"/>
        <n v="187.5"/>
        <n v="210.0"/>
        <n v="117.99"/>
        <n v="540.0"/>
        <n v="114.75"/>
        <n v="97.5"/>
        <n v="0.0"/>
        <n v="195.0"/>
        <n v="34.0"/>
        <n v="240.0"/>
        <n v="225.0"/>
        <n v="300.0"/>
        <n v="58.5"/>
        <n v="285.0"/>
        <n v="253.125"/>
        <n v="15.0"/>
        <n v="600.0"/>
        <n v="99.99999999999999"/>
        <n v="270.0"/>
        <n v="174.6"/>
        <n v="58.2"/>
        <n v="291.0"/>
        <n v="175.0"/>
        <n v="555.0"/>
        <n v="375.0"/>
        <n v="282.0"/>
        <n v="750.0"/>
        <n v="255.0"/>
        <n v="330.0"/>
        <n v="202.5"/>
        <n v="165.6"/>
        <n v="165.039"/>
        <n v="420.0"/>
        <n v="281.25"/>
        <n v="118.52699999999999"/>
        <n v="123.21600000000001"/>
        <n v="165.0"/>
        <n v="152.49"/>
        <n v="111.0"/>
        <n v="390.0"/>
        <n v="147.861"/>
        <n v="33.333333333333336"/>
        <n v="989.4"/>
        <n v="199.99999999999997"/>
        <n v="186.0"/>
        <n v="33.75"/>
        <n v="65.22"/>
        <n v="500.0"/>
        <n v="937.5"/>
        <n v="93.0"/>
        <n v="264.0"/>
        <n v="387.0"/>
        <n v="252.0"/>
        <n v="180.6"/>
        <n v="57.0"/>
        <n v="1733.0"/>
        <n v="140.0"/>
        <n v="25.0"/>
        <n v="56.25"/>
        <n v="235.0"/>
        <n v="26.0"/>
        <n v="28.8"/>
        <n v="280.0"/>
        <n v="900.0"/>
        <n v="1350.0"/>
        <n v="176.4"/>
        <n v="117.8175"/>
      </sharedItems>
    </cacheField>
    <cacheField name="Facture envoyé" numFmtId="4">
      <sharedItems containsBlank="1">
        <b v="1"/>
        <b v="0"/>
        <m/>
      </sharedItems>
    </cacheField>
    <cacheField name="Mail" numFmtId="0">
      <sharedItems containsBlank="1">
        <m/>
        <s v="fgirault3@gmail.com"/>
        <s v="lilyy.nl@grapperagency.com"/>
        <s v="orane.baron1403@gmail.com"/>
        <e v="#N/A"/>
        <s v="imlolytahproacc@gmail.com"/>
        <s v="cmepls.pro@gmail.com"/>
        <s v="lola140204@gmail.com"/>
        <s v="juliane.bernard57@icloud.com"/>
        <s v="linamokrane75@yahoo.fr"/>
        <s v="alicemauguin.l@gmail.com"/>
        <s v="lauclr.pro@gmail.com"/>
        <s v="chiara@grapperagency.com"/>
        <s v="terpperrine@gmail.com"/>
        <s v="lovelyMytb@gmail.com "/>
        <s v="pauline@grapperagency.com"/>
        <s v="liserdg.pro@gmail.com "/>
        <s v="jeannebayart@gmail.com"/>
        <s v="marylinezh@gmail.com "/>
        <s v="anaiswry@yahoo.fr"/>
        <s v="iimslmapro@outlook.fr"/>
        <s v="shaaadl.pro@gmail.com"/>
        <s v="jasminepro26@icloud.com "/>
        <s v="asmae-nemar@hotmail.fr "/>
        <s v="truttirachel@gmail.com"/>
        <s v="arwen.mechineau@outlook.fr"/>
        <s v="ciman530@gmail.com"/>
        <s v="moped@grapperagency.com"/>
        <s v="Douns.collab@gmail.com"/>
        <s v="hello.gurbet@gmail.com "/>
        <s v="amani.mee10@gmail.com"/>
        <s v="hidaya.7bl@gmail.com "/>
        <s v="Sirine.yza@gmail.com"/>
        <s v="aubeneauu@gmail.com "/>
        <s v="stzmarine6@gmail.com"/>
        <s v="c_15e3504fd6fde5b88106b6d99934e830e051067bbd4af855bfd432d30fc2f262@group.calendar.google.com"/>
        <s v="Lyassa.ospro@gmail.com "/>
        <s v="farahdisiaque@gmail.com"/>
        <s v="nidal.daghmi.pro@gmail.com "/>
        <s v="contact.amandambt@gmail.com "/>
        <s v="Fontanel.lily@gmail.com"/>
      </sharedItems>
    </cacheField>
    <cacheField name="Event Brouillon" numFmtId="0">
      <sharedItems containsBlank="1">
        <m/>
        <b v="0"/>
        <b v="1"/>
      </sharedItems>
    </cacheField>
    <cacheField name="Calendar ID pour brouillon" numFmtId="0">
      <sharedItems containsBlank="1">
        <m/>
        <s v="c_b412638d97e7dcffa392ccd62e6d5e2eccb052c0c08de7e1e7d547811d81c44c@group.calendar.google.com"/>
        <s v="c_665764ca21c8e4b3814e25bf24bc7074fa55890dce5d4073abb0fdddc70649d4@group.calendar.google.com"/>
        <s v="c_b9aea0629908ddbafe7229688ea55dc9d65b9e6b1a8ed4492c7ca84aa703d076@group.calendar.google.com"/>
        <e v="#N/A"/>
        <s v="c_007bb5dfd61adc34e7d7f1093213e03f31b2abfb546bee3afc00b412de414680@group.calendar.google.com"/>
        <s v="c_15e3504fd6fde5b88106b6d99934e830e051067bbd4af855bfd432d30fc2f262@group.calendar.google.com"/>
        <s v="Done"/>
        <s v="c_8f3f6ef786f2df9238426a478307dbddffb576ace587133cfa65ca553e2f967a@group.calendar.google.com"/>
        <s v="c_f6970d92e9be72b1307e3c015a265d69ae87140c691e7728bc83462544d82455@group.calendar.google.com"/>
        <s v="c_569af196f9b5e28fc536ca0422e6405e6d4e402300b9504eaa944f45c672daff@group.calendar.google.com"/>
        <s v="c_d711460494b2c9d7a466bc3cd0cd029a9c5b76b083052f7dc41ad949a3753d20@group.calendar.google.com"/>
        <s v="c_a715193c206b2aa1e4b81b8a3772df33bf92c92611202a890a6bccecb2131fcb@group.calendar.google.com"/>
        <s v="c_68f94d9ebfae6399f09ec01b19d2012d5d2b7c5efbd47328c79c373cbeec7a5b@group.calendar.google.com"/>
        <s v="c_3454aaede6db5cd8de24b4c70b8c6f3570b98e436e1f71e91d12b7a673ab3f97@group.calendar.google.com"/>
        <s v="c_2754856c5047affc6767bb85fb787591389bf7d14d3afd368efdff9979492ab5@group.calendar.google.com"/>
        <s v="c_9384058245a0bc66157c09691047ea8f88622323c6761b8606c18d9b08ee0bf8@group.calendar.google.com"/>
        <s v="c_b534e1be73647e660d74cbb308a8c39b0102a8b56261b3886e0967d9ee34f368@group.calendar.google.com"/>
        <s v="c_8d6793f7bb6abb58456593287891e1c91528d006316df4ef7bdb59fa0d40b64f@group.calendar.google.com"/>
        <s v="c_35f3aada7c9c0ba626ac56e6cf10c5959c56663450ffd058a5bdc005508d0954@group.calendar.google.com"/>
        <s v="c_14943542450de5ffc0c20a93db15c7c0757a89aaa373292182138a3a691be245@group.calendar.google.com"/>
        <s v="c_df86b3d6c5aa83af7e7dadc1108907ecb89d8fc7e4b645a62e375b31e7b5e3a3@group.calendar.google.com"/>
        <s v="c_0d9eaa4cfb55a8e552117f53a91a7c3c2f5164632253d0e265f7de4e3a4737c4@group.calendar.google.com"/>
        <s v="c_2208b8e561439ebc2637feb15fe2d308d5719cc64460071de6ba0c674eba6118@group.calendar.google.com"/>
        <s v="c_db1fbd259183311b30d5bfa9e5494d85e4aa71562c2d699763ba11e15f3e8a3b@group.calendar.google.com"/>
        <s v="c_a80d776e58d8881ef4e876da99555e813842eeed9733f23e6f4b85d237e1fdec@group.calendar.google.com"/>
        <s v="c_3d8e6f3013c2064d1cf20c38ef5246d33ef6635ebbbd3c9abb7c506fa9eefde3@group.calendar.google.com"/>
        <s v="c_0fe46f911aa7c417189a62fdd8716ddaaef232a02bd45c49b9c02c6d6e2e4815@group.calendar.google.com"/>
        <s v="c_4bf2087a99450838a520f4ce4fc6de01f87130a4f381347449792eaf1546cc46@group.calendar.google.com"/>
        <s v="c_056be6e79a6fa62e8f2a68280313995615b47a17f2b3679481d262413ec95701@group.calendar.google.com"/>
        <s v="c_82243c858a94977b161cc883035793aa376a03b467dcc33d001d9ca49835cdb3@group.calendar.google.com"/>
        <s v="c_d2ee2c2110f1f2bc5b089d0edb8b480581f78d93077274c225fcfc530518b2ca@group.calendar.google.com"/>
        <s v="c_c2a91e309d1b6dc37cabc837fe79ebdcdbabcaff13a6376ec109ab3d73862812@group.calendar.google.com"/>
        <s v="c_2ab5bc877123c6d06b681700306d382bcc765d7810badc543daeacf05260ecd9@group.calendar.google.com"/>
        <s v="Error: Calendar not found!"/>
        <s v="c_311aaffc8651807276a982d2e3621559621998746b9adad33a9304b73b24dbd9@group.calendar.google.com"/>
        <s v="c_3049f29ec7ef21ab890fb708cade8a20fa94574faa4b9a9f528d8a665fbc6262@group.calendar.google.com"/>
        <s v="c_ebde6df3eb6b0899fbe6696247d2e4255b950c6e1d491bbce480648f603c2f22@group.calendar.google.com"/>
        <s v="c_6fd5f3c25278bd569c413814d6452fc4f9cb936bb38174e89b1cb54f9ec7c89d@group.calendar.google.com"/>
        <s v="c_63ea68c9b2bd76e0f3279abf94d6d8255c36c6dc090b9a1df4d31db84c3a049c@group.calendar.google.com"/>
        <s v="Error: The parameters (String,String,(class)) don't match the method signature for CalendarApp.Calendar.createAllDayEvent."/>
        <s v="c_ef2f5a817a776785477f597bd1081d6a57d8380a8013026b8ce9895920f902e2@group.calendar.google.com"/>
        <s v="c_82544f5a034269c2d78a04494afd80a3940635f25bd2a7f23eb7c2af3d0dd46f@group.calendar.google.com"/>
      </sharedItems>
    </cacheField>
    <cacheField name="Event Post" numFmtId="0">
      <sharedItems containsBlank="1">
        <m/>
        <b v="0"/>
        <b v="1"/>
      </sharedItems>
    </cacheField>
    <cacheField name="Calendar ID Post" numFmtId="0">
      <sharedItems containsBlank="1">
        <m/>
        <s v="c_b412638d97e7dcffa392ccd62e6d5e2eccb052c0c08de7e1e7d547811d81c44c@group.calendar.google.com"/>
        <s v="c_665764ca21c8e4b3814e25bf24bc7074fa55890dce5d4073abb0fdddc70649d4@group.calendar.google.com"/>
        <s v="Done"/>
        <e v="#N/A"/>
        <s v="c_b9aea0629908ddbafe7229688ea55dc9d65b9e6b1a8ed4492c7ca84aa703d076@group.calendar.google.com"/>
        <s v="c_8f3f6ef786f2df9238426a478307dbddffb576ace587133cfa65ca553e2f967a@group.calendar.google.com"/>
        <s v="c_f6970d92e9be72b1307e3c015a265d69ae87140c691e7728bc83462544d82455@group.calendar.google.com"/>
        <s v="c_569af196f9b5e28fc536ca0422e6405e6d4e402300b9504eaa944f45c672daff@group.calendar.google.com"/>
        <s v="c_d711460494b2c9d7a466bc3cd0cd029a9c5b76b083052f7dc41ad949a3753d20@group.calendar.google.com"/>
        <s v="c_a715193c206b2aa1e4b81b8a3772df33bf92c92611202a890a6bccecb2131fcb@group.calendar.google.com"/>
        <s v="c_007bb5dfd61adc34e7d7f1093213e03f31b2abfb546bee3afc00b412de414680@group.calendar.google.com"/>
        <s v="c_15e3504fd6fde5b88106b6d99934e830e051067bbd4af855bfd432d30fc2f262@group.calendar.google.com"/>
        <s v="Error: Invalid dates"/>
        <s v="c_6fd5f3c25278bd569c413814d6452fc4f9cb936bb38174e89b1cb54f9ec7c89d@group.calendar.google.com"/>
        <s v="c_3d8e6f3013c2064d1cf20c38ef5246d33ef6635ebbbd3c9abb7c506fa9eefde3@group.calendar.google.com"/>
        <s v="c_68f94d9ebfae6399f09ec01b19d2012d5d2b7c5efbd47328c79c373cbeec7a5b@group.calendar.google.com"/>
        <s v="c_3454aaede6db5cd8de24b4c70b8c6f3570b98e436e1f71e91d12b7a673ab3f97@group.calendar.google.com"/>
        <s v="c_2754856c5047affc6767bb85fb787591389bf7d14d3afd368efdff9979492ab5@group.calendar.google.com"/>
        <s v="c_9384058245a0bc66157c09691047ea8f88622323c6761b8606c18d9b08ee0bf8@group.calendar.google.com"/>
        <s v="Error: Calendar not found!"/>
        <s v="c_8d6793f7bb6abb58456593287891e1c91528d006316df4ef7bdb59fa0d40b64f@group.calendar.google.com"/>
        <s v="c_35f3aada7c9c0ba626ac56e6cf10c5959c56663450ffd058a5bdc005508d0954@group.calendar.google.com"/>
        <s v="c_14943542450de5ffc0c20a93db15c7c0757a89aaa373292182138a3a691be245@group.calendar.google.com"/>
        <s v="c_df86b3d6c5aa83af7e7dadc1108907ecb89d8fc7e4b645a62e375b31e7b5e3a3@group.calendar.google.com"/>
        <s v="c_0d9eaa4cfb55a8e552117f53a91a7c3c2f5164632253d0e265f7de4e3a4737c4@group.calendar.google.com"/>
        <s v="c_d2ee2c2110f1f2bc5b089d0edb8b480581f78d93077274c225fcfc530518b2ca@group.calendar.google.com"/>
        <s v="c_db1fbd259183311b30d5bfa9e5494d85e4aa71562c2d699763ba11e15f3e8a3b@group.calendar.google.com"/>
        <s v="c_a80d776e58d8881ef4e876da99555e813842eeed9733f23e6f4b85d237e1fdec@group.calendar.google.com"/>
        <s v="c_2208b8e561439ebc2637feb15fe2d308d5719cc64460071de6ba0c674eba6118@group.calendar.google.com"/>
        <s v="c_b534e1be73647e660d74cbb308a8c39b0102a8b56261b3886e0967d9ee34f368@group.calendar.google.com"/>
        <s v="c_0fe46f911aa7c417189a62fdd8716ddaaef232a02bd45c49b9c02c6d6e2e4815@group.calendar.google.com"/>
        <s v="c_056be6e79a6fa62e8f2a68280313995615b47a17f2b3679481d262413ec95701@group.calendar.google.com"/>
        <s v="c_4bf2087a99450838a520f4ce4fc6de01f87130a4f381347449792eaf1546cc46@group.calendar.google.com"/>
        <s v="c_82243c858a94977b161cc883035793aa376a03b467dcc33d001d9ca49835cdb3@group.calendar.google.com"/>
        <s v="c_c2a91e309d1b6dc37cabc837fe79ebdcdbabcaff13a6376ec109ab3d73862812@group.calendar.google.com"/>
        <s v="c_311aaffc8651807276a982d2e3621559621998746b9adad33a9304b73b24dbd9@group.calendar.google.com"/>
        <s v="c_3049f29ec7ef21ab890fb708cade8a20fa94574faa4b9a9f528d8a665fbc6262@group.calendar.google.com"/>
        <s v="c_ebde6df3eb6b0899fbe6696247d2e4255b950c6e1d491bbce480648f603c2f22@group.calendar.google.com"/>
        <s v="c_2ab5bc877123c6d06b681700306d382bcc765d7810badc543daeacf05260ecd9@group.calendar.google.com"/>
        <s v="c_ef2f5a817a776785477f597bd1081d6a57d8380a8013026b8ce9895920f902e2@group.calendar.google.com"/>
        <s v="c_82544f5a034269c2d78a04494afd80a3940635f25bd2a7f23eb7c2af3d0dd46f@group.calendar.google.com"/>
      </sharedItems>
    </cacheField>
    <cacheField name="Date Estimée de Réception" numFmtId="0">
      <sharedItems containsDate="1" containsString="0" containsBlank="1">
        <m/>
        <d v="2024-09-04T00:00:00Z"/>
      </sharedItems>
    </cacheField>
    <cacheField name="Date Réelle de Réception" numFmtId="0">
      <sharedItems containsString="0" containsBlank="1">
        <m/>
      </sharedItems>
    </cacheField>
    <cacheField name="Status Colis" numFmtId="0">
      <sharedItems containsBlank="1">
        <m/>
        <s v="Reçu"/>
        <s v="Pas reçu"/>
        <s v="En Attente"/>
      </sharedItems>
    </cacheField>
    <cacheField name="Commentaires" numFmtId="0">
      <sharedItems containsString="0" containsBlank="1">
        <m/>
      </sharedItems>
    </cacheField>
    <cacheField name="ID Form" numFmtId="0">
      <sharedItems containsBlank="1">
        <m/>
        <s v="1F40mnL3JpqXpe0o5qrbDG4GuV9h68eR7gA-3pUAyNHM"/>
      </sharedItems>
    </cacheField>
  </cacheFields>
</pivotCacheDefinition>
</file>

<file path=xl/pivotCache/pivotCacheDefinition14.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B999" sheet="Collab Voulues"/>
  </cacheSource>
  <cacheFields>
    <cacheField name="Talent" numFmtId="0">
      <sharedItems containsBlank="1">
        <e v="#VALUE!"/>
        <m/>
      </sharedItems>
    </cacheField>
    <cacheField name="Marque" numFmtId="0">
      <sharedItems containsString="0" containsBlank="1">
        <m/>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4.xml"/></Relationships>
</file>

<file path=xl/pivotTables/pivotTable1.xml><?xml version="1.0" encoding="utf-8"?>
<pivotTableDefinition xmlns="http://schemas.openxmlformats.org/spreadsheetml/2006/main" name="Pending" cacheId="0" dataCaption="" compact="0" compactData="0">
  <location ref="A7:C22" firstHeaderRow="0" firstDataRow="2" firstDataCol="0" rowPageCount="5" colPageCount="1"/>
  <pivotFields>
    <pivotField name="Talent" axis="axisRow" compact="0" outline="0" multipleItemSelectionAllowed="1" showAll="0" sortType="ascending">
      <items>
        <item x="51"/>
        <item x="21"/>
        <item x="11"/>
        <item x="49"/>
        <item x="30"/>
        <item x="52"/>
        <item x="19"/>
        <item x="53"/>
        <item x="25"/>
        <item x="23"/>
        <item x="3"/>
        <item x="1"/>
        <item x="45"/>
        <item x="28"/>
        <item x="38"/>
        <item x="33"/>
        <item x="40"/>
        <item x="54"/>
        <item x="39"/>
        <item x="6"/>
        <item x="50"/>
        <item x="29"/>
        <item x="60"/>
        <item x="31"/>
        <item x="26"/>
        <item x="34"/>
        <item x="22"/>
        <item x="16"/>
        <item x="7"/>
        <item x="10"/>
        <item x="41"/>
        <item x="61"/>
        <item x="46"/>
        <item x="62"/>
        <item x="12"/>
        <item x="55"/>
        <item x="47"/>
        <item x="48"/>
        <item x="4"/>
        <item x="5"/>
        <item x="15"/>
        <item x="9"/>
        <item x="43"/>
        <item x="59"/>
        <item x="35"/>
        <item x="56"/>
        <item x="17"/>
        <item x="2"/>
        <item x="18"/>
        <item x="57"/>
        <item x="27"/>
        <item x="14"/>
        <item x="44"/>
        <item x="42"/>
        <item x="8"/>
        <item x="0"/>
        <item x="13"/>
        <item x="24"/>
        <item x="58"/>
        <item x="20"/>
        <item x="37"/>
        <item x="32"/>
        <item x="36"/>
        <item t="default"/>
      </items>
    </pivotField>
    <pivotField name="Date Création"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t="default"/>
      </items>
    </pivotField>
    <pivotField name="Marque" axis="axisRow" compact="0" numFmtId="3" outline="0" multipleItemSelectionAllowed="1" showAll="0" sortType="ascending">
      <items>
        <item x="41"/>
        <item x="55"/>
        <item x="232"/>
        <item x="83"/>
        <item x="26"/>
        <item x="6"/>
        <item x="206"/>
        <item x="56"/>
        <item x="124"/>
        <item x="103"/>
        <item x="223"/>
        <item x="104"/>
        <item x="101"/>
        <item x="25"/>
        <item x="81"/>
        <item x="42"/>
        <item x="162"/>
        <item x="61"/>
        <item x="37"/>
        <item x="163"/>
        <item x="181"/>
        <item x="159"/>
        <item x="113"/>
        <item x="222"/>
        <item x="19"/>
        <item x="194"/>
        <item x="176"/>
        <item x="87"/>
        <item x="0"/>
        <item x="71"/>
        <item x="79"/>
        <item x="146"/>
        <item x="237"/>
        <item x="78"/>
        <item x="74"/>
        <item x="234"/>
        <item x="144"/>
        <item x="136"/>
        <item x="116"/>
        <item x="122"/>
        <item x="125"/>
        <item x="246"/>
        <item x="24"/>
        <item x="164"/>
        <item x="34"/>
        <item x="54"/>
        <item x="82"/>
        <item x="213"/>
        <item x="70"/>
        <item x="182"/>
        <item x="238"/>
        <item x="166"/>
        <item x="110"/>
        <item x="170"/>
        <item x="139"/>
        <item x="43"/>
        <item x="45"/>
        <item x="173"/>
        <item x="36"/>
        <item x="66"/>
        <item x="17"/>
        <item x="243"/>
        <item x="21"/>
        <item x="196"/>
        <item x="127"/>
        <item x="31"/>
        <item x="48"/>
        <item x="226"/>
        <item x="105"/>
        <item x="172"/>
        <item x="86"/>
        <item x="138"/>
        <item x="180"/>
        <item x="200"/>
        <item x="224"/>
        <item x="148"/>
        <item x="128"/>
        <item x="153"/>
        <item x="50"/>
        <item x="175"/>
        <item x="171"/>
        <item x="20"/>
        <item x="12"/>
        <item x="152"/>
        <item x="27"/>
        <item x="98"/>
        <item x="60"/>
        <item x="210"/>
        <item x="8"/>
        <item x="191"/>
        <item x="197"/>
        <item x="236"/>
        <item x="142"/>
        <item x="57"/>
        <item x="77"/>
        <item x="214"/>
        <item x="88"/>
        <item x="134"/>
        <item x="95"/>
        <item x="168"/>
        <item x="35"/>
        <item x="106"/>
        <item x="158"/>
        <item x="217"/>
        <item x="84"/>
        <item x="157"/>
        <item x="126"/>
        <item x="189"/>
        <item x="209"/>
        <item x="10"/>
        <item x="187"/>
        <item x="195"/>
        <item x="211"/>
        <item x="64"/>
        <item x="59"/>
        <item x="201"/>
        <item x="178"/>
        <item x="112"/>
        <item x="228"/>
        <item x="38"/>
        <item x="46"/>
        <item x="32"/>
        <item x="135"/>
        <item x="121"/>
        <item x="235"/>
        <item x="151"/>
        <item x="208"/>
        <item x="93"/>
        <item x="215"/>
        <item x="14"/>
        <item x="169"/>
        <item x="69"/>
        <item x="154"/>
        <item x="167"/>
        <item x="183"/>
        <item x="90"/>
        <item x="9"/>
        <item x="216"/>
        <item x="202"/>
        <item x="97"/>
        <item x="129"/>
        <item x="117"/>
        <item x="220"/>
        <item x="155"/>
        <item x="28"/>
        <item x="53"/>
        <item x="49"/>
        <item x="58"/>
        <item x="62"/>
        <item x="29"/>
        <item x="212"/>
        <item x="92"/>
        <item x="244"/>
        <item x="51"/>
        <item x="199"/>
        <item x="73"/>
        <item x="160"/>
        <item x="179"/>
        <item x="219"/>
        <item x="218"/>
        <item x="100"/>
        <item x="242"/>
        <item x="33"/>
        <item x="245"/>
        <item x="63"/>
        <item x="186"/>
        <item x="119"/>
        <item x="221"/>
        <item x="188"/>
        <item x="115"/>
        <item x="241"/>
        <item x="75"/>
        <item x="102"/>
        <item x="99"/>
        <item x="11"/>
        <item x="107"/>
        <item x="131"/>
        <item x="111"/>
        <item x="165"/>
        <item x="133"/>
        <item x="120"/>
        <item x="193"/>
        <item x="72"/>
        <item x="192"/>
        <item x="65"/>
        <item x="150"/>
        <item x="2"/>
        <item x="149"/>
        <item x="15"/>
        <item x="233"/>
        <item x="91"/>
        <item x="89"/>
        <item x="109"/>
        <item x="18"/>
        <item x="190"/>
        <item x="230"/>
        <item x="143"/>
        <item x="76"/>
        <item x="40"/>
        <item x="3"/>
        <item x="174"/>
        <item x="123"/>
        <item x="16"/>
        <item x="13"/>
        <item x="22"/>
        <item x="52"/>
        <item x="203"/>
        <item x="94"/>
        <item x="7"/>
        <item x="118"/>
        <item x="239"/>
        <item x="44"/>
        <item x="207"/>
        <item x="130"/>
        <item x="205"/>
        <item x="240"/>
        <item x="5"/>
        <item x="23"/>
        <item x="161"/>
        <item x="145"/>
        <item x="184"/>
        <item x="198"/>
        <item x="204"/>
        <item x="177"/>
        <item x="96"/>
        <item x="156"/>
        <item x="68"/>
        <item x="227"/>
        <item x="30"/>
        <item x="141"/>
        <item x="147"/>
        <item x="67"/>
        <item x="80"/>
        <item x="47"/>
        <item x="229"/>
        <item x="185"/>
        <item x="1"/>
        <item x="39"/>
        <item x="114"/>
        <item x="231"/>
        <item x="137"/>
        <item x="225"/>
        <item x="140"/>
        <item x="132"/>
        <item x="108"/>
        <item x="4"/>
        <item x="85"/>
        <item t="default"/>
      </items>
    </pivotField>
    <pivotField name="Compléme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t="default"/>
      </items>
    </pivotField>
    <pivotField name=" Brouillon draft" axis="axisPa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t="default"/>
      </items>
    </pivotField>
    <pivotField name="Date Débu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t="default"/>
      </items>
    </pivotField>
    <pivotField name="Date Fin" axis="axisPa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t="default"/>
      </items>
    </pivotField>
    <pivotField name="Status" axis="axisPage" compact="0" outline="0" multipleItemSelectionAllowed="1" showAll="0">
      <items>
        <item h="1" x="0"/>
        <item h="1" x="1"/>
        <item h="1" x="2"/>
        <item h="1" x="3"/>
        <item h="1" x="4"/>
        <item x="5"/>
        <item h="1" x="6"/>
        <item h="1" x="7"/>
        <item t="default"/>
      </items>
    </pivotField>
    <pivotField name="Commentair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t="default"/>
      </items>
    </pivotField>
    <pivotField name="Description rapide de la deman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 name="Format (influence vs UGC)" compact="0" numFmtId="166" outline="0" multipleItemSelectionAllowed="1" showAll="0">
      <items>
        <item x="0"/>
        <item x="1"/>
        <item x="2"/>
        <item x="3"/>
        <item x="4"/>
        <item x="5"/>
        <item x="6"/>
        <item x="7"/>
        <item t="default"/>
      </items>
    </pivotField>
    <pivotField name="Rémunération totale"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t="default"/>
      </items>
    </pivotField>
    <pivotField name="Date Stats" compact="0" outline="0" multipleItemSelectionAllowed="1" showAll="0">
      <items>
        <item x="0"/>
        <item x="1"/>
        <item x="2"/>
        <item x="3"/>
        <item x="4"/>
        <item x="5"/>
        <item x="6"/>
        <item x="7"/>
        <item x="8"/>
        <item x="9"/>
        <item x="10"/>
        <item x="11"/>
        <item x="12"/>
        <item t="default"/>
      </items>
    </pivotField>
    <pivotField name="Lien vide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t="default"/>
      </items>
    </pivotField>
    <pivotField name="X" compact="0" outline="0" multipleItemSelectionAllowed="1" showAll="0">
      <items>
        <item x="0"/>
        <item x="1"/>
        <item x="2"/>
        <item x="3"/>
        <item x="4"/>
        <item x="5"/>
        <item x="6"/>
        <item x="7"/>
        <item x="8"/>
        <item x="9"/>
        <item x="10"/>
        <item x="11"/>
        <item x="12"/>
        <item x="13"/>
        <item x="14"/>
        <item x="15"/>
        <item x="16"/>
        <item t="default"/>
      </items>
    </pivotField>
    <pivotField name="Grapper" compact="0" outline="0" multipleItemSelectionAllowed="1" showAll="0">
      <items>
        <item x="0"/>
        <item x="1"/>
        <item x="2"/>
        <item x="3"/>
        <item t="default"/>
      </items>
    </pivotField>
    <pivotField name="Date vente" axis="axisPag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t="default"/>
      </items>
    </pivotField>
    <pivotField name="Commission" axis="axisPage"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Facture envoyé" compact="0" numFmtId="4" outline="0" multipleItemSelectionAllowed="1" showAll="0">
      <items>
        <item x="0"/>
        <item x="1"/>
        <item x="2"/>
        <item t="default"/>
      </items>
    </pivotField>
    <pivotField name="Mai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name="Event Brouillon" compact="0" outline="0" multipleItemSelectionAllowed="1" showAll="0">
      <items>
        <item x="0"/>
        <item x="1"/>
        <item x="2"/>
        <item t="default"/>
      </items>
    </pivotField>
    <pivotField name="Calendar ID pour brouill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name="Event Post" compact="0" outline="0" multipleItemSelectionAllowed="1" showAll="0">
      <items>
        <item x="0"/>
        <item x="1"/>
        <item x="2"/>
        <item t="default"/>
      </items>
    </pivotField>
    <pivotField name="Calendar ID P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t="default"/>
      </items>
    </pivotField>
    <pivotField name="Date Estimée de Réception" compact="0" outline="0" multipleItemSelectionAllowed="1" showAll="0">
      <items>
        <item x="0"/>
        <item x="1"/>
        <item t="default"/>
      </items>
    </pivotField>
    <pivotField name="Date Réelle de Réception" compact="0" outline="0" multipleItemSelectionAllowed="1" showAll="0">
      <items>
        <item x="0"/>
        <item t="default"/>
      </items>
    </pivotField>
    <pivotField name="Status Colis" compact="0" outline="0" multipleItemSelectionAllowed="1" showAll="0">
      <items>
        <item x="0"/>
        <item x="1"/>
        <item x="2"/>
        <item x="3"/>
        <item t="default"/>
      </items>
    </pivotField>
    <pivotField name="Commentaires" compact="0" outline="0" multipleItemSelectionAllowed="1" showAll="0">
      <items>
        <item x="0"/>
        <item t="default"/>
      </items>
    </pivotField>
    <pivotField name="ID Form" compact="0" outline="0" multipleItemSelectionAllowed="1" showAll="0">
      <items>
        <item x="0"/>
        <item x="1"/>
        <item t="default"/>
      </items>
    </pivotField>
  </pivotFields>
  <rowFields>
    <field x="2"/>
    <field x="0"/>
  </rowFields>
  <pageFields>
    <pageField fld="17"/>
    <pageField fld="7"/>
    <pageField fld="6"/>
    <pageField fld="4"/>
    <pageField fld="16"/>
  </pageFields>
  <dataFields>
    <dataField name="SUM of Rémunération totale" fld="11" baseField="0"/>
  </dataFields>
</pivotTableDefinition>
</file>

<file path=xl/pivotTables/pivotTable2.xml><?xml version="1.0" encoding="utf-8"?>
<pivotTableDefinition xmlns="http://schemas.openxmlformats.org/spreadsheetml/2006/main" name="CA2024" cacheId="1" dataCaption="" createdVersion="6" compact="0" compactData="0">
  <location ref="A5:M53" firstHeaderRow="0" firstDataRow="1" firstDataCol="1" rowPageCount="3" colPageCount="1"/>
  <pivotFields>
    <pivotField name="Tale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t="default"/>
      </items>
    </pivotField>
    <pivotField name="Date Création" axis="axisPag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t="default"/>
      </items>
    </pivotField>
    <pivotField name="Marque" axis="axisRow" compact="0" numFmtId="3" outline="0" multipleItemSelectionAllowed="1" showAll="0" sortType="ascending">
      <items>
        <item x="41"/>
        <item x="55"/>
        <item x="83"/>
        <item x="26"/>
        <item x="6"/>
        <item x="206"/>
        <item x="56"/>
        <item x="124"/>
        <item x="103"/>
        <item x="104"/>
        <item x="101"/>
        <item x="25"/>
        <item x="81"/>
        <item x="42"/>
        <item x="162"/>
        <item x="61"/>
        <item x="37"/>
        <item x="163"/>
        <item x="181"/>
        <item x="159"/>
        <item x="113"/>
        <item x="19"/>
        <item x="194"/>
        <item x="176"/>
        <item x="87"/>
        <item x="0"/>
        <item x="71"/>
        <item x="79"/>
        <item x="146"/>
        <item x="78"/>
        <item x="74"/>
        <item x="144"/>
        <item x="136"/>
        <item x="116"/>
        <item x="122"/>
        <item x="125"/>
        <item x="24"/>
        <item x="164"/>
        <item x="34"/>
        <item x="54"/>
        <item x="82"/>
        <item x="70"/>
        <item x="182"/>
        <item x="166"/>
        <item x="110"/>
        <item x="170"/>
        <item x="139"/>
        <item x="43"/>
        <item x="45"/>
        <item x="173"/>
        <item x="36"/>
        <item x="66"/>
        <item x="17"/>
        <item x="21"/>
        <item x="196"/>
        <item x="127"/>
        <item x="31"/>
        <item x="48"/>
        <item x="105"/>
        <item x="172"/>
        <item x="86"/>
        <item x="138"/>
        <item x="180"/>
        <item x="200"/>
        <item x="148"/>
        <item x="128"/>
        <item x="153"/>
        <item x="50"/>
        <item x="175"/>
        <item x="171"/>
        <item x="20"/>
        <item x="12"/>
        <item x="152"/>
        <item x="27"/>
        <item x="98"/>
        <item x="60"/>
        <item x="210"/>
        <item x="8"/>
        <item x="191"/>
        <item x="197"/>
        <item x="142"/>
        <item x="57"/>
        <item x="77"/>
        <item x="88"/>
        <item x="134"/>
        <item x="95"/>
        <item x="168"/>
        <item x="35"/>
        <item x="106"/>
        <item x="158"/>
        <item x="84"/>
        <item x="157"/>
        <item x="126"/>
        <item x="189"/>
        <item x="209"/>
        <item x="10"/>
        <item x="187"/>
        <item x="195"/>
        <item x="211"/>
        <item x="64"/>
        <item x="59"/>
        <item x="201"/>
        <item x="178"/>
        <item x="112"/>
        <item x="38"/>
        <item x="46"/>
        <item x="32"/>
        <item x="135"/>
        <item x="121"/>
        <item x="151"/>
        <item x="208"/>
        <item x="93"/>
        <item x="14"/>
        <item x="169"/>
        <item x="69"/>
        <item x="154"/>
        <item x="167"/>
        <item x="183"/>
        <item x="90"/>
        <item x="9"/>
        <item x="202"/>
        <item x="97"/>
        <item x="129"/>
        <item x="117"/>
        <item x="155"/>
        <item x="28"/>
        <item x="53"/>
        <item x="49"/>
        <item x="58"/>
        <item x="62"/>
        <item x="29"/>
        <item x="92"/>
        <item x="51"/>
        <item x="199"/>
        <item x="73"/>
        <item x="160"/>
        <item x="179"/>
        <item x="100"/>
        <item x="33"/>
        <item x="63"/>
        <item x="186"/>
        <item x="119"/>
        <item x="188"/>
        <item x="115"/>
        <item x="75"/>
        <item x="102"/>
        <item x="99"/>
        <item x="11"/>
        <item x="107"/>
        <item x="131"/>
        <item x="111"/>
        <item x="165"/>
        <item x="133"/>
        <item x="120"/>
        <item x="193"/>
        <item x="72"/>
        <item x="192"/>
        <item x="65"/>
        <item x="150"/>
        <item x="2"/>
        <item x="149"/>
        <item x="15"/>
        <item x="91"/>
        <item x="89"/>
        <item x="109"/>
        <item x="18"/>
        <item x="190"/>
        <item x="143"/>
        <item x="76"/>
        <item x="40"/>
        <item x="3"/>
        <item x="174"/>
        <item x="123"/>
        <item x="16"/>
        <item x="13"/>
        <item x="22"/>
        <item x="52"/>
        <item x="203"/>
        <item x="94"/>
        <item x="7"/>
        <item x="118"/>
        <item x="44"/>
        <item x="207"/>
        <item x="130"/>
        <item x="205"/>
        <item x="5"/>
        <item x="23"/>
        <item x="161"/>
        <item x="145"/>
        <item x="184"/>
        <item x="198"/>
        <item x="204"/>
        <item x="177"/>
        <item x="96"/>
        <item x="156"/>
        <item x="68"/>
        <item x="30"/>
        <item x="141"/>
        <item x="147"/>
        <item x="67"/>
        <item x="80"/>
        <item x="47"/>
        <item x="185"/>
        <item x="1"/>
        <item x="39"/>
        <item x="114"/>
        <item x="137"/>
        <item x="140"/>
        <item x="132"/>
        <item x="108"/>
        <item x="4"/>
        <item x="85"/>
        <item t="default"/>
      </items>
    </pivotField>
    <pivotField name="Compléme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t="default"/>
      </items>
    </pivotField>
    <pivotField name=" Brouillon draf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t="default"/>
      </items>
    </pivotField>
    <pivotField name="Date Débu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t="default"/>
      </items>
    </pivotField>
    <pivotField name="Date Fi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t="default"/>
      </items>
    </pivotField>
    <pivotField name="Status" compact="0" outline="0" multipleItemSelectionAllowed="1" showAll="0">
      <items>
        <item x="0"/>
        <item x="1"/>
        <item x="2"/>
        <item x="3"/>
        <item x="4"/>
        <item x="5"/>
        <item t="default"/>
      </items>
    </pivotField>
    <pivotField name="Commentair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t="default"/>
      </items>
    </pivotField>
    <pivotField name="Description rapide de la deman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Format (influence vs UGC)" compact="0" numFmtId="166" outline="0" multipleItemSelectionAllowed="1" showAll="0">
      <items>
        <item x="0"/>
        <item x="1"/>
        <item x="2"/>
        <item x="3"/>
        <item x="4"/>
        <item t="default"/>
      </items>
    </pivotField>
    <pivotField name="Rémunération totale" axis="axisPage"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t="default"/>
      </items>
    </pivotField>
    <pivotField name="Date Stats" compact="0" outline="0" multipleItemSelectionAllowed="1" showAll="0">
      <items>
        <item x="0"/>
        <item x="1"/>
        <item x="2"/>
        <item x="3"/>
        <item x="4"/>
        <item x="5"/>
        <item x="6"/>
        <item x="7"/>
        <item x="8"/>
        <item x="9"/>
        <item x="10"/>
        <item x="11"/>
        <item x="12"/>
        <item t="default"/>
      </items>
    </pivotField>
    <pivotField name="Lien vide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t="default"/>
      </items>
    </pivotField>
    <pivotField name="X" compact="0" outline="0" multipleItemSelectionAllowed="1" showAll="0">
      <items>
        <item x="0"/>
        <item x="1"/>
        <item x="2"/>
        <item x="3"/>
        <item x="4"/>
        <item x="5"/>
        <item x="6"/>
        <item x="7"/>
        <item x="8"/>
        <item x="9"/>
        <item x="10"/>
        <item x="11"/>
        <item x="12"/>
        <item x="13"/>
        <item x="14"/>
        <item x="15"/>
        <item t="default"/>
      </items>
    </pivotField>
    <pivotField name="Grapper" axis="axisPage" compact="0" outline="0" multipleItemSelectionAllowed="1" showAll="0">
      <items>
        <item x="0"/>
        <item h="1" x="1"/>
        <item h="1" x="2"/>
        <item h="1" x="3"/>
        <item t="default"/>
      </items>
    </pivotField>
    <pivotField name="Date vente" axis="axisCol" compact="0" numFmtId="164" outline="0" multipleItemSelectionAllowed="1" showAll="0" sortType="ascending">
      <items>
        <item x="0"/>
        <item x="1"/>
        <item x="2"/>
        <item x="3"/>
        <item x="4"/>
        <item x="5"/>
        <item x="6"/>
        <item x="7"/>
        <item x="8"/>
        <item x="9"/>
        <item x="10"/>
        <item x="11"/>
        <item x="12"/>
        <item x="13"/>
        <item t="default"/>
      </items>
    </pivotField>
    <pivotField name="Commission"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t="default"/>
      </items>
    </pivotField>
  </pivotFields>
  <rowFields>
    <field x="2"/>
  </rowFields>
  <colFields>
    <field x="16"/>
  </colFields>
  <pageFields>
    <pageField fld="1"/>
    <pageField fld="15"/>
    <pageField fld="11"/>
  </pageFields>
  <dataFields>
    <dataField name="SUM of Rémunération totale" fld="11" baseField="0"/>
  </dataFields>
  <filters>
    <filter fld="1" type="captionBetween" evalOrder="-1" id="1" stringValue1="01/01/2024" stringValue2="31/12/2024">
      <autoFilter ref="A1">
        <filterColumn colId="0">
          <customFilters and="1">
            <customFilter operator="greaterThanOrEqual" val="01/01/2024"/>
            <customFilter operator="lessThanOrEqual" val="31/12/2024"/>
          </customFilters>
        </filterColumn>
      </autoFilter>
    </filter>
    <filter fld="11" type="captionGreaterThan" evalOrder="-1" id="3" stringValue1="0">
      <autoFilter ref="A1">
        <filterColumn colId="0">
          <customFilters>
            <customFilter operator="greaterThan" val="0"/>
          </customFilters>
        </filterColumn>
      </autoFilter>
    </filter>
  </filters>
</pivotTableDefinition>
</file>

<file path=xl/pivotTables/pivotTable3.xml><?xml version="1.0" encoding="utf-8"?>
<pivotTableDefinition xmlns="http://schemas.openxmlformats.org/spreadsheetml/2006/main" name="CA2024 2" cacheId="2" dataCaption="" createdVersion="6" compact="0" compactData="0">
  <location ref="Q4:AE383" firstHeaderRow="0" firstDataRow="2" firstDataCol="1" rowPageCount="2" colPageCount="1"/>
  <pivotFields>
    <pivotField name="Talent" axis="axisRow" compact="0" outline="0" multipleItemSelectionAllowed="1" showAll="0" sortType="ascending">
      <items>
        <item x="51"/>
        <item x="21"/>
        <item x="11"/>
        <item x="49"/>
        <item x="30"/>
        <item x="52"/>
        <item x="19"/>
        <item x="53"/>
        <item x="25"/>
        <item x="23"/>
        <item x="3"/>
        <item x="1"/>
        <item x="45"/>
        <item x="28"/>
        <item x="38"/>
        <item x="33"/>
        <item x="40"/>
        <item x="54"/>
        <item x="39"/>
        <item x="6"/>
        <item x="50"/>
        <item x="29"/>
        <item x="31"/>
        <item x="26"/>
        <item x="34"/>
        <item x="22"/>
        <item x="16"/>
        <item x="7"/>
        <item x="10"/>
        <item x="41"/>
        <item x="46"/>
        <item x="12"/>
        <item x="55"/>
        <item x="47"/>
        <item x="48"/>
        <item x="4"/>
        <item x="5"/>
        <item x="15"/>
        <item x="9"/>
        <item x="43"/>
        <item x="59"/>
        <item x="35"/>
        <item x="56"/>
        <item x="17"/>
        <item x="2"/>
        <item x="18"/>
        <item x="57"/>
        <item x="27"/>
        <item x="14"/>
        <item x="44"/>
        <item x="42"/>
        <item x="8"/>
        <item x="0"/>
        <item x="13"/>
        <item x="24"/>
        <item x="58"/>
        <item x="20"/>
        <item x="37"/>
        <item x="32"/>
        <item x="36"/>
        <item t="default"/>
      </items>
    </pivotField>
    <pivotField name="Date Création"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t="default"/>
      </items>
    </pivotField>
    <pivotField name="Marque" axis="axisRow" compact="0" numFmtId="3" outline="0" multipleItemSelectionAllowed="1" showAll="0" sortType="ascending">
      <items>
        <item x="41"/>
        <item x="55"/>
        <item x="232"/>
        <item x="83"/>
        <item x="26"/>
        <item x="6"/>
        <item x="206"/>
        <item x="56"/>
        <item x="124"/>
        <item x="103"/>
        <item x="223"/>
        <item x="104"/>
        <item x="101"/>
        <item x="25"/>
        <item x="81"/>
        <item x="42"/>
        <item x="162"/>
        <item x="61"/>
        <item x="37"/>
        <item x="163"/>
        <item x="181"/>
        <item x="159"/>
        <item x="113"/>
        <item x="222"/>
        <item x="19"/>
        <item x="194"/>
        <item x="176"/>
        <item x="87"/>
        <item x="0"/>
        <item x="71"/>
        <item x="79"/>
        <item x="146"/>
        <item x="237"/>
        <item x="78"/>
        <item x="74"/>
        <item x="234"/>
        <item x="144"/>
        <item x="136"/>
        <item x="116"/>
        <item x="122"/>
        <item x="125"/>
        <item x="24"/>
        <item x="164"/>
        <item x="34"/>
        <item x="54"/>
        <item x="82"/>
        <item x="213"/>
        <item x="70"/>
        <item x="182"/>
        <item x="238"/>
        <item x="166"/>
        <item x="110"/>
        <item x="170"/>
        <item x="139"/>
        <item x="43"/>
        <item x="45"/>
        <item x="173"/>
        <item x="36"/>
        <item x="66"/>
        <item x="17"/>
        <item x="21"/>
        <item x="196"/>
        <item x="127"/>
        <item x="31"/>
        <item x="48"/>
        <item x="226"/>
        <item x="105"/>
        <item x="172"/>
        <item x="86"/>
        <item x="138"/>
        <item x="180"/>
        <item x="200"/>
        <item x="224"/>
        <item x="148"/>
        <item x="128"/>
        <item x="153"/>
        <item x="50"/>
        <item x="175"/>
        <item x="171"/>
        <item x="20"/>
        <item x="12"/>
        <item x="152"/>
        <item x="27"/>
        <item x="98"/>
        <item x="60"/>
        <item x="210"/>
        <item x="8"/>
        <item x="191"/>
        <item x="197"/>
        <item x="236"/>
        <item x="142"/>
        <item x="57"/>
        <item x="77"/>
        <item x="214"/>
        <item x="88"/>
        <item x="134"/>
        <item x="95"/>
        <item x="168"/>
        <item x="35"/>
        <item x="106"/>
        <item x="158"/>
        <item x="217"/>
        <item x="84"/>
        <item x="157"/>
        <item x="126"/>
        <item x="189"/>
        <item x="209"/>
        <item x="10"/>
        <item x="187"/>
        <item x="195"/>
        <item x="211"/>
        <item x="64"/>
        <item x="59"/>
        <item x="201"/>
        <item x="178"/>
        <item x="112"/>
        <item x="228"/>
        <item x="38"/>
        <item x="46"/>
        <item x="32"/>
        <item x="135"/>
        <item x="121"/>
        <item x="235"/>
        <item x="151"/>
        <item x="208"/>
        <item x="93"/>
        <item x="215"/>
        <item x="14"/>
        <item x="169"/>
        <item x="69"/>
        <item x="154"/>
        <item x="167"/>
        <item x="183"/>
        <item x="90"/>
        <item x="9"/>
        <item x="216"/>
        <item x="202"/>
        <item x="97"/>
        <item x="129"/>
        <item x="117"/>
        <item x="220"/>
        <item x="155"/>
        <item x="28"/>
        <item x="53"/>
        <item x="49"/>
        <item x="58"/>
        <item x="62"/>
        <item x="29"/>
        <item x="212"/>
        <item x="92"/>
        <item x="51"/>
        <item x="199"/>
        <item x="73"/>
        <item x="160"/>
        <item x="179"/>
        <item x="219"/>
        <item x="218"/>
        <item x="100"/>
        <item x="33"/>
        <item x="63"/>
        <item x="186"/>
        <item x="119"/>
        <item x="221"/>
        <item x="188"/>
        <item x="115"/>
        <item x="75"/>
        <item x="102"/>
        <item x="99"/>
        <item x="11"/>
        <item x="107"/>
        <item x="131"/>
        <item x="111"/>
        <item x="165"/>
        <item x="133"/>
        <item x="120"/>
        <item x="193"/>
        <item x="72"/>
        <item x="192"/>
        <item x="65"/>
        <item x="150"/>
        <item x="2"/>
        <item x="149"/>
        <item x="15"/>
        <item x="233"/>
        <item x="91"/>
        <item x="89"/>
        <item x="109"/>
        <item x="18"/>
        <item x="190"/>
        <item x="230"/>
        <item x="143"/>
        <item x="76"/>
        <item x="40"/>
        <item x="3"/>
        <item x="174"/>
        <item x="123"/>
        <item x="16"/>
        <item x="13"/>
        <item x="22"/>
        <item x="52"/>
        <item x="203"/>
        <item x="94"/>
        <item x="7"/>
        <item x="118"/>
        <item x="44"/>
        <item x="207"/>
        <item x="130"/>
        <item x="205"/>
        <item x="5"/>
        <item x="23"/>
        <item x="161"/>
        <item x="145"/>
        <item x="184"/>
        <item x="198"/>
        <item x="204"/>
        <item x="177"/>
        <item x="96"/>
        <item x="156"/>
        <item x="68"/>
        <item x="227"/>
        <item x="30"/>
        <item x="141"/>
        <item x="147"/>
        <item x="67"/>
        <item x="80"/>
        <item x="47"/>
        <item x="229"/>
        <item x="185"/>
        <item x="1"/>
        <item x="39"/>
        <item x="114"/>
        <item x="231"/>
        <item x="137"/>
        <item x="225"/>
        <item x="140"/>
        <item x="132"/>
        <item x="108"/>
        <item x="4"/>
        <item x="85"/>
        <item t="default"/>
      </items>
    </pivotField>
    <pivotField name="Compléme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t="default"/>
      </items>
    </pivotField>
    <pivotField name=" Brouillon draf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t="default"/>
      </items>
    </pivotField>
    <pivotField name="Date Débu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t="default"/>
      </items>
    </pivotField>
    <pivotField name="Date Fi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t="default"/>
      </items>
    </pivotField>
    <pivotField name="Status" compact="0" outline="0" multipleItemSelectionAllowed="1" showAll="0">
      <items>
        <item x="0"/>
        <item x="1"/>
        <item x="2"/>
        <item x="3"/>
        <item x="4"/>
        <item x="5"/>
        <item x="6"/>
        <item x="7"/>
        <item t="default"/>
      </items>
    </pivotField>
    <pivotField name="Commentair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t="default"/>
      </items>
    </pivotField>
    <pivotField name="Description rapide de la deman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 name="Format (influence vs UGC)" compact="0" numFmtId="166" outline="0" multipleItemSelectionAllowed="1" showAll="0">
      <items>
        <item x="0"/>
        <item x="1"/>
        <item x="2"/>
        <item x="3"/>
        <item x="4"/>
        <item x="5"/>
        <item x="6"/>
        <item x="7"/>
        <item t="default"/>
      </items>
    </pivotField>
    <pivotField name="Rémunération totale" axis="axisPage"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t="default"/>
      </items>
    </pivotField>
    <pivotField name="Date Stats" compact="0" outline="0" multipleItemSelectionAllowed="1" showAll="0">
      <items>
        <item x="0"/>
        <item x="1"/>
        <item x="2"/>
        <item x="3"/>
        <item x="4"/>
        <item x="5"/>
        <item x="6"/>
        <item x="7"/>
        <item x="8"/>
        <item x="9"/>
        <item x="10"/>
        <item x="11"/>
        <item x="12"/>
        <item t="default"/>
      </items>
    </pivotField>
    <pivotField name="Lien vide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t="default"/>
      </items>
    </pivotField>
    <pivotField name="X" compact="0" outline="0" multipleItemSelectionAllowed="1" showAll="0">
      <items>
        <item x="0"/>
        <item x="1"/>
        <item x="2"/>
        <item x="3"/>
        <item x="4"/>
        <item x="5"/>
        <item x="6"/>
        <item x="7"/>
        <item x="8"/>
        <item x="9"/>
        <item x="10"/>
        <item x="11"/>
        <item x="12"/>
        <item x="13"/>
        <item x="14"/>
        <item x="15"/>
        <item x="16"/>
        <item t="default"/>
      </items>
    </pivotField>
    <pivotField name="Grapper" axis="axisPage" compact="0" outline="0" multipleItemSelectionAllowed="1" showAll="0">
      <items>
        <item x="0"/>
        <item h="1" x="1"/>
        <item h="1" x="2"/>
        <item h="1" x="3"/>
        <item t="default"/>
      </items>
    </pivotField>
    <pivotField name="Date vente" axis="axisCol" compact="0" numFmtId="164" outline="0" multipleItemSelectionAllowed="1" showAll="0" sortType="ascending">
      <items>
        <item x="0"/>
        <item x="1"/>
        <item x="2"/>
        <item x="3"/>
        <item x="4"/>
        <item x="5"/>
        <item x="6"/>
        <item x="7"/>
        <item x="8"/>
        <item x="9"/>
        <item x="10"/>
        <item x="11"/>
        <item x="12"/>
        <item x="13"/>
        <item t="default"/>
      </items>
    </pivotField>
    <pivotField name="Commission"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t="default"/>
      </items>
    </pivotField>
  </pivotFields>
  <rowFields>
    <field x="0"/>
    <field x="2"/>
  </rowFields>
  <colFields>
    <field x="16"/>
  </colFields>
  <pageFields>
    <pageField fld="15"/>
    <pageField fld="11"/>
  </pageFields>
  <dataFields>
    <dataField name="SUM of Rémunération totale" fld="11" baseField="0"/>
  </dataFields>
  <filters>
    <filter fld="11" type="captionGreaterThan" evalOrder="-1" id="2" stringValue1="0">
      <autoFilter ref="A1">
        <filterColumn colId="0">
          <customFilters>
            <customFilter operator="greaterThan" val="0"/>
          </customFilters>
        </filterColumn>
      </autoFilter>
    </filter>
  </filters>
</pivotTableDefinition>
</file>

<file path=xl/pivotTables/pivotTable4.xml><?xml version="1.0" encoding="utf-8"?>
<pivotTableDefinition xmlns="http://schemas.openxmlformats.org/spreadsheetml/2006/main" name="CA2024 3" cacheId="3" dataCaption="" createdVersion="6" compact="0" compactData="0">
  <location ref="AG4:AT56" firstHeaderRow="0" firstDataRow="1" firstDataCol="1" rowPageCount="2" colPageCount="1"/>
  <pivotFields>
    <pivotField name="Talent" axis="axisRow" compact="0" outline="0" multipleItemSelectionAllowed="1" showAll="0" sortType="ascending">
      <items>
        <item x="51"/>
        <item x="21"/>
        <item x="11"/>
        <item x="49"/>
        <item x="30"/>
        <item x="52"/>
        <item x="19"/>
        <item x="53"/>
        <item x="25"/>
        <item x="23"/>
        <item x="3"/>
        <item x="1"/>
        <item x="45"/>
        <item x="28"/>
        <item x="38"/>
        <item x="33"/>
        <item x="40"/>
        <item x="54"/>
        <item x="39"/>
        <item x="6"/>
        <item x="50"/>
        <item x="29"/>
        <item x="31"/>
        <item x="26"/>
        <item x="34"/>
        <item x="22"/>
        <item x="16"/>
        <item x="7"/>
        <item x="10"/>
        <item x="41"/>
        <item x="46"/>
        <item x="12"/>
        <item x="47"/>
        <item x="48"/>
        <item x="4"/>
        <item x="5"/>
        <item x="15"/>
        <item x="9"/>
        <item x="43"/>
        <item x="35"/>
        <item x="17"/>
        <item x="2"/>
        <item x="18"/>
        <item x="27"/>
        <item x="14"/>
        <item x="44"/>
        <item x="42"/>
        <item x="8"/>
        <item x="0"/>
        <item x="13"/>
        <item x="24"/>
        <item x="20"/>
        <item x="37"/>
        <item x="32"/>
        <item x="36"/>
        <item t="default"/>
      </items>
    </pivotField>
    <pivotField name="Date Création"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t="default"/>
      </items>
    </pivotField>
    <pivotField name="Marque"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t="default"/>
      </items>
    </pivotField>
    <pivotField name="Compléme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 Brouillon draf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t="default"/>
      </items>
    </pivotField>
    <pivotField name="Date Débu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t="default"/>
      </items>
    </pivotField>
    <pivotField name="Date Fi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t="default"/>
      </items>
    </pivotField>
    <pivotField name="Status" compact="0" outline="0" multipleItemSelectionAllowed="1" showAll="0">
      <items>
        <item x="0"/>
        <item x="1"/>
        <item x="2"/>
        <item x="3"/>
        <item x="4"/>
        <item x="5"/>
        <item t="default"/>
      </items>
    </pivotField>
    <pivotField name="Commentair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t="default"/>
      </items>
    </pivotField>
    <pivotField name="Description rapide de la deman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Format (influence vs UGC)" compact="0" numFmtId="166" outline="0" multipleItemSelectionAllowed="1" showAll="0">
      <items>
        <item x="0"/>
        <item x="1"/>
        <item x="2"/>
        <item x="3"/>
        <item x="4"/>
        <item t="default"/>
      </items>
    </pivotField>
    <pivotField name="Rémunération totale" axis="axisPa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t="default"/>
      </items>
    </pivotField>
    <pivotField name="Date Stats" compact="0" outline="0" multipleItemSelectionAllowed="1" showAll="0">
      <items>
        <item x="0"/>
        <item x="1"/>
        <item x="2"/>
        <item x="3"/>
        <item x="4"/>
        <item x="5"/>
        <item x="6"/>
        <item x="7"/>
        <item x="8"/>
        <item x="9"/>
        <item x="10"/>
        <item x="11"/>
        <item x="12"/>
        <item t="default"/>
      </items>
    </pivotField>
    <pivotField name="Lien vide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t="default"/>
      </items>
    </pivotField>
    <pivotField name="X" compact="0" outline="0" multipleItemSelectionAllowed="1" showAll="0">
      <items>
        <item x="0"/>
        <item x="1"/>
        <item x="2"/>
        <item x="3"/>
        <item x="4"/>
        <item x="5"/>
        <item x="6"/>
        <item x="7"/>
        <item x="8"/>
        <item x="9"/>
        <item x="10"/>
        <item x="11"/>
        <item x="12"/>
        <item x="13"/>
        <item x="14"/>
        <item x="15"/>
        <item t="default"/>
      </items>
    </pivotField>
    <pivotField name="Grapper" axis="axisPage" compact="0" outline="0" multipleItemSelectionAllowed="1" showAll="0">
      <items>
        <item x="0"/>
        <item h="1" x="1"/>
        <item h="1" x="2"/>
        <item h="1" x="3"/>
        <item t="default"/>
      </items>
    </pivotField>
    <pivotField name="Date vente" axis="axisCol" compact="0" numFmtId="164" outline="0" multipleItemSelectionAllowed="1" showAll="0" sortType="ascending">
      <items>
        <item x="0"/>
        <item x="1"/>
        <item x="2"/>
        <item x="3"/>
        <item x="4"/>
        <item x="5"/>
        <item x="6"/>
        <item x="7"/>
        <item x="8"/>
        <item x="9"/>
        <item x="10"/>
        <item x="11"/>
        <item x="12"/>
        <item x="13"/>
        <item t="default"/>
      </items>
    </pivotField>
    <pivotField name="Commission" dataField="1"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s>
  <rowFields>
    <field x="0"/>
  </rowFields>
  <colFields>
    <field x="16"/>
  </colFields>
  <pageFields>
    <pageField fld="15"/>
    <pageField fld="11"/>
  </pageFields>
  <dataFields>
    <dataField name="SUM of Commission" fld="17" baseField="0"/>
  </dataFields>
  <filters>
    <filter fld="11" type="captionGreaterThan" evalOrder="-1" id="2" stringValue1="0">
      <autoFilter ref="A1">
        <filterColumn colId="0">
          <customFilters>
            <customFilter operator="greaterThan" val="0"/>
          </customFilters>
        </filterColumn>
      </autoFilter>
    </filter>
  </filters>
</pivotTableDefinition>
</file>

<file path=xl/pivotTables/pivotTable5.xml><?xml version="1.0" encoding="utf-8"?>
<pivotTableDefinition xmlns="http://schemas.openxmlformats.org/spreadsheetml/2006/main" name="CA2025" cacheId="4" dataCaption="" createdVersion="6" compact="0" compactData="0">
  <location ref="A5:I90" firstHeaderRow="0" firstDataRow="1" firstDataCol="1" rowPageCount="3" colPageCount="1"/>
  <pivotFields>
    <pivotField name="Tale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t="default"/>
      </items>
    </pivotField>
    <pivotField name="Date Création" axis="axisPag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t="default"/>
      </items>
    </pivotField>
    <pivotField name="Marque" axis="axisRow" compact="0" numFmtId="3" outline="0" multipleItemSelectionAllowed="1" showAll="0" sortType="ascending">
      <items>
        <item x="250"/>
        <item x="41"/>
        <item x="55"/>
        <item x="232"/>
        <item x="83"/>
        <item x="26"/>
        <item x="6"/>
        <item x="248"/>
        <item x="206"/>
        <item x="56"/>
        <item x="124"/>
        <item x="103"/>
        <item x="249"/>
        <item x="223"/>
        <item x="104"/>
        <item x="101"/>
        <item x="25"/>
        <item x="81"/>
        <item x="42"/>
        <item x="162"/>
        <item x="61"/>
        <item x="37"/>
        <item x="163"/>
        <item x="181"/>
        <item x="159"/>
        <item x="113"/>
        <item x="222"/>
        <item x="19"/>
        <item x="194"/>
        <item x="176"/>
        <item x="87"/>
        <item x="0"/>
        <item x="71"/>
        <item x="79"/>
        <item x="146"/>
        <item x="237"/>
        <item x="78"/>
        <item x="74"/>
        <item x="234"/>
        <item x="144"/>
        <item x="136"/>
        <item x="116"/>
        <item x="122"/>
        <item x="125"/>
        <item x="246"/>
        <item x="24"/>
        <item x="164"/>
        <item x="34"/>
        <item x="54"/>
        <item x="82"/>
        <item x="213"/>
        <item x="70"/>
        <item x="182"/>
        <item x="238"/>
        <item x="166"/>
        <item x="110"/>
        <item x="247"/>
        <item x="170"/>
        <item x="139"/>
        <item x="43"/>
        <item x="45"/>
        <item x="173"/>
        <item x="36"/>
        <item x="66"/>
        <item x="17"/>
        <item x="243"/>
        <item x="21"/>
        <item x="196"/>
        <item x="127"/>
        <item x="31"/>
        <item x="48"/>
        <item x="226"/>
        <item x="105"/>
        <item x="172"/>
        <item x="86"/>
        <item x="138"/>
        <item x="180"/>
        <item x="200"/>
        <item x="224"/>
        <item x="148"/>
        <item x="128"/>
        <item x="153"/>
        <item x="50"/>
        <item x="175"/>
        <item x="171"/>
        <item x="20"/>
        <item x="12"/>
        <item x="152"/>
        <item x="27"/>
        <item x="98"/>
        <item x="60"/>
        <item x="210"/>
        <item x="8"/>
        <item x="191"/>
        <item x="197"/>
        <item x="236"/>
        <item x="142"/>
        <item x="57"/>
        <item x="77"/>
        <item x="214"/>
        <item x="88"/>
        <item x="134"/>
        <item x="95"/>
        <item x="168"/>
        <item x="35"/>
        <item x="106"/>
        <item x="158"/>
        <item x="217"/>
        <item x="84"/>
        <item x="157"/>
        <item x="126"/>
        <item x="189"/>
        <item x="209"/>
        <item x="10"/>
        <item x="187"/>
        <item x="195"/>
        <item x="211"/>
        <item x="64"/>
        <item x="59"/>
        <item x="201"/>
        <item x="178"/>
        <item x="112"/>
        <item x="228"/>
        <item x="38"/>
        <item x="46"/>
        <item x="32"/>
        <item x="135"/>
        <item x="121"/>
        <item x="235"/>
        <item x="151"/>
        <item x="208"/>
        <item x="93"/>
        <item x="215"/>
        <item x="14"/>
        <item x="169"/>
        <item x="69"/>
        <item x="154"/>
        <item x="167"/>
        <item x="183"/>
        <item x="90"/>
        <item x="9"/>
        <item x="216"/>
        <item x="202"/>
        <item x="97"/>
        <item x="129"/>
        <item x="117"/>
        <item x="220"/>
        <item x="155"/>
        <item x="28"/>
        <item x="53"/>
        <item x="49"/>
        <item x="58"/>
        <item x="62"/>
        <item x="29"/>
        <item x="212"/>
        <item x="92"/>
        <item x="244"/>
        <item x="51"/>
        <item x="199"/>
        <item x="73"/>
        <item x="160"/>
        <item x="179"/>
        <item x="219"/>
        <item x="218"/>
        <item x="100"/>
        <item x="242"/>
        <item x="33"/>
        <item x="245"/>
        <item x="63"/>
        <item x="186"/>
        <item x="119"/>
        <item x="221"/>
        <item x="188"/>
        <item x="115"/>
        <item x="241"/>
        <item x="75"/>
        <item x="102"/>
        <item x="99"/>
        <item x="11"/>
        <item x="107"/>
        <item x="131"/>
        <item x="111"/>
        <item x="165"/>
        <item x="133"/>
        <item x="120"/>
        <item x="193"/>
        <item x="72"/>
        <item x="192"/>
        <item x="65"/>
        <item x="150"/>
        <item x="2"/>
        <item x="149"/>
        <item x="15"/>
        <item x="233"/>
        <item x="91"/>
        <item x="89"/>
        <item x="109"/>
        <item x="18"/>
        <item x="190"/>
        <item x="230"/>
        <item x="143"/>
        <item x="76"/>
        <item x="40"/>
        <item x="3"/>
        <item x="174"/>
        <item x="123"/>
        <item x="16"/>
        <item x="13"/>
        <item x="22"/>
        <item x="52"/>
        <item x="203"/>
        <item x="94"/>
        <item x="7"/>
        <item x="118"/>
        <item x="239"/>
        <item x="44"/>
        <item x="207"/>
        <item x="130"/>
        <item x="205"/>
        <item x="240"/>
        <item x="5"/>
        <item x="23"/>
        <item x="161"/>
        <item x="145"/>
        <item x="184"/>
        <item x="198"/>
        <item x="204"/>
        <item x="177"/>
        <item x="96"/>
        <item x="156"/>
        <item x="68"/>
        <item x="227"/>
        <item x="30"/>
        <item x="141"/>
        <item x="147"/>
        <item x="67"/>
        <item x="80"/>
        <item x="47"/>
        <item x="229"/>
        <item x="185"/>
        <item x="1"/>
        <item x="39"/>
        <item x="114"/>
        <item x="231"/>
        <item x="137"/>
        <item x="225"/>
        <item x="140"/>
        <item x="132"/>
        <item x="108"/>
        <item x="4"/>
        <item x="85"/>
        <item t="default"/>
      </items>
    </pivotField>
    <pivotField name="Compléme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t="default"/>
      </items>
    </pivotField>
    <pivotField name=" Brouillon draf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t="default"/>
      </items>
    </pivotField>
    <pivotField name="Date Débu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t="default"/>
      </items>
    </pivotField>
    <pivotField name="Date Fi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t="default"/>
      </items>
    </pivotField>
    <pivotField name="Status" compact="0" outline="0" multipleItemSelectionAllowed="1" showAll="0">
      <items>
        <item x="0"/>
        <item x="1"/>
        <item x="2"/>
        <item x="3"/>
        <item x="4"/>
        <item x="5"/>
        <item x="6"/>
        <item x="7"/>
        <item t="default"/>
      </items>
    </pivotField>
    <pivotField name="Commentair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t="default"/>
      </items>
    </pivotField>
    <pivotField name="Description rapide de la deman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 name="Format (influence vs UGC)" compact="0" numFmtId="166" outline="0" multipleItemSelectionAllowed="1" showAll="0">
      <items>
        <item x="0"/>
        <item x="1"/>
        <item x="2"/>
        <item x="3"/>
        <item x="4"/>
        <item x="5"/>
        <item x="6"/>
        <item x="7"/>
        <item t="default"/>
      </items>
    </pivotField>
    <pivotField name="Rémunération totale" axis="axisPage"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t="default"/>
      </items>
    </pivotField>
    <pivotField name="Date Stats" compact="0" outline="0" multipleItemSelectionAllowed="1" showAll="0">
      <items>
        <item x="0"/>
        <item x="1"/>
        <item x="2"/>
        <item x="3"/>
        <item x="4"/>
        <item x="5"/>
        <item x="6"/>
        <item x="7"/>
        <item x="8"/>
        <item x="9"/>
        <item x="10"/>
        <item x="11"/>
        <item x="12"/>
        <item t="default"/>
      </items>
    </pivotField>
    <pivotField name="Lien vide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t="default"/>
      </items>
    </pivotField>
    <pivotField name="X" compact="0" outline="0" multipleItemSelectionAllowed="1" showAll="0">
      <items>
        <item x="0"/>
        <item x="1"/>
        <item x="2"/>
        <item x="3"/>
        <item x="4"/>
        <item x="5"/>
        <item x="6"/>
        <item x="7"/>
        <item x="8"/>
        <item x="9"/>
        <item x="10"/>
        <item x="11"/>
        <item x="12"/>
        <item x="13"/>
        <item x="14"/>
        <item x="15"/>
        <item x="16"/>
        <item x="17"/>
        <item t="default"/>
      </items>
    </pivotField>
    <pivotField name="Grapper" axis="axisPage" compact="0" outline="0" multipleItemSelectionAllowed="1" showAll="0">
      <items>
        <item x="0"/>
        <item h="1" x="1"/>
        <item h="1" x="2"/>
        <item h="1" x="3"/>
        <item t="default"/>
      </items>
    </pivotField>
    <pivotField name="Date vente" axis="axisCol" compact="0" numFmtId="164" outline="0" multipleItemSelectionAllowed="1" showAll="0" sortType="ascending">
      <items>
        <item x="0"/>
        <item x="1"/>
        <item x="2"/>
        <item x="3"/>
        <item x="4"/>
        <item x="5"/>
        <item x="6"/>
        <item x="7"/>
        <item x="8"/>
        <item x="9"/>
        <item x="10"/>
        <item x="11"/>
        <item x="12"/>
        <item x="13"/>
        <item t="default"/>
      </items>
    </pivotField>
    <pivotField name="Commission"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t="default"/>
      </items>
    </pivotField>
  </pivotFields>
  <rowFields>
    <field x="2"/>
  </rowFields>
  <colFields>
    <field x="16"/>
  </colFields>
  <pageFields>
    <pageField fld="1"/>
    <pageField fld="15"/>
    <pageField fld="11"/>
  </pageFields>
  <dataFields>
    <dataField name="SUM of Rémunération totale" fld="11" baseField="0"/>
  </dataFields>
  <filters>
    <filter fld="1" type="captionBetween" evalOrder="-1" id="1" stringValue1="01/01/2025" stringValue2="31/12/2025">
      <autoFilter ref="A1">
        <filterColumn colId="0">
          <customFilters and="1">
            <customFilter operator="greaterThanOrEqual" val="01/01/2025"/>
            <customFilter operator="lessThanOrEqual" val="31/12/2025"/>
          </customFilters>
        </filterColumn>
      </autoFilter>
    </filter>
    <filter fld="11" type="captionGreaterThan" evalOrder="-1" id="3" stringValue1="0">
      <autoFilter ref="A1">
        <filterColumn colId="0">
          <customFilters>
            <customFilter operator="greaterThan" val="0"/>
          </customFilters>
        </filterColumn>
      </autoFilter>
    </filter>
  </filters>
</pivotTableDefinition>
</file>

<file path=xl/pivotTables/pivotTable6.xml><?xml version="1.0" encoding="utf-8"?>
<pivotTableDefinition xmlns="http://schemas.openxmlformats.org/spreadsheetml/2006/main" name="CA2025 2" cacheId="5" dataCaption="" createdVersion="6" compact="0" compactData="0">
  <location ref="Q5:Z269" firstHeaderRow="0" firstDataRow="2" firstDataCol="1" rowPageCount="3" colPageCount="1"/>
  <pivotFields>
    <pivotField name="Talent" axis="axisRow" compact="0" outline="0" multipleItemSelectionAllowed="1" showAll="0" sortType="ascending">
      <items>
        <item x="63"/>
        <item x="51"/>
        <item x="21"/>
        <item x="11"/>
        <item x="49"/>
        <item x="30"/>
        <item x="52"/>
        <item x="19"/>
        <item x="53"/>
        <item x="25"/>
        <item x="23"/>
        <item x="3"/>
        <item x="1"/>
        <item x="45"/>
        <item x="28"/>
        <item x="38"/>
        <item x="33"/>
        <item x="40"/>
        <item x="54"/>
        <item x="39"/>
        <item x="6"/>
        <item x="50"/>
        <item x="29"/>
        <item x="60"/>
        <item x="31"/>
        <item x="26"/>
        <item x="34"/>
        <item x="22"/>
        <item x="16"/>
        <item x="7"/>
        <item x="10"/>
        <item x="41"/>
        <item x="61"/>
        <item x="46"/>
        <item x="62"/>
        <item x="12"/>
        <item x="55"/>
        <item x="47"/>
        <item x="48"/>
        <item x="4"/>
        <item x="5"/>
        <item x="15"/>
        <item x="9"/>
        <item x="43"/>
        <item x="59"/>
        <item x="35"/>
        <item x="56"/>
        <item x="17"/>
        <item x="2"/>
        <item x="18"/>
        <item x="57"/>
        <item x="27"/>
        <item x="14"/>
        <item x="44"/>
        <item x="42"/>
        <item x="8"/>
        <item x="0"/>
        <item x="13"/>
        <item x="24"/>
        <item x="58"/>
        <item x="20"/>
        <item x="37"/>
        <item x="32"/>
        <item x="36"/>
        <item t="default"/>
      </items>
    </pivotField>
    <pivotField name="Date Création" axis="axisPag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t="default"/>
      </items>
    </pivotField>
    <pivotField name="Marque" axis="axisRow" compact="0" numFmtId="3" outline="0" multipleItemSelectionAllowed="1" showAll="0" sortType="ascending">
      <items>
        <item x="250"/>
        <item x="41"/>
        <item x="55"/>
        <item x="232"/>
        <item x="83"/>
        <item x="26"/>
        <item x="6"/>
        <item x="248"/>
        <item x="206"/>
        <item x="56"/>
        <item x="124"/>
        <item x="103"/>
        <item x="249"/>
        <item x="223"/>
        <item x="104"/>
        <item x="101"/>
        <item x="25"/>
        <item x="81"/>
        <item x="42"/>
        <item x="162"/>
        <item x="61"/>
        <item x="37"/>
        <item x="163"/>
        <item x="181"/>
        <item x="159"/>
        <item x="113"/>
        <item x="222"/>
        <item x="19"/>
        <item x="194"/>
        <item x="176"/>
        <item x="87"/>
        <item x="0"/>
        <item x="71"/>
        <item x="79"/>
        <item x="146"/>
        <item x="237"/>
        <item x="78"/>
        <item x="74"/>
        <item x="234"/>
        <item x="144"/>
        <item x="136"/>
        <item x="116"/>
        <item x="122"/>
        <item x="125"/>
        <item x="246"/>
        <item x="24"/>
        <item x="164"/>
        <item x="34"/>
        <item x="54"/>
        <item x="82"/>
        <item x="213"/>
        <item x="70"/>
        <item x="182"/>
        <item x="238"/>
        <item x="166"/>
        <item x="110"/>
        <item x="247"/>
        <item x="170"/>
        <item x="139"/>
        <item x="43"/>
        <item x="45"/>
        <item x="173"/>
        <item x="36"/>
        <item x="66"/>
        <item x="17"/>
        <item x="243"/>
        <item x="21"/>
        <item x="196"/>
        <item x="127"/>
        <item x="31"/>
        <item x="48"/>
        <item x="226"/>
        <item x="105"/>
        <item x="172"/>
        <item x="86"/>
        <item x="138"/>
        <item x="180"/>
        <item x="200"/>
        <item x="224"/>
        <item x="148"/>
        <item x="128"/>
        <item x="153"/>
        <item x="50"/>
        <item x="175"/>
        <item x="171"/>
        <item x="20"/>
        <item x="12"/>
        <item x="152"/>
        <item x="27"/>
        <item x="98"/>
        <item x="60"/>
        <item x="210"/>
        <item x="8"/>
        <item x="191"/>
        <item x="197"/>
        <item x="236"/>
        <item x="142"/>
        <item x="57"/>
        <item x="77"/>
        <item x="214"/>
        <item x="88"/>
        <item x="134"/>
        <item x="95"/>
        <item x="168"/>
        <item x="35"/>
        <item x="106"/>
        <item x="158"/>
        <item x="217"/>
        <item x="84"/>
        <item x="157"/>
        <item x="126"/>
        <item x="189"/>
        <item x="209"/>
        <item x="10"/>
        <item x="187"/>
        <item x="195"/>
        <item x="211"/>
        <item x="64"/>
        <item x="59"/>
        <item x="201"/>
        <item x="178"/>
        <item x="112"/>
        <item x="228"/>
        <item x="38"/>
        <item x="46"/>
        <item x="32"/>
        <item x="135"/>
        <item x="121"/>
        <item x="235"/>
        <item x="151"/>
        <item x="208"/>
        <item x="93"/>
        <item x="215"/>
        <item x="14"/>
        <item x="169"/>
        <item x="69"/>
        <item x="154"/>
        <item x="167"/>
        <item x="183"/>
        <item x="90"/>
        <item x="9"/>
        <item x="216"/>
        <item x="202"/>
        <item x="97"/>
        <item x="129"/>
        <item x="117"/>
        <item x="220"/>
        <item x="155"/>
        <item x="28"/>
        <item x="53"/>
        <item x="49"/>
        <item x="58"/>
        <item x="62"/>
        <item x="29"/>
        <item x="212"/>
        <item x="92"/>
        <item x="244"/>
        <item x="51"/>
        <item x="199"/>
        <item x="73"/>
        <item x="160"/>
        <item x="179"/>
        <item x="219"/>
        <item x="218"/>
        <item x="100"/>
        <item x="242"/>
        <item x="33"/>
        <item x="245"/>
        <item x="63"/>
        <item x="186"/>
        <item x="119"/>
        <item x="221"/>
        <item x="188"/>
        <item x="115"/>
        <item x="241"/>
        <item x="75"/>
        <item x="102"/>
        <item x="99"/>
        <item x="11"/>
        <item x="107"/>
        <item x="131"/>
        <item x="111"/>
        <item x="165"/>
        <item x="133"/>
        <item x="120"/>
        <item x="193"/>
        <item x="72"/>
        <item x="192"/>
        <item x="65"/>
        <item x="150"/>
        <item x="2"/>
        <item x="149"/>
        <item x="15"/>
        <item x="233"/>
        <item x="91"/>
        <item x="89"/>
        <item x="109"/>
        <item x="18"/>
        <item x="190"/>
        <item x="230"/>
        <item x="143"/>
        <item x="76"/>
        <item x="40"/>
        <item x="3"/>
        <item x="174"/>
        <item x="123"/>
        <item x="16"/>
        <item x="13"/>
        <item x="22"/>
        <item x="52"/>
        <item x="203"/>
        <item x="94"/>
        <item x="7"/>
        <item x="118"/>
        <item x="239"/>
        <item x="44"/>
        <item x="207"/>
        <item x="130"/>
        <item x="205"/>
        <item x="240"/>
        <item x="5"/>
        <item x="23"/>
        <item x="161"/>
        <item x="145"/>
        <item x="184"/>
        <item x="198"/>
        <item x="204"/>
        <item x="177"/>
        <item x="96"/>
        <item x="156"/>
        <item x="68"/>
        <item x="227"/>
        <item x="30"/>
        <item x="141"/>
        <item x="147"/>
        <item x="67"/>
        <item x="80"/>
        <item x="47"/>
        <item x="229"/>
        <item x="185"/>
        <item x="1"/>
        <item x="39"/>
        <item x="114"/>
        <item x="231"/>
        <item x="137"/>
        <item x="225"/>
        <item x="140"/>
        <item x="132"/>
        <item x="108"/>
        <item x="4"/>
        <item x="85"/>
        <item t="default"/>
      </items>
    </pivotField>
    <pivotField name="Compléme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t="default"/>
      </items>
    </pivotField>
    <pivotField name=" Brouillon draf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t="default"/>
      </items>
    </pivotField>
    <pivotField name="Date Débu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t="default"/>
      </items>
    </pivotField>
    <pivotField name="Date Fi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t="default"/>
      </items>
    </pivotField>
    <pivotField name="Status" compact="0" outline="0" multipleItemSelectionAllowed="1" showAll="0">
      <items>
        <item x="0"/>
        <item x="1"/>
        <item x="2"/>
        <item x="3"/>
        <item x="4"/>
        <item x="5"/>
        <item x="6"/>
        <item x="7"/>
        <item t="default"/>
      </items>
    </pivotField>
    <pivotField name="Commentair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t="default"/>
      </items>
    </pivotField>
    <pivotField name="Description rapide de la deman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 name="Format (influence vs UGC)" compact="0" numFmtId="166" outline="0" multipleItemSelectionAllowed="1" showAll="0">
      <items>
        <item x="0"/>
        <item x="1"/>
        <item x="2"/>
        <item x="3"/>
        <item x="4"/>
        <item x="5"/>
        <item x="6"/>
        <item x="7"/>
        <item t="default"/>
      </items>
    </pivotField>
    <pivotField name="Rémunération totale" axis="axisPage"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t="default"/>
      </items>
    </pivotField>
    <pivotField name="Date Stats" compact="0" outline="0" multipleItemSelectionAllowed="1" showAll="0">
      <items>
        <item x="0"/>
        <item x="1"/>
        <item x="2"/>
        <item x="3"/>
        <item x="4"/>
        <item x="5"/>
        <item x="6"/>
        <item x="7"/>
        <item x="8"/>
        <item x="9"/>
        <item x="10"/>
        <item x="11"/>
        <item x="12"/>
        <item t="default"/>
      </items>
    </pivotField>
    <pivotField name="Lien vide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t="default"/>
      </items>
    </pivotField>
    <pivotField name="X" compact="0" outline="0" multipleItemSelectionAllowed="1" showAll="0">
      <items>
        <item x="0"/>
        <item x="1"/>
        <item x="2"/>
        <item x="3"/>
        <item x="4"/>
        <item x="5"/>
        <item x="6"/>
        <item x="7"/>
        <item x="8"/>
        <item x="9"/>
        <item x="10"/>
        <item x="11"/>
        <item x="12"/>
        <item x="13"/>
        <item x="14"/>
        <item x="15"/>
        <item x="16"/>
        <item x="17"/>
        <item t="default"/>
      </items>
    </pivotField>
    <pivotField name="Grapper" axis="axisPage" compact="0" outline="0" multipleItemSelectionAllowed="1" showAll="0">
      <items>
        <item x="0"/>
        <item h="1" x="1"/>
        <item h="1" x="2"/>
        <item h="1" x="3"/>
        <item t="default"/>
      </items>
    </pivotField>
    <pivotField name="Date vente" axis="axisCol" compact="0" numFmtId="164" outline="0" multipleItemSelectionAllowed="1" showAll="0" sortType="ascending">
      <items>
        <item x="0"/>
        <item x="1"/>
        <item x="2"/>
        <item x="3"/>
        <item x="4"/>
        <item x="5"/>
        <item x="6"/>
        <item x="7"/>
        <item x="8"/>
        <item x="9"/>
        <item x="10"/>
        <item x="11"/>
        <item x="12"/>
        <item x="13"/>
        <item t="default"/>
      </items>
    </pivotField>
    <pivotField name="Commission"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t="default"/>
      </items>
    </pivotField>
  </pivotFields>
  <rowFields>
    <field x="0"/>
    <field x="2"/>
  </rowFields>
  <colFields>
    <field x="16"/>
  </colFields>
  <pageFields>
    <pageField fld="1"/>
    <pageField fld="15"/>
    <pageField fld="11"/>
  </pageFields>
  <dataFields>
    <dataField name="SUM of Rémunération totale" fld="11" baseField="0"/>
  </dataFields>
  <filters>
    <filter fld="1" type="captionBetween" evalOrder="-1" id="1" stringValue1="01/01/2025" stringValue2="31/12/2025">
      <autoFilter ref="A1">
        <filterColumn colId="0">
          <customFilters and="1">
            <customFilter operator="greaterThanOrEqual" val="01/01/2025"/>
            <customFilter operator="lessThanOrEqual" val="31/12/2025"/>
          </customFilters>
        </filterColumn>
      </autoFilter>
    </filter>
    <filter fld="11" type="captionGreaterThan" evalOrder="-1" id="3" stringValue1="0">
      <autoFilter ref="A1">
        <filterColumn colId="0">
          <customFilters>
            <customFilter operator="greaterThan" val="0"/>
          </customFilters>
        </filterColumn>
      </autoFilter>
    </filter>
  </filters>
</pivotTableDefinition>
</file>

<file path=xl/pivotTables/pivotTable7.xml><?xml version="1.0" encoding="utf-8"?>
<pivotTableDefinition xmlns="http://schemas.openxmlformats.org/spreadsheetml/2006/main" name="CA2025 3" cacheId="6" dataCaption="" createdVersion="6" compact="0" compactData="0">
  <location ref="AH5:AP50" firstHeaderRow="0" firstDataRow="1" firstDataCol="1" rowPageCount="3" colPageCount="1"/>
  <pivotFields>
    <pivotField name="Talent" axis="axisRow" compact="0" outline="0" multipleItemSelectionAllowed="1" showAll="0" sortType="ascending">
      <items>
        <item x="63"/>
        <item x="51"/>
        <item x="21"/>
        <item x="11"/>
        <item x="49"/>
        <item x="30"/>
        <item x="52"/>
        <item x="19"/>
        <item x="53"/>
        <item x="25"/>
        <item x="23"/>
        <item x="3"/>
        <item x="1"/>
        <item x="45"/>
        <item x="28"/>
        <item x="38"/>
        <item x="33"/>
        <item x="40"/>
        <item x="54"/>
        <item x="39"/>
        <item x="6"/>
        <item x="50"/>
        <item x="29"/>
        <item x="60"/>
        <item x="31"/>
        <item x="26"/>
        <item x="34"/>
        <item x="22"/>
        <item x="16"/>
        <item x="7"/>
        <item x="10"/>
        <item x="41"/>
        <item x="61"/>
        <item x="46"/>
        <item x="62"/>
        <item x="12"/>
        <item x="55"/>
        <item x="47"/>
        <item x="48"/>
        <item x="4"/>
        <item x="5"/>
        <item x="15"/>
        <item x="9"/>
        <item x="43"/>
        <item x="59"/>
        <item x="35"/>
        <item x="56"/>
        <item x="17"/>
        <item x="2"/>
        <item x="18"/>
        <item x="57"/>
        <item x="27"/>
        <item x="14"/>
        <item x="44"/>
        <item x="42"/>
        <item x="8"/>
        <item x="0"/>
        <item x="13"/>
        <item x="24"/>
        <item x="58"/>
        <item x="20"/>
        <item x="37"/>
        <item x="32"/>
        <item x="36"/>
        <item t="default"/>
      </items>
    </pivotField>
    <pivotField name="Date Création" axis="axisPag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t="default"/>
      </items>
    </pivotField>
    <pivotField name="Marque"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t="default"/>
      </items>
    </pivotField>
    <pivotField name="Compléme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t="default"/>
      </items>
    </pivotField>
    <pivotField name=" Brouillon draf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t="default"/>
      </items>
    </pivotField>
    <pivotField name="Date Débu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t="default"/>
      </items>
    </pivotField>
    <pivotField name="Date Fi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t="default"/>
      </items>
    </pivotField>
    <pivotField name="Status" compact="0" outline="0" multipleItemSelectionAllowed="1" showAll="0">
      <items>
        <item x="0"/>
        <item x="1"/>
        <item x="2"/>
        <item x="3"/>
        <item x="4"/>
        <item x="5"/>
        <item x="6"/>
        <item x="7"/>
        <item t="default"/>
      </items>
    </pivotField>
    <pivotField name="Commentair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t="default"/>
      </items>
    </pivotField>
    <pivotField name="Description rapide de la deman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 name="Format (influence vs UGC)" compact="0" numFmtId="166" outline="0" multipleItemSelectionAllowed="1" showAll="0">
      <items>
        <item x="0"/>
        <item x="1"/>
        <item x="2"/>
        <item x="3"/>
        <item x="4"/>
        <item x="5"/>
        <item x="6"/>
        <item x="7"/>
        <item t="default"/>
      </items>
    </pivotField>
    <pivotField name="Rémunération totale" axis="axisPa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t="default"/>
      </items>
    </pivotField>
    <pivotField name="Date Stats" compact="0" outline="0" multipleItemSelectionAllowed="1" showAll="0">
      <items>
        <item x="0"/>
        <item x="1"/>
        <item x="2"/>
        <item x="3"/>
        <item x="4"/>
        <item x="5"/>
        <item x="6"/>
        <item x="7"/>
        <item x="8"/>
        <item x="9"/>
        <item x="10"/>
        <item x="11"/>
        <item x="12"/>
        <item t="default"/>
      </items>
    </pivotField>
    <pivotField name="Lien vide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t="default"/>
      </items>
    </pivotField>
    <pivotField name="X" compact="0" outline="0" multipleItemSelectionAllowed="1" showAll="0">
      <items>
        <item x="0"/>
        <item x="1"/>
        <item x="2"/>
        <item x="3"/>
        <item x="4"/>
        <item x="5"/>
        <item x="6"/>
        <item x="7"/>
        <item x="8"/>
        <item x="9"/>
        <item x="10"/>
        <item x="11"/>
        <item x="12"/>
        <item x="13"/>
        <item x="14"/>
        <item x="15"/>
        <item x="16"/>
        <item x="17"/>
        <item t="default"/>
      </items>
    </pivotField>
    <pivotField name="Grapper" axis="axisPage" compact="0" outline="0" multipleItemSelectionAllowed="1" showAll="0">
      <items>
        <item x="0"/>
        <item h="1" x="1"/>
        <item h="1" x="2"/>
        <item h="1" x="3"/>
        <item t="default"/>
      </items>
    </pivotField>
    <pivotField name="Date vente" axis="axisCol" compact="0" numFmtId="164" outline="0" multipleItemSelectionAllowed="1" showAll="0" sortType="ascending">
      <items>
        <item x="0"/>
        <item x="1"/>
        <item x="2"/>
        <item x="3"/>
        <item x="4"/>
        <item x="5"/>
        <item x="6"/>
        <item x="7"/>
        <item x="8"/>
        <item x="9"/>
        <item x="10"/>
        <item x="11"/>
        <item x="12"/>
        <item x="13"/>
        <item t="default"/>
      </items>
    </pivotField>
    <pivotField name="Commission" dataField="1"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t="default"/>
      </items>
    </pivotField>
  </pivotFields>
  <rowFields>
    <field x="0"/>
  </rowFields>
  <colFields>
    <field x="16"/>
  </colFields>
  <pageFields>
    <pageField fld="1"/>
    <pageField fld="15"/>
    <pageField fld="11"/>
  </pageFields>
  <dataFields>
    <dataField name="SUM of Commission" fld="17" baseField="0"/>
  </dataFields>
  <filters>
    <filter fld="1" type="captionBetween" evalOrder="-1" id="1" stringValue1="01/01/2025" stringValue2="31/12/2025">
      <autoFilter ref="A1">
        <filterColumn colId="0">
          <customFilters and="1">
            <customFilter operator="greaterThanOrEqual" val="01/01/2025"/>
            <customFilter operator="lessThanOrEqual" val="31/12/2025"/>
          </customFilters>
        </filterColumn>
      </autoFilter>
    </filter>
    <filter fld="11" type="captionGreaterThan" evalOrder="-1" id="3" stringValue1="0">
      <autoFilter ref="A1">
        <filterColumn colId="0">
          <customFilters>
            <customFilter operator="greaterThan" val="0"/>
          </customFilters>
        </filterColumn>
      </autoFilter>
    </filter>
  </filters>
</pivotTableDefinition>
</file>

<file path=xl/pivotTables/pivotTable8.xml><?xml version="1.0" encoding="utf-8"?>
<pivotTableDefinition xmlns="http://schemas.openxmlformats.org/spreadsheetml/2006/main" name="CA2025 4" cacheId="7" dataCaption="" compact="0" compactData="0">
  <location ref="BA1:BB60" firstHeaderRow="0" firstDataRow="1" firstDataCol="0"/>
  <pivotFields>
    <pivotField name="Talent" axis="axisRow" compact="0" outline="0" multipleItemSelectionAllowed="1" showAll="0" sortType="ascending">
      <items>
        <item x="51"/>
        <item x="21"/>
        <item x="11"/>
        <item x="49"/>
        <item x="30"/>
        <item x="52"/>
        <item x="19"/>
        <item x="53"/>
        <item x="25"/>
        <item x="23"/>
        <item x="3"/>
        <item x="1"/>
        <item x="45"/>
        <item x="28"/>
        <item x="38"/>
        <item x="33"/>
        <item x="40"/>
        <item x="54"/>
        <item x="39"/>
        <item x="6"/>
        <item x="50"/>
        <item x="29"/>
        <item x="31"/>
        <item x="26"/>
        <item x="34"/>
        <item x="22"/>
        <item x="16"/>
        <item x="7"/>
        <item x="10"/>
        <item x="41"/>
        <item x="46"/>
        <item x="12"/>
        <item x="55"/>
        <item x="47"/>
        <item x="48"/>
        <item x="4"/>
        <item x="5"/>
        <item x="15"/>
        <item x="9"/>
        <item x="43"/>
        <item x="35"/>
        <item x="56"/>
        <item x="17"/>
        <item x="2"/>
        <item x="18"/>
        <item x="57"/>
        <item x="27"/>
        <item x="14"/>
        <item x="44"/>
        <item x="42"/>
        <item x="8"/>
        <item x="0"/>
        <item x="13"/>
        <item x="24"/>
        <item x="20"/>
        <item x="37"/>
        <item x="32"/>
        <item x="36"/>
        <item t="default"/>
      </items>
    </pivotField>
    <pivotField name="Date Création"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t="default"/>
      </items>
    </pivotField>
    <pivotField name="Marque"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t="default"/>
      </items>
    </pivotField>
    <pivotField name="Compléme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 Brouillon draf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t="default"/>
      </items>
    </pivotField>
    <pivotField name="Date Débu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t="default"/>
      </items>
    </pivotField>
    <pivotField name="Date Fi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t="default"/>
      </items>
    </pivotField>
    <pivotField name="Status" compact="0" outline="0" multipleItemSelectionAllowed="1" showAll="0">
      <items>
        <item x="0"/>
        <item x="1"/>
        <item x="2"/>
        <item x="3"/>
        <item x="4"/>
        <item x="5"/>
        <item t="default"/>
      </items>
    </pivotField>
    <pivotField name="Commentair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t="default"/>
      </items>
    </pivotField>
    <pivotField name="Description rapide de la deman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name="Format (influence vs UGC)" compact="0" numFmtId="166" outline="0" multipleItemSelectionAllowed="1" showAll="0">
      <items>
        <item x="0"/>
        <item x="1"/>
        <item x="2"/>
        <item x="3"/>
        <item x="4"/>
        <item x="5"/>
        <item x="6"/>
        <item x="7"/>
        <item t="default"/>
      </items>
    </pivotField>
    <pivotField name="Rémunération totale"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t="default"/>
      </items>
    </pivotField>
    <pivotField name="Date Stats" compact="0" outline="0" multipleItemSelectionAllowed="1" showAll="0">
      <items>
        <item x="0"/>
        <item x="1"/>
        <item x="2"/>
        <item x="3"/>
        <item x="4"/>
        <item x="5"/>
        <item x="6"/>
        <item x="7"/>
        <item x="8"/>
        <item x="9"/>
        <item x="10"/>
        <item x="11"/>
        <item x="12"/>
        <item t="default"/>
      </items>
    </pivotField>
    <pivotField name="Lien vide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t="default"/>
      </items>
    </pivotField>
    <pivotField name="X" compact="0" outline="0" multipleItemSelectionAllowed="1" showAll="0">
      <items>
        <item x="0"/>
        <item x="1"/>
        <item x="2"/>
        <item x="3"/>
        <item x="4"/>
        <item x="5"/>
        <item x="6"/>
        <item x="7"/>
        <item x="8"/>
        <item x="9"/>
        <item x="10"/>
        <item x="11"/>
        <item x="12"/>
        <item x="13"/>
        <item x="14"/>
        <item x="15"/>
        <item t="default"/>
      </items>
    </pivotField>
    <pivotField name="Grapper" compact="0" outline="0" multipleItemSelectionAllowed="1" showAll="0">
      <items>
        <item x="0"/>
        <item x="1"/>
        <item x="2"/>
        <item x="3"/>
        <item t="default"/>
      </items>
    </pivotField>
    <pivotField name="Date ven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t="default"/>
      </items>
    </pivotField>
    <pivotField name="Commission"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t="default"/>
      </items>
    </pivotField>
    <pivotField name="Facture envoyé" compact="0" numFmtId="4" outline="0" multipleItemSelectionAllowed="1" showAll="0">
      <items>
        <item x="0"/>
        <item x="1"/>
        <item x="2"/>
        <item t="default"/>
      </items>
    </pivotField>
    <pivotField name="Mai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name="Event Brouillon" compact="0" outline="0" multipleItemSelectionAllowed="1" showAll="0">
      <items>
        <item x="0"/>
        <item x="1"/>
        <item x="2"/>
        <item t="default"/>
      </items>
    </pivotField>
    <pivotField name="Calendar ID pour brouill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name="Event Post" compact="0" outline="0" multipleItemSelectionAllowed="1" showAll="0">
      <items>
        <item x="0"/>
        <item x="1"/>
        <item x="2"/>
        <item t="default"/>
      </items>
    </pivotField>
    <pivotField name="Calendar ID P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t="default"/>
      </items>
    </pivotField>
    <pivotField name="Date Estimée de Réception" compact="0" outline="0" multipleItemSelectionAllowed="1" showAll="0">
      <items>
        <item x="0"/>
        <item x="1"/>
        <item t="default"/>
      </items>
    </pivotField>
    <pivotField name="Date Réelle de Réception" compact="0" outline="0" multipleItemSelectionAllowed="1" showAll="0">
      <items>
        <item x="0"/>
        <item t="default"/>
      </items>
    </pivotField>
    <pivotField name="Status Colis" compact="0" outline="0" multipleItemSelectionAllowed="1" showAll="0">
      <items>
        <item x="0"/>
        <item x="1"/>
        <item x="2"/>
        <item x="3"/>
        <item t="default"/>
      </items>
    </pivotField>
    <pivotField name="Commentaires" compact="0" outline="0" multipleItemSelectionAllowed="1" showAll="0">
      <items>
        <item x="0"/>
        <item t="default"/>
      </items>
    </pivotField>
    <pivotField name="ID Form" compact="0" outline="0" multipleItemSelectionAllowed="1" showAll="0">
      <items>
        <item x="0"/>
        <item x="1"/>
        <item t="default"/>
      </items>
    </pivotField>
  </pivotFields>
  <rowFields>
    <field x="0"/>
  </rowFields>
  <dataFields>
    <dataField name="SUM of Rémunération totale" fld="11" baseField="0"/>
  </dataFields>
</pivotTableDefinition>
</file>

<file path=xl/pivotTables/pivotTable9.xml><?xml version="1.0" encoding="utf-8"?>
<pivotTableDefinition xmlns="http://schemas.openxmlformats.org/spreadsheetml/2006/main" name="Objectifs25" cacheId="8" dataCaption="" compact="0" compactData="0">
  <location ref="A27:B212" firstHeaderRow="0" firstDataRow="1" firstDataCol="0" rowPageCount="1" colPageCount="1"/>
  <pivotFields>
    <pivotField name="Tale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t="default"/>
      </items>
    </pivotField>
    <pivotField name="Date Création" axis="axisRow" compact="0" numFmtId="164" outline="0" multipleItemSelectionAllowed="1" showAll="0" sortType="ascending">
      <items>
        <item x="2"/>
        <item x="233"/>
        <item x="232"/>
        <item x="248"/>
        <item x="223"/>
        <item x="0"/>
        <item x="190"/>
        <item x="1"/>
        <item x="260"/>
        <item x="15"/>
        <item x="7"/>
        <item x="211"/>
        <item x="216"/>
        <item x="4"/>
        <item x="241"/>
        <item x="229"/>
        <item x="257"/>
        <item x="3"/>
        <item x="217"/>
        <item x="212"/>
        <item x="213"/>
        <item x="5"/>
        <item x="218"/>
        <item x="16"/>
        <item x="6"/>
        <item x="251"/>
        <item x="230"/>
        <item x="9"/>
        <item x="191"/>
        <item x="193"/>
        <item x="8"/>
        <item x="249"/>
        <item x="231"/>
        <item x="19"/>
        <item x="12"/>
        <item x="11"/>
        <item x="10"/>
        <item x="18"/>
        <item x="13"/>
        <item x="14"/>
        <item x="21"/>
        <item x="192"/>
        <item x="235"/>
        <item x="242"/>
        <item x="219"/>
        <item x="20"/>
        <item x="194"/>
        <item x="220"/>
        <item x="224"/>
        <item x="17"/>
        <item x="181"/>
        <item x="250"/>
        <item x="214"/>
        <item x="180"/>
        <item x="22"/>
        <item x="27"/>
        <item x="25"/>
        <item x="34"/>
        <item x="31"/>
        <item x="24"/>
        <item x="236"/>
        <item x="23"/>
        <item x="26"/>
        <item x="206"/>
        <item x="32"/>
        <item x="226"/>
        <item x="197"/>
        <item x="30"/>
        <item x="38"/>
        <item x="33"/>
        <item x="243"/>
        <item x="252"/>
        <item x="36"/>
        <item x="208"/>
        <item x="246"/>
        <item x="28"/>
        <item x="44"/>
        <item x="265"/>
        <item x="195"/>
        <item x="40"/>
        <item x="39"/>
        <item x="35"/>
        <item x="29"/>
        <item x="42"/>
        <item x="43"/>
        <item x="46"/>
        <item x="37"/>
        <item x="45"/>
        <item x="41"/>
        <item x="207"/>
        <item x="196"/>
        <item x="49"/>
        <item x="261"/>
        <item x="51"/>
        <item x="48"/>
        <item x="60"/>
        <item x="47"/>
        <item x="53"/>
        <item x="198"/>
        <item x="221"/>
        <item x="57"/>
        <item x="62"/>
        <item x="262"/>
        <item x="64"/>
        <item x="54"/>
        <item x="188"/>
        <item x="175"/>
        <item x="56"/>
        <item x="69"/>
        <item x="50"/>
        <item x="52"/>
        <item x="59"/>
        <item x="58"/>
        <item x="209"/>
        <item x="199"/>
        <item x="256"/>
        <item x="227"/>
        <item x="225"/>
        <item x="247"/>
        <item x="200"/>
        <item x="61"/>
        <item x="65"/>
        <item x="253"/>
        <item x="201"/>
        <item x="66"/>
        <item x="73"/>
        <item x="254"/>
        <item x="228"/>
        <item x="176"/>
        <item x="237"/>
        <item x="202"/>
        <item x="215"/>
        <item x="75"/>
        <item x="70"/>
        <item x="255"/>
        <item x="258"/>
        <item x="171"/>
        <item x="102"/>
        <item x="101"/>
        <item x="80"/>
        <item x="72"/>
        <item x="76"/>
        <item x="68"/>
        <item x="71"/>
        <item x="74"/>
        <item x="245"/>
        <item x="79"/>
        <item x="77"/>
        <item x="183"/>
        <item x="78"/>
        <item x="88"/>
        <item x="238"/>
        <item x="177"/>
        <item x="210"/>
        <item x="263"/>
        <item x="82"/>
        <item x="244"/>
        <item x="85"/>
        <item x="84"/>
        <item x="184"/>
        <item x="81"/>
        <item x="203"/>
        <item x="89"/>
        <item x="179"/>
        <item x="86"/>
        <item x="83"/>
        <item x="178"/>
        <item x="94"/>
        <item x="189"/>
        <item x="87"/>
        <item x="185"/>
        <item x="239"/>
        <item x="92"/>
        <item x="90"/>
        <item x="264"/>
        <item x="204"/>
        <item x="93"/>
        <item x="98"/>
        <item x="205"/>
        <item x="104"/>
        <item x="97"/>
        <item x="95"/>
        <item x="103"/>
        <item x="100"/>
        <item x="96"/>
        <item x="99"/>
        <item x="107"/>
        <item x="276"/>
        <item x="161"/>
        <item x="110"/>
        <item x="187"/>
        <item x="146"/>
        <item x="186"/>
        <item x="105"/>
        <item x="108"/>
        <item x="109"/>
        <item x="106"/>
        <item x="116"/>
        <item x="91"/>
        <item x="111"/>
        <item x="240"/>
        <item x="182"/>
        <item x="115"/>
        <item x="113"/>
        <item x="114"/>
        <item x="133"/>
        <item x="174"/>
        <item x="122"/>
        <item x="117"/>
        <item x="119"/>
        <item x="137"/>
        <item x="123"/>
        <item x="125"/>
        <item x="120"/>
        <item x="234"/>
        <item x="134"/>
        <item x="118"/>
        <item x="121"/>
        <item x="144"/>
        <item x="132"/>
        <item x="143"/>
        <item x="112"/>
        <item x="126"/>
        <item x="127"/>
        <item x="138"/>
        <item x="135"/>
        <item x="136"/>
        <item x="222"/>
        <item x="131"/>
        <item x="128"/>
        <item x="124"/>
        <item x="140"/>
        <item x="148"/>
        <item x="129"/>
        <item x="259"/>
        <item x="139"/>
        <item x="151"/>
        <item x="67"/>
        <item x="63"/>
        <item x="130"/>
        <item x="147"/>
        <item x="55"/>
        <item x="163"/>
        <item x="150"/>
        <item x="152"/>
        <item x="154"/>
        <item x="156"/>
        <item x="172"/>
        <item x="141"/>
        <item x="162"/>
        <item x="153"/>
        <item x="142"/>
        <item x="159"/>
        <item x="155"/>
        <item x="169"/>
        <item x="157"/>
        <item x="168"/>
        <item x="158"/>
        <item x="166"/>
        <item x="145"/>
        <item x="164"/>
        <item x="160"/>
        <item x="273"/>
        <item x="149"/>
        <item x="275"/>
        <item x="173"/>
        <item x="167"/>
        <item x="170"/>
        <item x="277"/>
        <item x="278"/>
        <item x="266"/>
        <item x="274"/>
        <item x="165"/>
        <item x="279"/>
        <item x="267"/>
        <item x="268"/>
        <item x="269"/>
        <item x="270"/>
        <item x="271"/>
        <item x="272"/>
        <item x="280"/>
        <item x="281"/>
        <item t="default"/>
      </items>
    </pivotField>
    <pivotField name="Marque"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t="default"/>
      </items>
    </pivotField>
    <pivotField name="Compléme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t="default"/>
      </items>
    </pivotField>
    <pivotField name=" Brouillon draf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t="default"/>
      </items>
    </pivotField>
    <pivotField name="Date Débu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t="default"/>
      </items>
    </pivotField>
    <pivotField name="Date Fi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t="default"/>
      </items>
    </pivotField>
    <pivotField name="Status" compact="0" outline="0" multipleItemSelectionAllowed="1" showAll="0">
      <items>
        <item x="0"/>
        <item x="1"/>
        <item x="2"/>
        <item x="3"/>
        <item x="4"/>
        <item x="5"/>
        <item x="6"/>
        <item x="7"/>
        <item t="default"/>
      </items>
    </pivotField>
    <pivotField name="Commentair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t="default"/>
      </items>
    </pivotField>
    <pivotField name="Description rapide de la deman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 name="Format (influence vs UGC)" compact="0" numFmtId="166" outline="0" multipleItemSelectionAllowed="1" showAll="0">
      <items>
        <item x="0"/>
        <item x="1"/>
        <item x="2"/>
        <item x="3"/>
        <item x="4"/>
        <item x="5"/>
        <item x="6"/>
        <item x="7"/>
        <item t="default"/>
      </items>
    </pivotField>
    <pivotField name="Rémunération total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t="default"/>
      </items>
    </pivotField>
    <pivotField name="Date Stats" compact="0" outline="0" multipleItemSelectionAllowed="1" showAll="0">
      <items>
        <item x="0"/>
        <item x="1"/>
        <item x="2"/>
        <item x="3"/>
        <item x="4"/>
        <item x="5"/>
        <item x="6"/>
        <item x="7"/>
        <item x="8"/>
        <item x="9"/>
        <item x="10"/>
        <item x="11"/>
        <item x="12"/>
        <item t="default"/>
      </items>
    </pivotField>
    <pivotField name="Lien vide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t="default"/>
      </items>
    </pivotField>
    <pivotField name="X" compact="0" outline="0" multipleItemSelectionAllowed="1" showAll="0">
      <items>
        <item x="0"/>
        <item x="1"/>
        <item x="2"/>
        <item x="3"/>
        <item x="4"/>
        <item x="5"/>
        <item x="6"/>
        <item x="7"/>
        <item x="8"/>
        <item x="9"/>
        <item x="10"/>
        <item x="11"/>
        <item x="12"/>
        <item x="13"/>
        <item x="14"/>
        <item x="15"/>
        <item x="16"/>
        <item x="17"/>
        <item t="default"/>
      </items>
    </pivotField>
    <pivotField name="Grapper" axis="axisPage" compact="0" outline="0" multipleItemSelectionAllowed="1" showAll="0">
      <items>
        <item x="0"/>
        <item h="1" x="1"/>
        <item h="1" x="2"/>
        <item h="1" x="3"/>
        <item t="default"/>
      </items>
    </pivotField>
    <pivotField name="Date ven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t="default"/>
      </items>
    </pivotField>
    <pivotField name="Commission" dataField="1"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t="default"/>
      </items>
    </pivotField>
    <pivotField name="Facture envoyé" compact="0" numFmtId="4" outline="0" multipleItemSelectionAllowed="1" showAll="0">
      <items>
        <item x="0"/>
        <item x="1"/>
        <item x="2"/>
        <item t="default"/>
      </items>
    </pivotField>
    <pivotField name="Mai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name="Event Brouillon" compact="0" outline="0" multipleItemSelectionAllowed="1" showAll="0">
      <items>
        <item x="0"/>
        <item x="1"/>
        <item x="2"/>
        <item t="default"/>
      </items>
    </pivotField>
    <pivotField name="Calendar ID pour brouill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name="Event Post" compact="0" outline="0" multipleItemSelectionAllowed="1" showAll="0">
      <items>
        <item x="0"/>
        <item x="1"/>
        <item x="2"/>
        <item t="default"/>
      </items>
    </pivotField>
    <pivotField name="Calendar ID P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t="default"/>
      </items>
    </pivotField>
    <pivotField name="Date Estimée de Réception" compact="0" outline="0" multipleItemSelectionAllowed="1" showAll="0">
      <items>
        <item x="0"/>
        <item x="1"/>
        <item t="default"/>
      </items>
    </pivotField>
    <pivotField name="Date Réelle de Réception" compact="0" outline="0" multipleItemSelectionAllowed="1" showAll="0">
      <items>
        <item x="0"/>
        <item t="default"/>
      </items>
    </pivotField>
    <pivotField name="Status Colis" compact="0" outline="0" multipleItemSelectionAllowed="1" showAll="0">
      <items>
        <item x="0"/>
        <item x="1"/>
        <item x="2"/>
        <item x="3"/>
        <item t="default"/>
      </items>
    </pivotField>
    <pivotField name="Commentaires" compact="0" outline="0" multipleItemSelectionAllowed="1" showAll="0">
      <items>
        <item x="0"/>
        <item t="default"/>
      </items>
    </pivotField>
    <pivotField name="ID Form" compact="0" outline="0" multipleItemSelectionAllowed="1" showAll="0">
      <items>
        <item x="0"/>
        <item x="1"/>
        <item t="default"/>
      </items>
    </pivotField>
  </pivotFields>
  <rowFields>
    <field x="1"/>
  </rowFields>
  <pageFields>
    <pageField fld="15"/>
  </pageFields>
  <dataFields>
    <dataField name="SUM of Commission" fld="17" baseField="0"/>
  </dataFields>
</pivotTableDefinition>
</file>

<file path=xl/pivotTables/pivotTable10.xml><?xml version="1.0" encoding="utf-8"?>
<pivotTableDefinition xmlns="http://schemas.openxmlformats.org/spreadsheetml/2006/main" name="Objectifs25 2" cacheId="9" dataCaption="" compact="0" compactData="0">
  <location ref="E27:I29" firstHeaderRow="0" firstDataRow="0" firstDataCol="1"/>
  <pivotFields>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 name="Tale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t="default"/>
      </items>
    </pivotField>
    <pivotField name="Marqu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t="default"/>
      </items>
    </pivotField>
    <pivotField name="N° Factur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t="default"/>
      </items>
    </pivotField>
    <pivotField name="Montant" compact="0" numFmtId="169"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t="default"/>
      </items>
    </pivotField>
    <pivotField name="Bénéfice" dataField="1" compact="0" numFmtId="169"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t="default"/>
      </items>
    </pivotField>
    <pivotField name="Rémunération Talent" compact="0" numFmtId="169"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t="default"/>
      </items>
    </pivotField>
    <pivotField name="FACTURATION" axis="axisCol" compact="0" outline="0" multipleItemSelectionAllowed="1" showAll="0" sortType="ascending">
      <items>
        <item x="2"/>
        <item x="1"/>
        <item x="0"/>
        <item t="default"/>
      </items>
    </pivotField>
    <pivotField name="VAT" compact="0" outline="0" multipleItemSelectionAllowed="1" showAll="0">
      <items>
        <item x="0"/>
        <item x="1"/>
        <item x="2"/>
        <item t="default"/>
      </items>
    </pivotField>
    <pivotField name="Virement" compact="0" outline="0" multipleItemSelectionAllowed="1" showAll="0">
      <items>
        <item x="0"/>
        <item x="1"/>
        <item x="2"/>
        <item x="3"/>
        <item x="4"/>
        <item x="5"/>
        <item x="6"/>
        <item x="7"/>
        <item x="8"/>
        <item x="9"/>
        <item x="10"/>
        <item x="11"/>
        <item x="12"/>
        <item x="13"/>
        <item t="default"/>
      </items>
    </pivotField>
    <pivotField name="date2"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t="default"/>
      </items>
    </pivotField>
    <pivotField name="Status" compact="0" outline="0" multipleItemSelectionAllowed="1" showAll="0">
      <items>
        <item x="0"/>
        <item t="default"/>
      </items>
    </pivotField>
  </pivotFields>
  <colFields>
    <field x="7"/>
  </colFields>
  <dataFields>
    <dataField name="SUM of Bénéfice" fld="5" baseField="0"/>
  </dataFields>
</pivotTableDefinition>
</file>

<file path=xl/pivotTables/pivotTable11.xml><?xml version="1.0" encoding="utf-8"?>
<pivotTableDefinition xmlns="http://schemas.openxmlformats.org/spreadsheetml/2006/main" name="Objectifs25 3" cacheId="10" dataCaption="" compact="0" compactData="0">
  <location ref="E32:E33" firstHeaderRow="0" firstDataRow="0" firstDataCol="0" rowPageCount="1" colPageCount="1"/>
  <pivotFields>
    <pivotField name="Tale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t="default"/>
      </items>
    </pivotField>
    <pivotField name="Date Création"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t="default"/>
      </items>
    </pivotField>
    <pivotField name="Marque"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t="default"/>
      </items>
    </pivotField>
    <pivotField name="Compléme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t="default"/>
      </items>
    </pivotField>
    <pivotField name=" Brouillon draf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t="default"/>
      </items>
    </pivotField>
    <pivotField name="Date Débu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t="default"/>
      </items>
    </pivotField>
    <pivotField name="Date Fi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t="default"/>
      </items>
    </pivotField>
    <pivotField name="Status" axis="axisPage" compact="0" outline="0" multipleItemSelectionAllowed="1" showAll="0">
      <items>
        <item h="1" x="0"/>
        <item x="1"/>
        <item h="1" x="2"/>
        <item h="1" x="3"/>
        <item h="1" x="4"/>
        <item h="1" x="5"/>
        <item h="1" x="6"/>
        <item h="1" x="7"/>
        <item t="default"/>
      </items>
    </pivotField>
    <pivotField name="Commentair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t="default"/>
      </items>
    </pivotField>
    <pivotField name="Description rapide de la deman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 name="Format (influence vs UGC)" compact="0" numFmtId="166" outline="0" multipleItemSelectionAllowed="1" showAll="0">
      <items>
        <item x="0"/>
        <item x="1"/>
        <item x="2"/>
        <item x="3"/>
        <item x="4"/>
        <item x="5"/>
        <item x="6"/>
        <item x="7"/>
        <item t="default"/>
      </items>
    </pivotField>
    <pivotField name="Rémunération total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t="default"/>
      </items>
    </pivotField>
    <pivotField name="Date Stats" compact="0" outline="0" multipleItemSelectionAllowed="1" showAll="0">
      <items>
        <item x="0"/>
        <item x="1"/>
        <item x="2"/>
        <item x="3"/>
        <item x="4"/>
        <item x="5"/>
        <item x="6"/>
        <item x="7"/>
        <item x="8"/>
        <item x="9"/>
        <item x="10"/>
        <item x="11"/>
        <item x="12"/>
        <item t="default"/>
      </items>
    </pivotField>
    <pivotField name="Lien vide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t="default"/>
      </items>
    </pivotField>
    <pivotField name="X" compact="0" outline="0" multipleItemSelectionAllowed="1" showAll="0">
      <items>
        <item x="0"/>
        <item x="1"/>
        <item x="2"/>
        <item x="3"/>
        <item x="4"/>
        <item x="5"/>
        <item x="6"/>
        <item x="7"/>
        <item x="8"/>
        <item x="9"/>
        <item x="10"/>
        <item x="11"/>
        <item x="12"/>
        <item x="13"/>
        <item x="14"/>
        <item x="15"/>
        <item x="16"/>
        <item x="17"/>
        <item t="default"/>
      </items>
    </pivotField>
    <pivotField name="Grapper" compact="0" outline="0" multipleItemSelectionAllowed="1" showAll="0">
      <items>
        <item x="0"/>
        <item x="1"/>
        <item x="2"/>
        <item x="3"/>
        <item t="default"/>
      </items>
    </pivotField>
    <pivotField name="Date ven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t="default"/>
      </items>
    </pivotField>
    <pivotField name="Commission" dataField="1"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t="default"/>
      </items>
    </pivotField>
    <pivotField name="Facture envoyé" compact="0" numFmtId="4" outline="0" multipleItemSelectionAllowed="1" showAll="0">
      <items>
        <item x="0"/>
        <item x="1"/>
        <item x="2"/>
        <item t="default"/>
      </items>
    </pivotField>
    <pivotField name="Mai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name="Event Brouillon" compact="0" outline="0" multipleItemSelectionAllowed="1" showAll="0">
      <items>
        <item x="0"/>
        <item x="1"/>
        <item x="2"/>
        <item t="default"/>
      </items>
    </pivotField>
    <pivotField name="Calendar ID pour brouill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name="Event Post" compact="0" outline="0" multipleItemSelectionAllowed="1" showAll="0">
      <items>
        <item x="0"/>
        <item x="1"/>
        <item x="2"/>
        <item t="default"/>
      </items>
    </pivotField>
    <pivotField name="Calendar ID P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t="default"/>
      </items>
    </pivotField>
    <pivotField name="Date Estimée de Réception" compact="0" outline="0" multipleItemSelectionAllowed="1" showAll="0">
      <items>
        <item x="0"/>
        <item x="1"/>
        <item t="default"/>
      </items>
    </pivotField>
    <pivotField name="Date Réelle de Réception" compact="0" outline="0" multipleItemSelectionAllowed="1" showAll="0">
      <items>
        <item x="0"/>
        <item t="default"/>
      </items>
    </pivotField>
    <pivotField name="Status Colis" compact="0" outline="0" multipleItemSelectionAllowed="1" showAll="0">
      <items>
        <item x="0"/>
        <item x="1"/>
        <item x="2"/>
        <item x="3"/>
        <item t="default"/>
      </items>
    </pivotField>
    <pivotField name="Commentaires" compact="0" outline="0" multipleItemSelectionAllowed="1" showAll="0">
      <items>
        <item x="0"/>
        <item t="default"/>
      </items>
    </pivotField>
    <pivotField name="ID Form" compact="0" outline="0" multipleItemSelectionAllowed="1" showAll="0">
      <items>
        <item x="0"/>
        <item x="1"/>
        <item t="default"/>
      </items>
    </pivotField>
  </pivotFields>
  <pageFields>
    <pageField fld="7"/>
  </pageFields>
  <dataFields>
    <dataField name="Facture à Envoyer" fld="17" baseField="0"/>
  </dataFields>
</pivotTableDefinition>
</file>

<file path=xl/pivotTables/pivotTable12.xml><?xml version="1.0" encoding="utf-8"?>
<pivotTableDefinition xmlns="http://schemas.openxmlformats.org/spreadsheetml/2006/main" name="Objectifs25 4" cacheId="11" dataCaption="" compact="0" compactData="0">
  <location ref="F32:F33" firstHeaderRow="0" firstDataRow="0" firstDataCol="0" rowPageCount="1" colPageCount="1"/>
  <pivotFields>
    <pivotField name="Tale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t="default"/>
      </items>
    </pivotField>
    <pivotField name="Date Création"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t="default"/>
      </items>
    </pivotField>
    <pivotField name="Marque"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t="default"/>
      </items>
    </pivotField>
    <pivotField name="Compléme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t="default"/>
      </items>
    </pivotField>
    <pivotField name=" Brouillon draf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t="default"/>
      </items>
    </pivotField>
    <pivotField name="Date Débu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t="default"/>
      </items>
    </pivotField>
    <pivotField name="Date Fi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t="default"/>
      </items>
    </pivotField>
    <pivotField name="Status" axis="axisPage" compact="0" outline="0" multipleItemSelectionAllowed="1" showAll="0">
      <items>
        <item h="1" x="0"/>
        <item h="1" x="1"/>
        <item x="2"/>
        <item x="3"/>
        <item x="4"/>
        <item x="5"/>
        <item x="6"/>
        <item x="7"/>
        <item t="default"/>
      </items>
    </pivotField>
    <pivotField name="Commentair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t="default"/>
      </items>
    </pivotField>
    <pivotField name="Description rapide de la deman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 name="Format (influence vs UGC)" compact="0" numFmtId="166" outline="0" multipleItemSelectionAllowed="1" showAll="0">
      <items>
        <item x="0"/>
        <item x="1"/>
        <item x="2"/>
        <item x="3"/>
        <item x="4"/>
        <item x="5"/>
        <item x="6"/>
        <item x="7"/>
        <item t="default"/>
      </items>
    </pivotField>
    <pivotField name="Rémunération total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t="default"/>
      </items>
    </pivotField>
    <pivotField name="Date Stats" compact="0" outline="0" multipleItemSelectionAllowed="1" showAll="0">
      <items>
        <item x="0"/>
        <item x="1"/>
        <item x="2"/>
        <item x="3"/>
        <item x="4"/>
        <item x="5"/>
        <item x="6"/>
        <item x="7"/>
        <item x="8"/>
        <item x="9"/>
        <item x="10"/>
        <item x="11"/>
        <item x="12"/>
        <item t="default"/>
      </items>
    </pivotField>
    <pivotField name="Lien vide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t="default"/>
      </items>
    </pivotField>
    <pivotField name="X" compact="0" outline="0" multipleItemSelectionAllowed="1" showAll="0">
      <items>
        <item x="0"/>
        <item x="1"/>
        <item x="2"/>
        <item x="3"/>
        <item x="4"/>
        <item x="5"/>
        <item x="6"/>
        <item x="7"/>
        <item x="8"/>
        <item x="9"/>
        <item x="10"/>
        <item x="11"/>
        <item x="12"/>
        <item x="13"/>
        <item x="14"/>
        <item x="15"/>
        <item x="16"/>
        <item x="17"/>
        <item t="default"/>
      </items>
    </pivotField>
    <pivotField name="Grapper" compact="0" outline="0" multipleItemSelectionAllowed="1" showAll="0">
      <items>
        <item x="0"/>
        <item x="1"/>
        <item x="2"/>
        <item x="3"/>
        <item t="default"/>
      </items>
    </pivotField>
    <pivotField name="Date ven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t="default"/>
      </items>
    </pivotField>
    <pivotField name="Commission" dataField="1"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t="default"/>
      </items>
    </pivotField>
    <pivotField name="Facture envoyé" compact="0" numFmtId="4" outline="0" multipleItemSelectionAllowed="1" showAll="0">
      <items>
        <item x="0"/>
        <item x="1"/>
        <item x="2"/>
        <item t="default"/>
      </items>
    </pivotField>
    <pivotField name="Mai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name="Event Brouillon" compact="0" outline="0" multipleItemSelectionAllowed="1" showAll="0">
      <items>
        <item x="0"/>
        <item x="1"/>
        <item x="2"/>
        <item t="default"/>
      </items>
    </pivotField>
    <pivotField name="Calendar ID pour brouill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name="Event Post" compact="0" outline="0" multipleItemSelectionAllowed="1" showAll="0">
      <items>
        <item x="0"/>
        <item x="1"/>
        <item x="2"/>
        <item t="default"/>
      </items>
    </pivotField>
    <pivotField name="Calendar ID P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t="default"/>
      </items>
    </pivotField>
    <pivotField name="Date Estimée de Réception" compact="0" outline="0" multipleItemSelectionAllowed="1" showAll="0">
      <items>
        <item x="0"/>
        <item x="1"/>
        <item t="default"/>
      </items>
    </pivotField>
    <pivotField name="Date Réelle de Réception" compact="0" outline="0" multipleItemSelectionAllowed="1" showAll="0">
      <items>
        <item x="0"/>
        <item t="default"/>
      </items>
    </pivotField>
    <pivotField name="Status Colis" compact="0" outline="0" multipleItemSelectionAllowed="1" showAll="0">
      <items>
        <item x="0"/>
        <item x="1"/>
        <item x="2"/>
        <item x="3"/>
        <item t="default"/>
      </items>
    </pivotField>
    <pivotField name="Commentaires" compact="0" outline="0" multipleItemSelectionAllowed="1" showAll="0">
      <items>
        <item x="0"/>
        <item t="default"/>
      </items>
    </pivotField>
    <pivotField name="ID Form" compact="0" outline="0" multipleItemSelectionAllowed="1" showAll="0">
      <items>
        <item x="0"/>
        <item x="1"/>
        <item t="default"/>
      </items>
    </pivotField>
  </pivotFields>
  <pageFields>
    <pageField fld="7"/>
  </pageFields>
  <dataFields>
    <dataField name="Campagne à finaliser" fld="17" baseField="0"/>
  </dataFields>
</pivotTableDefinition>
</file>

<file path=xl/pivotTables/pivotTable13.xml><?xml version="1.0" encoding="utf-8"?>
<pivotTableDefinition xmlns="http://schemas.openxmlformats.org/spreadsheetml/2006/main" name="Tableau croisé dynamique 14" cacheId="12" dataCaption="" compact="0" compactData="0">
  <location ref="A1:B22" firstHeaderRow="0" firstDataRow="1" firstDataCol="0"/>
  <pivotFields>
    <pivotField name="Tale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t="default"/>
      </items>
    </pivotField>
    <pivotField name="Date Création" axis="axisRow" compact="0" numFmtId="164" outline="0" multipleItemSelectionAllowed="1" showAll="0" sortType="ascending">
      <items>
        <item x="2"/>
        <item x="233"/>
        <item x="232"/>
        <item x="248"/>
        <item x="223"/>
        <item x="0"/>
        <item x="190"/>
        <item x="1"/>
        <item x="260"/>
        <item x="15"/>
        <item x="7"/>
        <item x="211"/>
        <item x="216"/>
        <item x="4"/>
        <item x="241"/>
        <item x="229"/>
        <item x="257"/>
        <item x="3"/>
        <item x="217"/>
        <item x="212"/>
        <item x="213"/>
        <item x="5"/>
        <item x="218"/>
        <item x="16"/>
        <item x="6"/>
        <item x="251"/>
        <item x="230"/>
        <item x="9"/>
        <item x="191"/>
        <item x="193"/>
        <item x="8"/>
        <item x="249"/>
        <item x="231"/>
        <item x="19"/>
        <item x="12"/>
        <item x="11"/>
        <item x="10"/>
        <item x="18"/>
        <item x="13"/>
        <item x="14"/>
        <item x="21"/>
        <item x="192"/>
        <item x="235"/>
        <item x="242"/>
        <item x="219"/>
        <item x="20"/>
        <item x="194"/>
        <item x="220"/>
        <item x="224"/>
        <item x="17"/>
        <item x="181"/>
        <item x="250"/>
        <item x="214"/>
        <item x="180"/>
        <item x="22"/>
        <item x="27"/>
        <item x="25"/>
        <item x="34"/>
        <item x="31"/>
        <item x="24"/>
        <item x="236"/>
        <item x="23"/>
        <item x="26"/>
        <item x="206"/>
        <item x="32"/>
        <item x="226"/>
        <item x="197"/>
        <item x="30"/>
        <item x="38"/>
        <item x="33"/>
        <item x="243"/>
        <item x="252"/>
        <item x="36"/>
        <item x="208"/>
        <item x="246"/>
        <item x="28"/>
        <item x="44"/>
        <item x="265"/>
        <item x="195"/>
        <item x="40"/>
        <item x="39"/>
        <item x="35"/>
        <item x="29"/>
        <item x="42"/>
        <item x="43"/>
        <item x="46"/>
        <item x="37"/>
        <item x="45"/>
        <item x="41"/>
        <item x="207"/>
        <item x="196"/>
        <item x="49"/>
        <item x="261"/>
        <item x="51"/>
        <item x="48"/>
        <item x="60"/>
        <item x="47"/>
        <item x="53"/>
        <item x="198"/>
        <item x="221"/>
        <item x="57"/>
        <item x="62"/>
        <item x="262"/>
        <item x="64"/>
        <item x="54"/>
        <item x="188"/>
        <item x="175"/>
        <item x="56"/>
        <item x="69"/>
        <item x="50"/>
        <item x="52"/>
        <item x="59"/>
        <item x="58"/>
        <item x="209"/>
        <item x="199"/>
        <item x="256"/>
        <item x="227"/>
        <item x="225"/>
        <item x="247"/>
        <item x="200"/>
        <item x="61"/>
        <item x="65"/>
        <item x="253"/>
        <item x="201"/>
        <item x="66"/>
        <item x="73"/>
        <item x="254"/>
        <item x="228"/>
        <item x="176"/>
        <item x="237"/>
        <item x="202"/>
        <item x="215"/>
        <item x="75"/>
        <item x="70"/>
        <item x="255"/>
        <item x="258"/>
        <item x="171"/>
        <item x="102"/>
        <item x="101"/>
        <item x="80"/>
        <item x="72"/>
        <item x="76"/>
        <item x="68"/>
        <item x="71"/>
        <item x="74"/>
        <item x="245"/>
        <item x="79"/>
        <item x="77"/>
        <item x="183"/>
        <item x="78"/>
        <item x="88"/>
        <item x="238"/>
        <item x="177"/>
        <item x="210"/>
        <item x="263"/>
        <item x="82"/>
        <item x="244"/>
        <item x="85"/>
        <item x="84"/>
        <item x="184"/>
        <item x="81"/>
        <item x="203"/>
        <item x="89"/>
        <item x="179"/>
        <item x="86"/>
        <item x="83"/>
        <item x="178"/>
        <item x="94"/>
        <item x="189"/>
        <item x="87"/>
        <item x="185"/>
        <item x="239"/>
        <item x="92"/>
        <item x="90"/>
        <item x="264"/>
        <item x="204"/>
        <item x="93"/>
        <item x="98"/>
        <item x="205"/>
        <item x="104"/>
        <item x="97"/>
        <item x="95"/>
        <item x="103"/>
        <item x="100"/>
        <item x="96"/>
        <item x="99"/>
        <item x="107"/>
        <item x="276"/>
        <item x="161"/>
        <item x="110"/>
        <item x="187"/>
        <item x="146"/>
        <item x="186"/>
        <item x="105"/>
        <item x="108"/>
        <item x="109"/>
        <item x="106"/>
        <item x="116"/>
        <item x="91"/>
        <item x="111"/>
        <item x="240"/>
        <item x="182"/>
        <item x="115"/>
        <item x="113"/>
        <item x="114"/>
        <item x="133"/>
        <item x="174"/>
        <item x="122"/>
        <item x="117"/>
        <item x="119"/>
        <item x="137"/>
        <item x="123"/>
        <item x="125"/>
        <item x="120"/>
        <item x="234"/>
        <item x="134"/>
        <item x="118"/>
        <item x="121"/>
        <item x="144"/>
        <item x="132"/>
        <item x="143"/>
        <item x="112"/>
        <item x="126"/>
        <item x="127"/>
        <item x="138"/>
        <item x="135"/>
        <item x="136"/>
        <item x="222"/>
        <item x="131"/>
        <item x="128"/>
        <item x="124"/>
        <item x="140"/>
        <item x="148"/>
        <item x="129"/>
        <item x="259"/>
        <item x="139"/>
        <item x="151"/>
        <item x="67"/>
        <item x="63"/>
        <item x="130"/>
        <item x="147"/>
        <item x="55"/>
        <item x="163"/>
        <item x="150"/>
        <item x="152"/>
        <item x="154"/>
        <item x="156"/>
        <item x="172"/>
        <item x="141"/>
        <item x="162"/>
        <item x="153"/>
        <item x="142"/>
        <item x="159"/>
        <item x="155"/>
        <item x="169"/>
        <item x="157"/>
        <item x="168"/>
        <item x="158"/>
        <item x="166"/>
        <item x="145"/>
        <item x="164"/>
        <item x="160"/>
        <item x="273"/>
        <item x="149"/>
        <item x="275"/>
        <item x="173"/>
        <item x="167"/>
        <item x="170"/>
        <item x="266"/>
        <item x="274"/>
        <item x="165"/>
        <item x="267"/>
        <item x="268"/>
        <item x="269"/>
        <item x="270"/>
        <item x="271"/>
        <item x="272"/>
        <item t="default"/>
      </items>
    </pivotField>
    <pivotField name="Marque"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t="default"/>
      </items>
    </pivotField>
    <pivotField name="Compléme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t="default"/>
      </items>
    </pivotField>
    <pivotField name=" Brouillon draf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t="default"/>
      </items>
    </pivotField>
    <pivotField name="Date Débu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t="default"/>
      </items>
    </pivotField>
    <pivotField name="Date Fi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t="default"/>
      </items>
    </pivotField>
    <pivotField name="Status" compact="0" outline="0" multipleItemSelectionAllowed="1" showAll="0">
      <items>
        <item x="0"/>
        <item x="1"/>
        <item x="2"/>
        <item x="3"/>
        <item x="4"/>
        <item x="5"/>
        <item x="6"/>
        <item x="7"/>
        <item t="default"/>
      </items>
    </pivotField>
    <pivotField name="Commentair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t="default"/>
      </items>
    </pivotField>
    <pivotField name="Description rapide de la deman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 name="Format (influence vs UGC)" compact="0" numFmtId="166" outline="0" multipleItemSelectionAllowed="1" showAll="0">
      <items>
        <item x="0"/>
        <item x="1"/>
        <item x="2"/>
        <item x="3"/>
        <item x="4"/>
        <item x="5"/>
        <item x="6"/>
        <item x="7"/>
        <item t="default"/>
      </items>
    </pivotField>
    <pivotField name="Rémunération total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t="default"/>
      </items>
    </pivotField>
    <pivotField name="Date Stats" compact="0" outline="0" multipleItemSelectionAllowed="1" showAll="0">
      <items>
        <item x="0"/>
        <item x="1"/>
        <item x="2"/>
        <item x="3"/>
        <item x="4"/>
        <item x="5"/>
        <item x="6"/>
        <item x="7"/>
        <item x="8"/>
        <item x="9"/>
        <item x="10"/>
        <item x="11"/>
        <item x="12"/>
        <item t="default"/>
      </items>
    </pivotField>
    <pivotField name="Lien vide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t="default"/>
      </items>
    </pivotField>
    <pivotField name="X" compact="0" outline="0" multipleItemSelectionAllowed="1" showAll="0">
      <items>
        <item x="0"/>
        <item x="1"/>
        <item x="2"/>
        <item x="3"/>
        <item x="4"/>
        <item x="5"/>
        <item x="6"/>
        <item x="7"/>
        <item x="8"/>
        <item x="9"/>
        <item x="10"/>
        <item x="11"/>
        <item x="12"/>
        <item x="13"/>
        <item x="14"/>
        <item x="15"/>
        <item x="16"/>
        <item t="default"/>
      </items>
    </pivotField>
    <pivotField name="Grapper" compact="0" outline="0" multipleItemSelectionAllowed="1" showAll="0">
      <items>
        <item x="0"/>
        <item x="1"/>
        <item x="2"/>
        <item x="3"/>
        <item t="default"/>
      </items>
    </pivotField>
    <pivotField name="Date ven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t="default"/>
      </items>
    </pivotField>
    <pivotField name="Commission" dataField="1"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Facture envoyé" compact="0" numFmtId="4" outline="0" multipleItemSelectionAllowed="1" showAll="0">
      <items>
        <item x="0"/>
        <item x="1"/>
        <item x="2"/>
        <item t="default"/>
      </items>
    </pivotField>
    <pivotField name="Mai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name="Event Brouillon" compact="0" outline="0" multipleItemSelectionAllowed="1" showAll="0">
      <items>
        <item x="0"/>
        <item x="1"/>
        <item x="2"/>
        <item t="default"/>
      </items>
    </pivotField>
    <pivotField name="Calendar ID pour brouill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name="Event Post" compact="0" outline="0" multipleItemSelectionAllowed="1" showAll="0">
      <items>
        <item x="0"/>
        <item x="1"/>
        <item x="2"/>
        <item t="default"/>
      </items>
    </pivotField>
    <pivotField name="Calendar ID P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t="default"/>
      </items>
    </pivotField>
    <pivotField name="Date Estimée de Réception" compact="0" outline="0" multipleItemSelectionAllowed="1" showAll="0">
      <items>
        <item x="0"/>
        <item x="1"/>
        <item t="default"/>
      </items>
    </pivotField>
    <pivotField name="Date Réelle de Réception" compact="0" outline="0" multipleItemSelectionAllowed="1" showAll="0">
      <items>
        <item x="0"/>
        <item t="default"/>
      </items>
    </pivotField>
    <pivotField name="Status Colis" compact="0" outline="0" multipleItemSelectionAllowed="1" showAll="0">
      <items>
        <item x="0"/>
        <item x="1"/>
        <item x="2"/>
        <item x="3"/>
        <item t="default"/>
      </items>
    </pivotField>
    <pivotField name="Commentaires" compact="0" outline="0" multipleItemSelectionAllowed="1" showAll="0">
      <items>
        <item x="0"/>
        <item t="default"/>
      </items>
    </pivotField>
    <pivotField name="ID Form" compact="0" outline="0" multipleItemSelectionAllowed="1" showAll="0">
      <items>
        <item x="0"/>
        <item x="1"/>
        <item t="default"/>
      </items>
    </pivotField>
  </pivotFields>
  <rowFields>
    <field x="1"/>
  </rowFields>
  <dataFields>
    <dataField name="SUM of Commission" fld="17" baseField="0"/>
  </dataFields>
</pivotTableDefinition>
</file>

<file path=xl/pivotTables/pivotTable14.xml><?xml version="1.0" encoding="utf-8"?>
<pivotTableDefinition xmlns="http://schemas.openxmlformats.org/spreadsheetml/2006/main" name="Collab Voulues" cacheId="13" dataCaption="" compact="0" compactData="0">
  <location ref="K1:N4" firstHeaderRow="0" firstDataRow="1" firstDataCol="1"/>
  <pivotFields>
    <pivotField name="Talent" axis="axisCol" dataField="1" compact="0" outline="0" multipleItemSelectionAllowed="1" showAll="0" sortType="ascending">
      <items>
        <item x="1"/>
        <item x="0"/>
        <item t="default"/>
      </items>
    </pivotField>
    <pivotField name="Marque" axis="axisRow" compact="0" outline="0" multipleItemSelectionAllowed="1" showAll="0" sortType="ascending">
      <items>
        <item x="0"/>
        <item t="default"/>
      </items>
    </pivotField>
  </pivotFields>
  <rowFields>
    <field x="1"/>
  </rowFields>
  <colFields>
    <field x="0"/>
  </colFields>
  <dataFields>
    <dataField name="COUNTA of Talent" fld="0" subtotal="count" baseField="0"/>
  </dataFields>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tiktok.com/@lavishhcam/video/7465046952749616406" TargetMode="External"/><Relationship Id="rId194" Type="http://schemas.openxmlformats.org/officeDocument/2006/relationships/hyperlink" Target="https://www.tiktok.com/@lavishhcam/video/7480248461112216854?_t=ZN-8uksUX9QNRG&amp;_r=1" TargetMode="External"/><Relationship Id="rId193" Type="http://schemas.openxmlformats.org/officeDocument/2006/relationships/hyperlink" Target="https://www.tiktok.com/@lavishhcam/video/7481621153107217686?_t=ZN-8ufuB4coZpW&amp;_r=1" TargetMode="External"/><Relationship Id="rId192" Type="http://schemas.openxmlformats.org/officeDocument/2006/relationships/hyperlink" Target="https://www.tiktok.com/@lavishhcam/video/7467602307832745238?_r=1&amp;_t=ZN-8tpZSV3gUPG" TargetMode="External"/><Relationship Id="rId191" Type="http://schemas.openxmlformats.org/officeDocument/2006/relationships/hyperlink" Target="https://www.tiktok.com/@lavishhcam/video/7462439461763157270" TargetMode="External"/><Relationship Id="rId187" Type="http://schemas.openxmlformats.org/officeDocument/2006/relationships/hyperlink" Target="https://www.tiktok.com/@lavishhcam/video/7431640311199255840" TargetMode="External"/><Relationship Id="rId186" Type="http://schemas.openxmlformats.org/officeDocument/2006/relationships/hyperlink" Target="https://www.tiktok.com/@lavishhcam/video/7431968536773299489" TargetMode="External"/><Relationship Id="rId185" Type="http://schemas.openxmlformats.org/officeDocument/2006/relationships/hyperlink" Target="https://tiktok.com/@lavishhcam/video/7428536491384638753" TargetMode="External"/><Relationship Id="rId184" Type="http://schemas.openxmlformats.org/officeDocument/2006/relationships/hyperlink" Target="https://www.tiktok.com/@lavishhcam/video/7424528927714020641" TargetMode="External"/><Relationship Id="rId189" Type="http://schemas.openxmlformats.org/officeDocument/2006/relationships/hyperlink" Target="https://www.tiktok.com/@lavishhcam/video/7451273510346820886" TargetMode="External"/><Relationship Id="rId188" Type="http://schemas.openxmlformats.org/officeDocument/2006/relationships/hyperlink" Target="https://www.tiktok.com/@lavishhcam/video/7442372621200575776" TargetMode="External"/><Relationship Id="rId183" Type="http://schemas.openxmlformats.org/officeDocument/2006/relationships/hyperlink" Target="https://www.tiktok.com/@lavishhcam/video/7421578850808646944" TargetMode="External"/><Relationship Id="rId182" Type="http://schemas.openxmlformats.org/officeDocument/2006/relationships/hyperlink" Target="https://www.tiktok.com/@lavishhcam/video/7421861704159464736?lang=en" TargetMode="External"/><Relationship Id="rId181" Type="http://schemas.openxmlformats.org/officeDocument/2006/relationships/hyperlink" Target="https://www.tiktok.com/@lavishhcam/video/7414065973084359968?lang=en" TargetMode="External"/><Relationship Id="rId180" Type="http://schemas.openxmlformats.org/officeDocument/2006/relationships/hyperlink" Target="https://www.tiktok.com/@lavishhcam/video/7415270528665046305?lang=en" TargetMode="External"/><Relationship Id="rId176" Type="http://schemas.openxmlformats.org/officeDocument/2006/relationships/hyperlink" Target="https://vm.tiktok.com/ZGeGrsEfX/" TargetMode="External"/><Relationship Id="rId297" Type="http://schemas.openxmlformats.org/officeDocument/2006/relationships/hyperlink" Target="https://www.tiktok.com/@lilyy.nl/video/7473378357531397398?_t=ZN-8uecd1X7Rby&amp;_r=1" TargetMode="External"/><Relationship Id="rId175" Type="http://schemas.openxmlformats.org/officeDocument/2006/relationships/hyperlink" Target="https://www.tiktok.com/@lavishhcam/video/7384102579849956641?lang=en" TargetMode="External"/><Relationship Id="rId296" Type="http://schemas.openxmlformats.org/officeDocument/2006/relationships/hyperlink" Target="https://www.tiktok.com/@lilyy.nl/video/7465615921470557462" TargetMode="External"/><Relationship Id="rId174" Type="http://schemas.openxmlformats.org/officeDocument/2006/relationships/hyperlink" Target="https://www.tiktok.com/@lavishhcam/video/7374120668813659425" TargetMode="External"/><Relationship Id="rId295" Type="http://schemas.openxmlformats.org/officeDocument/2006/relationships/hyperlink" Target="https://www.tiktok.com/@lilyy.nl/video/7467121622500003094" TargetMode="External"/><Relationship Id="rId173" Type="http://schemas.openxmlformats.org/officeDocument/2006/relationships/hyperlink" Target="https://www.tiktok.com/@lavishhcam/video/7370721490632772896?lang=en" TargetMode="External"/><Relationship Id="rId294" Type="http://schemas.openxmlformats.org/officeDocument/2006/relationships/hyperlink" Target="https://www.tiktok.com/@lilyy.nl/video/7432644019890539808" TargetMode="External"/><Relationship Id="rId179" Type="http://schemas.openxmlformats.org/officeDocument/2006/relationships/hyperlink" Target="https://www.tiktok.com/@lavishhcam/video/7401156666479119649?lang=en" TargetMode="External"/><Relationship Id="rId178" Type="http://schemas.openxmlformats.org/officeDocument/2006/relationships/hyperlink" Target="https://www.tiktok.com/@lavishhcam/video/7401082023797902625?lang=en" TargetMode="External"/><Relationship Id="rId299" Type="http://schemas.openxmlformats.org/officeDocument/2006/relationships/hyperlink" Target="https://www.tiktok.com/@lilyy.nl/video/7381865050685934881" TargetMode="External"/><Relationship Id="rId177" Type="http://schemas.openxmlformats.org/officeDocument/2006/relationships/hyperlink" Target="https://www.tiktok.com/@lavishhcam/video/7392636437163773217" TargetMode="External"/><Relationship Id="rId298" Type="http://schemas.openxmlformats.org/officeDocument/2006/relationships/hyperlink" Target="https://www.tiktok.com/@lilyy.nl/video/7361800761090526497" TargetMode="External"/><Relationship Id="rId198" Type="http://schemas.openxmlformats.org/officeDocument/2006/relationships/hyperlink" Target="https://www.tiktok.com/@lavishhcam/video/7401530328214441248?lang=en" TargetMode="External"/><Relationship Id="rId197" Type="http://schemas.openxmlformats.org/officeDocument/2006/relationships/hyperlink" Target="https://www.tiktok.com/@lavishhcam/video/7365759408892103969?lang=en" TargetMode="External"/><Relationship Id="rId196" Type="http://schemas.openxmlformats.org/officeDocument/2006/relationships/hyperlink" Target="https://www.tiktok.com/@lavishhcam/video/7398186484789988641?lang=en" TargetMode="External"/><Relationship Id="rId195" Type="http://schemas.openxmlformats.org/officeDocument/2006/relationships/hyperlink" Target="https://www.tiktok.com/@lavishhcam/video/7395231761887759649?lang=en" TargetMode="External"/><Relationship Id="rId199" Type="http://schemas.openxmlformats.org/officeDocument/2006/relationships/hyperlink" Target="https://www.tiktok.com/@lavishhcam/video/7394844935842778400?lang=en" TargetMode="External"/><Relationship Id="rId150" Type="http://schemas.openxmlformats.org/officeDocument/2006/relationships/hyperlink" Target="https://www.tiktok.com/@sarah.bdii/video/7516951979084598550" TargetMode="External"/><Relationship Id="rId271" Type="http://schemas.openxmlformats.org/officeDocument/2006/relationships/hyperlink" Target="https://www.tiktok.com/@julianebernard/video/7480957956545203478?_t=ZN-8uflzHw9hd0&amp;_r=1" TargetMode="External"/><Relationship Id="rId392" Type="http://schemas.openxmlformats.org/officeDocument/2006/relationships/hyperlink" Target="https://www.tiktok.com/@perrine.trp/video/7420481706290990368" TargetMode="External"/><Relationship Id="rId270" Type="http://schemas.openxmlformats.org/officeDocument/2006/relationships/hyperlink" Target="https://www.tiktok.com/@julianebernard/video/7470566844924005654?lang=en" TargetMode="External"/><Relationship Id="rId391" Type="http://schemas.openxmlformats.org/officeDocument/2006/relationships/hyperlink" Target="https://www.tiktok.com/@perrine.trp/video/7416397579652549920" TargetMode="External"/><Relationship Id="rId390" Type="http://schemas.openxmlformats.org/officeDocument/2006/relationships/hyperlink" Target="https://www.tiktok.com/@perrine.trp/video/7404526978864270625" TargetMode="External"/><Relationship Id="rId1" Type="http://schemas.openxmlformats.org/officeDocument/2006/relationships/hyperlink" Target="https://www.tiktok.com/@melf.fnt/video/7382192283279494432" TargetMode="External"/><Relationship Id="rId2" Type="http://schemas.openxmlformats.org/officeDocument/2006/relationships/hyperlink" Target="https://www.tiktok.com/@lilyy.nl/video/7383728309110050080" TargetMode="External"/><Relationship Id="rId3" Type="http://schemas.openxmlformats.org/officeDocument/2006/relationships/hyperlink" Target="https://www.tiktok.com/@lolatagliaferroo/video/7383998473613479201" TargetMode="External"/><Relationship Id="rId149" Type="http://schemas.openxmlformats.org/officeDocument/2006/relationships/hyperlink" Target="https://www.tiktok.com/@laudewit/video/7525765188893674784" TargetMode="External"/><Relationship Id="rId4" Type="http://schemas.openxmlformats.org/officeDocument/2006/relationships/hyperlink" Target="https://www.tiktok.com/@lavishhcam/video/7390792553022442784?lang=en" TargetMode="External"/><Relationship Id="rId148" Type="http://schemas.openxmlformats.org/officeDocument/2006/relationships/hyperlink" Target="https://www.tiktok.com/@guenaire/video/7532570588146076950" TargetMode="External"/><Relationship Id="rId269" Type="http://schemas.openxmlformats.org/officeDocument/2006/relationships/hyperlink" Target="https://www.tiktok.com/@julianebernard/video/7431227139405466912?lang=en" TargetMode="External"/><Relationship Id="rId9" Type="http://schemas.openxmlformats.org/officeDocument/2006/relationships/hyperlink" Target="https://www.tiktok.com/@perrine.trp/video/7394891259883654433" TargetMode="External"/><Relationship Id="rId143" Type="http://schemas.openxmlformats.org/officeDocument/2006/relationships/hyperlink" Target="https://www.tiktok.com/@la_gur/video/7528400374802173206" TargetMode="External"/><Relationship Id="rId264" Type="http://schemas.openxmlformats.org/officeDocument/2006/relationships/hyperlink" Target="https://www.tiktok.com/@julianebernard/video/7394526025591409952" TargetMode="External"/><Relationship Id="rId385" Type="http://schemas.openxmlformats.org/officeDocument/2006/relationships/hyperlink" Target="https://www.tiktok.com/@paupibeauty/video/7403338641294101793?_r=1&amp;_t=8otMyM33Aq9" TargetMode="External"/><Relationship Id="rId142" Type="http://schemas.openxmlformats.org/officeDocument/2006/relationships/hyperlink" Target="https://www.tiktok.com/@julianebernard/video/7526982773156924694?_r=1&amp;_t=ZN-8y1f4d2rh1K" TargetMode="External"/><Relationship Id="rId263" Type="http://schemas.openxmlformats.org/officeDocument/2006/relationships/hyperlink" Target="https://www.tiktok.com/@julianebernard/video/7375950922876194080" TargetMode="External"/><Relationship Id="rId384" Type="http://schemas.openxmlformats.org/officeDocument/2006/relationships/hyperlink" Target="https://www.tiktok.com/@paupibeauty/video/7400829639158992161" TargetMode="External"/><Relationship Id="rId141" Type="http://schemas.openxmlformats.org/officeDocument/2006/relationships/hyperlink" Target="https://www.tiktok.com/@laudewit/video/7525483945366998305" TargetMode="External"/><Relationship Id="rId262" Type="http://schemas.openxmlformats.org/officeDocument/2006/relationships/hyperlink" Target="https://docs.google.com/presentation/d/1q4NE7BfV_3-rP4IUQJmAq-Et7OVpK16CYhR5OVpmQYo/edit?usp=sharing" TargetMode="External"/><Relationship Id="rId383" Type="http://schemas.openxmlformats.org/officeDocument/2006/relationships/hyperlink" Target="https://www.tiktok.com/@paupibeauty/video/7364899892755565857" TargetMode="External"/><Relationship Id="rId140" Type="http://schemas.openxmlformats.org/officeDocument/2006/relationships/hyperlink" Target="https://www.tiktok.com/@juliette.pn/video/7525473712418622742?is_from_webapp=1&amp;sender_device=pc&amp;web_id=7504317976587437590" TargetMode="External"/><Relationship Id="rId261" Type="http://schemas.openxmlformats.org/officeDocument/2006/relationships/hyperlink" Target="https://www.tiktok.com/@jessicadcstr/video/7370005908706921761?q=jessicadcstr%20aromazone&amp;t=1716383408647" TargetMode="External"/><Relationship Id="rId382" Type="http://schemas.openxmlformats.org/officeDocument/2006/relationships/hyperlink" Target="https://www.tiktok.com/@paupibeauty/video/7390429662033251617" TargetMode="External"/><Relationship Id="rId5" Type="http://schemas.openxmlformats.org/officeDocument/2006/relationships/hyperlink" Target="https://www.tiktok.com/@chiaraaaa.bnc/video/7391058568260111649" TargetMode="External"/><Relationship Id="rId147" Type="http://schemas.openxmlformats.org/officeDocument/2006/relationships/hyperlink" Target="https://www.tiktok.com/@laudewit/video/7529089646714735905" TargetMode="External"/><Relationship Id="rId268" Type="http://schemas.openxmlformats.org/officeDocument/2006/relationships/hyperlink" Target="https://www.tiktok.com/@julianebernard/video/7428654055754353952?lang=en" TargetMode="External"/><Relationship Id="rId389" Type="http://schemas.openxmlformats.org/officeDocument/2006/relationships/hyperlink" Target="https://www.tiktok.com/@perrine.trp/video/7388938973533490465" TargetMode="External"/><Relationship Id="rId6" Type="http://schemas.openxmlformats.org/officeDocument/2006/relationships/hyperlink" Target="https://www.tiktok.com/@lina.mkrn2/video/7390790437969104161" TargetMode="External"/><Relationship Id="rId146" Type="http://schemas.openxmlformats.org/officeDocument/2006/relationships/hyperlink" Target="https://www.tiktok.com/@melissa.pndd/video/7526574135296773398?is_from_webapp=1&amp;sender_device=pc&amp;web_id=7504317976587437590" TargetMode="External"/><Relationship Id="rId267" Type="http://schemas.openxmlformats.org/officeDocument/2006/relationships/hyperlink" Target="https://www.tiktok.com/@julianebernard/video/7423819976387218720?lang=en" TargetMode="External"/><Relationship Id="rId388" Type="http://schemas.openxmlformats.org/officeDocument/2006/relationships/hyperlink" Target="https://www.tiktok.com/@perrine.trp/video/7391934268479425825" TargetMode="External"/><Relationship Id="rId7" Type="http://schemas.openxmlformats.org/officeDocument/2006/relationships/hyperlink" Target="https://www.tiktok.com/@perrine.trp/video/7391590382611516705" TargetMode="External"/><Relationship Id="rId145" Type="http://schemas.openxmlformats.org/officeDocument/2006/relationships/hyperlink" Target="https://vm.tiktok.com/ZNHp1gFdSuU6L-Orqzs/" TargetMode="External"/><Relationship Id="rId266" Type="http://schemas.openxmlformats.org/officeDocument/2006/relationships/hyperlink" Target="https://www.tiktok.com/@julianebernard/video/7422201837324979489" TargetMode="External"/><Relationship Id="rId387" Type="http://schemas.openxmlformats.org/officeDocument/2006/relationships/hyperlink" Target="https://www.tiktok.com/@perrine.trp/video/7388970033046736161" TargetMode="External"/><Relationship Id="rId8" Type="http://schemas.openxmlformats.org/officeDocument/2006/relationships/hyperlink" Target="https://www.tiktok.com/@morgane.mrckk/video/7390710366738681121" TargetMode="External"/><Relationship Id="rId144" Type="http://schemas.openxmlformats.org/officeDocument/2006/relationships/hyperlink" Target="https://www.tiktok.com/@paupibeauty/video/7529220565756857622" TargetMode="External"/><Relationship Id="rId265" Type="http://schemas.openxmlformats.org/officeDocument/2006/relationships/hyperlink" Target="https://www.tiktok.com/@julianebernard/video/7415662953526988065" TargetMode="External"/><Relationship Id="rId386" Type="http://schemas.openxmlformats.org/officeDocument/2006/relationships/hyperlink" Target="https://www.tiktok.com/@paupibeauty/video/7419986303070129441" TargetMode="External"/><Relationship Id="rId260" Type="http://schemas.openxmlformats.org/officeDocument/2006/relationships/hyperlink" Target="https://www.tiktok.com/@jessicadcstr/video/7379634512625487137" TargetMode="External"/><Relationship Id="rId381" Type="http://schemas.openxmlformats.org/officeDocument/2006/relationships/hyperlink" Target="https://vm.tiktok.com/ZNdr6B5df/" TargetMode="External"/><Relationship Id="rId380" Type="http://schemas.openxmlformats.org/officeDocument/2006/relationships/hyperlink" Target="https://www.tiktok.com/@paupibeauty/video/7483230429919677718?_r=1&amp;u_code=db2iba9fkd722g&amp;preview_pb=0&amp;sharer_language=fr&amp;_d=e50dm7j0f1glif&amp;share_item_id=7483230429919677718&amp;source=h5_m&amp;timestamp=1742383722&amp;utm_source=copy&amp;tt_from=copy&amp;enable_checksum=1&amp;utm_medium=ios&amp;share_link_id=24BD8EB9-538A-4B00-A8DC-BDB951F9A0D2&amp;user_id=6796" TargetMode="External"/><Relationship Id="rId139" Type="http://schemas.openxmlformats.org/officeDocument/2006/relationships/hyperlink" Target="https://www.tiktok.com/@shaa_dl/video/7525111987638979862?_r=1&amp;_t=ZN-8xwa1oeBxCQ" TargetMode="External"/><Relationship Id="rId138" Type="http://schemas.openxmlformats.org/officeDocument/2006/relationships/hyperlink" Target="https://www.tiktok.com/@asmaenel/video/7526542702301826326?is_from_webapp=1&amp;sender_device=pc&amp;web_id=7504317976587437590" TargetMode="External"/><Relationship Id="rId259" Type="http://schemas.openxmlformats.org/officeDocument/2006/relationships/hyperlink" Target="https://www.tiktok.com/@jessicadcstr/video/7401184127703108897" TargetMode="External"/><Relationship Id="rId137" Type="http://schemas.openxmlformats.org/officeDocument/2006/relationships/hyperlink" Target="https://www.tiktok.com/@laudewit/video/7519192074919365920" TargetMode="External"/><Relationship Id="rId258" Type="http://schemas.openxmlformats.org/officeDocument/2006/relationships/hyperlink" Target="https://www.tiktok.com/@jessicadcstr/video/7400003750661819681" TargetMode="External"/><Relationship Id="rId379" Type="http://schemas.openxmlformats.org/officeDocument/2006/relationships/hyperlink" Target="https://www.tiktok.com/@paupibeauty/video/7469447565080005910" TargetMode="External"/><Relationship Id="rId132" Type="http://schemas.openxmlformats.org/officeDocument/2006/relationships/hyperlink" Target="https://drive.google.com/drive/folders/1cqb0DvHrI2AEf5Y1mODPl-Wb-x2ZpIBF?usp=sharing" TargetMode="External"/><Relationship Id="rId253" Type="http://schemas.openxmlformats.org/officeDocument/2006/relationships/hyperlink" Target="https://www.tiktok.com/@jessicadcstr/video/7374052571708771616" TargetMode="External"/><Relationship Id="rId374" Type="http://schemas.openxmlformats.org/officeDocument/2006/relationships/hyperlink" Target="https://www.tiktok.com/@paupibeauty/video/7397104051248188704" TargetMode="External"/><Relationship Id="rId131" Type="http://schemas.openxmlformats.org/officeDocument/2006/relationships/hyperlink" Target="https://drive.google.com/drive/folders/19ToYFCpY-wQNqLL1X6hkS610Je7ZJWpH?usp=sharing" TargetMode="External"/><Relationship Id="rId252" Type="http://schemas.openxmlformats.org/officeDocument/2006/relationships/hyperlink" Target="https://docs.google.com/presentation/d/1q4NE7BfV_3-rP4IUQJmAq-Et7OVpK16CYhR5OVpmQYo/edit?usp=sharing" TargetMode="External"/><Relationship Id="rId373" Type="http://schemas.openxmlformats.org/officeDocument/2006/relationships/hyperlink" Target="https://www.tiktok.com/@paupibeauty/video/7399701843338612001?_r=1&amp;_t=8ocjkRHNArg" TargetMode="External"/><Relationship Id="rId130" Type="http://schemas.openxmlformats.org/officeDocument/2006/relationships/hyperlink" Target="https://www.tiktok.com/@iimslma/video/7522888104374701335" TargetMode="External"/><Relationship Id="rId251" Type="http://schemas.openxmlformats.org/officeDocument/2006/relationships/hyperlink" Target="https://www.instagram.com/reel/DHYZokMIocA/?igsh=MXJmNGNqYzdlNjZ6eg%3D%3D" TargetMode="External"/><Relationship Id="rId372" Type="http://schemas.openxmlformats.org/officeDocument/2006/relationships/hyperlink" Target="https://www.tiktok.com/@paupibeauty/video/7391464252877442336" TargetMode="External"/><Relationship Id="rId250" Type="http://schemas.openxmlformats.org/officeDocument/2006/relationships/hyperlink" Target="https://www.tiktok.com/@jeanne_bayart/video/7401629838697565472" TargetMode="External"/><Relationship Id="rId371" Type="http://schemas.openxmlformats.org/officeDocument/2006/relationships/hyperlink" Target="https://www.tiktok.com/@paupibeauty/video/7391913188587048224" TargetMode="External"/><Relationship Id="rId136" Type="http://schemas.openxmlformats.org/officeDocument/2006/relationships/hyperlink" Target="https://www.tiktok.com/@julianebernard/video/7522838166227864854?lang=en" TargetMode="External"/><Relationship Id="rId257" Type="http://schemas.openxmlformats.org/officeDocument/2006/relationships/hyperlink" Target="https://www.tiktok.com/@jessicadcstr/video/7402283442785766688" TargetMode="External"/><Relationship Id="rId378" Type="http://schemas.openxmlformats.org/officeDocument/2006/relationships/hyperlink" Target="https://vm.tiktok.com/ZGdLKEWpH/" TargetMode="External"/><Relationship Id="rId135" Type="http://schemas.openxmlformats.org/officeDocument/2006/relationships/hyperlink" Target="https://www.tiktok.com/@___oraane/video/7525503490924416279" TargetMode="External"/><Relationship Id="rId256" Type="http://schemas.openxmlformats.org/officeDocument/2006/relationships/hyperlink" Target="https://www.tiktok.com/@jessicadcstr/video/7389326468137995552" TargetMode="External"/><Relationship Id="rId377" Type="http://schemas.openxmlformats.org/officeDocument/2006/relationships/hyperlink" Target="https://www.tiktok.com/@paupibeauty/video/7433470283073244449" TargetMode="External"/><Relationship Id="rId134" Type="http://schemas.openxmlformats.org/officeDocument/2006/relationships/hyperlink" Target="https://www.instagram.com/p/DL9s1T-ucxx/?hl=fr" TargetMode="External"/><Relationship Id="rId255" Type="http://schemas.openxmlformats.org/officeDocument/2006/relationships/hyperlink" Target="https://www.tiktok.com/@jessicadcstr/video/7388534640631450913" TargetMode="External"/><Relationship Id="rId376" Type="http://schemas.openxmlformats.org/officeDocument/2006/relationships/hyperlink" Target="https://www.tiktok.com/@paupibeauty/video/7422233100345806113?_r=1&amp;_t=8qHw0Tc0W3d" TargetMode="External"/><Relationship Id="rId133" Type="http://schemas.openxmlformats.org/officeDocument/2006/relationships/hyperlink" Target="https://www.tiktok.com/@shaa_dl/video/7525111945536523542?_r=1&amp;_t=ZN-8xwa2XIbgXO" TargetMode="External"/><Relationship Id="rId254" Type="http://schemas.openxmlformats.org/officeDocument/2006/relationships/hyperlink" Target="https://www.tiktok.com/@jessicadcstr/video/7375545597094464801" TargetMode="External"/><Relationship Id="rId375" Type="http://schemas.openxmlformats.org/officeDocument/2006/relationships/hyperlink" Target="https://www.tiktok.com/@paupibeauty/video/7409632617487699233?_r=1&amp;_t=8pifPT1JA5h" TargetMode="External"/><Relationship Id="rId172" Type="http://schemas.openxmlformats.org/officeDocument/2006/relationships/hyperlink" Target="https://www.tiktok.com/@lavishhcam/video/7372599354646957344" TargetMode="External"/><Relationship Id="rId293" Type="http://schemas.openxmlformats.org/officeDocument/2006/relationships/hyperlink" Target="https://www.tiktok.com/@lilyy.nl/video/7421229015719103776" TargetMode="External"/><Relationship Id="rId171" Type="http://schemas.openxmlformats.org/officeDocument/2006/relationships/hyperlink" Target="https://docs.google.com/presentation/d/1q4NE7BfV_3-rP4IUQJmAq-Et7OVpK16CYhR5OVpmQYo/edit?usp=sharing" TargetMode="External"/><Relationship Id="rId292" Type="http://schemas.openxmlformats.org/officeDocument/2006/relationships/hyperlink" Target="https://www.tiktok.com/@lilyy.nl/video/7424229467951729953" TargetMode="External"/><Relationship Id="rId170" Type="http://schemas.openxmlformats.org/officeDocument/2006/relationships/hyperlink" Target="https://www.tiktok.com/@arwen.arwen1/video/7453530509163973910?lang=en" TargetMode="External"/><Relationship Id="rId291" Type="http://schemas.openxmlformats.org/officeDocument/2006/relationships/hyperlink" Target="https://www.tiktok.com/@lilyy.nl/video/7414163405205982497" TargetMode="External"/><Relationship Id="rId290" Type="http://schemas.openxmlformats.org/officeDocument/2006/relationships/hyperlink" Target="https://www.tiktok.com/@lilyy.nl/video/7416387740951956768" TargetMode="External"/><Relationship Id="rId165" Type="http://schemas.openxmlformats.org/officeDocument/2006/relationships/hyperlink" Target="https://www.tiktok.com/@amandambt_/video/7483639690327788822?lang=en" TargetMode="External"/><Relationship Id="rId286" Type="http://schemas.openxmlformats.org/officeDocument/2006/relationships/hyperlink" Target="https://www.tiktok.com/@lilyy.nl/video/7387413713944333601" TargetMode="External"/><Relationship Id="rId164" Type="http://schemas.openxmlformats.org/officeDocument/2006/relationships/hyperlink" Target="https://www.tiktok.com/@shaa_dl/video/7456916860278295830?_t=ZN-8sqlAIVsOJS&amp;_r=1" TargetMode="External"/><Relationship Id="rId285" Type="http://schemas.openxmlformats.org/officeDocument/2006/relationships/hyperlink" Target="https://www.tiktok.com/@lilyy.nl/video/7382595650866662688" TargetMode="External"/><Relationship Id="rId163" Type="http://schemas.openxmlformats.org/officeDocument/2006/relationships/hyperlink" Target="https://www.tiktok.com/@shaa_dl/video/7430530285852167457" TargetMode="External"/><Relationship Id="rId284" Type="http://schemas.openxmlformats.org/officeDocument/2006/relationships/hyperlink" Target="https://www.tiktok.com/@lilyy.nl/video/7377465554560453921" TargetMode="External"/><Relationship Id="rId162" Type="http://schemas.openxmlformats.org/officeDocument/2006/relationships/hyperlink" Target="https://www.tiktok.com/@shaa_dl/video/7414067609177476384" TargetMode="External"/><Relationship Id="rId283" Type="http://schemas.openxmlformats.org/officeDocument/2006/relationships/hyperlink" Target="https://www.tiktok.com/@lilyy.nl/video/7374127349601701153" TargetMode="External"/><Relationship Id="rId169" Type="http://schemas.openxmlformats.org/officeDocument/2006/relationships/hyperlink" Target="https://www.tiktok.com/@arwen.arwen1/video/7453509775200980246?lang=en" TargetMode="External"/><Relationship Id="rId168" Type="http://schemas.openxmlformats.org/officeDocument/2006/relationships/hyperlink" Target="https://www.tiktok.com/@arwen.arwen1/video/7453509821812280598?lang=en" TargetMode="External"/><Relationship Id="rId289" Type="http://schemas.openxmlformats.org/officeDocument/2006/relationships/hyperlink" Target="https://www.tiktok.com/@lilyy.nl/video/7401181475330198816" TargetMode="External"/><Relationship Id="rId167" Type="http://schemas.openxmlformats.org/officeDocument/2006/relationships/hyperlink" Target="https://www.instagram.com/reel/DFqvAlCNUMN/" TargetMode="External"/><Relationship Id="rId288" Type="http://schemas.openxmlformats.org/officeDocument/2006/relationships/hyperlink" Target="https://www.tiktok.com/@lilyy.nl/video/7400071344089533728" TargetMode="External"/><Relationship Id="rId166" Type="http://schemas.openxmlformats.org/officeDocument/2006/relationships/hyperlink" Target="https://vm.tiktok.com/ZNdMWypK4/" TargetMode="External"/><Relationship Id="rId287" Type="http://schemas.openxmlformats.org/officeDocument/2006/relationships/hyperlink" Target="https://www.tiktok.com/@lilyy.nl/video/7398197901182111008" TargetMode="External"/><Relationship Id="rId161" Type="http://schemas.openxmlformats.org/officeDocument/2006/relationships/hyperlink" Target="https://www.tiktok.com/@sarah.bdii/video/7532173540204891414" TargetMode="External"/><Relationship Id="rId282" Type="http://schemas.openxmlformats.org/officeDocument/2006/relationships/hyperlink" Target="https://docs.google.com/presentation/d/1q4NE7BfV_3-rP4IUQJmAq-Et7OVpK16CYhR5OVpmQYo/edit?usp=sharing" TargetMode="External"/><Relationship Id="rId160" Type="http://schemas.openxmlformats.org/officeDocument/2006/relationships/hyperlink" Target="https://www.tiktok.com/@paupibeauty/video/7521283052488641814?is_from_webapp=1&amp;sender_device=pc&amp;web_id=7504317976587437590" TargetMode="External"/><Relationship Id="rId281" Type="http://schemas.openxmlformats.org/officeDocument/2006/relationships/hyperlink" Target="https://www.tiktok.com/@lilyy.nl/video/7372250529398836512" TargetMode="External"/><Relationship Id="rId280" Type="http://schemas.openxmlformats.org/officeDocument/2006/relationships/hyperlink" Target="https://www.tiktok.com/@laurieespamm/video/7385584137039596833" TargetMode="External"/><Relationship Id="rId159" Type="http://schemas.openxmlformats.org/officeDocument/2006/relationships/hyperlink" Target="https://www.tiktok.com/@___oraane/video/7518063433611480343?_t=ZN-8xMoEPKM08s&amp;_r=1" TargetMode="External"/><Relationship Id="rId154" Type="http://schemas.openxmlformats.org/officeDocument/2006/relationships/hyperlink" Target="https://www.instagram.com/reel/DLc5EB4ogna/?utm_source=ig_web_copy_link" TargetMode="External"/><Relationship Id="rId275" Type="http://schemas.openxmlformats.org/officeDocument/2006/relationships/hyperlink" Target="https://docs.google.com/presentation/d/1q4NE7BfV_3-rP4IUQJmAq-Et7OVpK16CYhR5OVpmQYo/edit?usp=sharing" TargetMode="External"/><Relationship Id="rId396" Type="http://schemas.openxmlformats.org/officeDocument/2006/relationships/hyperlink" Target="https://www.tiktok.com/@romlabordelaise/video/7367768975154990369" TargetMode="External"/><Relationship Id="rId153" Type="http://schemas.openxmlformats.org/officeDocument/2006/relationships/hyperlink" Target="https://vm.tiktok.com/ZNdyXTXHb/" TargetMode="External"/><Relationship Id="rId274" Type="http://schemas.openxmlformats.org/officeDocument/2006/relationships/hyperlink" Target="https://www.tiktok.com/@julianebernard/video/7387355316817612064" TargetMode="External"/><Relationship Id="rId395" Type="http://schemas.openxmlformats.org/officeDocument/2006/relationships/hyperlink" Target="https://www.tiktok.com/@romlabordelaise/photo/7374826918236949793?_d=secCgYIASAHKAESPgo8q9siUnZtyE0109XMp5dx3cMmVFVIaMGy%2BlAK8UtWtglSCdVgBy%2FzSdjJmzYWsISFC9%2B%2FlyF04TxmdiBEGgA%3D&amp;_r=1&amp;checksum=76ea1d67e0b71fc0c1e121f4b86c89eead08caa18274e51cbd7e8fffc45db1d5&amp;preview_pb=0&amp;sec_user_id=MS4wLjABAAAA5WAsY9if6sGpkTh7WMG-LZ13a7Fhz-UQEteoh5afNnaOqO_ikANGGYl5AT_LEaod&amp;share_app_id=1233&amp;share_item_id=7374826918236949793&amp;share_link_id=1FE47ACF-406A-41EB-AA25-0A1621898287&amp;sharer_language=en&amp;social_share_type=14&amp;source=h5_m&amp;timestamp=1717086266&amp;tt_from=copy&amp;u_code=da24lg4e7mb9ch&amp;ug_btm=b8727%2Cb2878&amp;user_id=6773729367979770886&amp;utm_campaign=client_share&amp;utm_medium=ios&amp;utm_source=copy" TargetMode="External"/><Relationship Id="rId152" Type="http://schemas.openxmlformats.org/officeDocument/2006/relationships/hyperlink" Target="https://www.tiktok.com/@melissa.pndd/video/7514352561562946838" TargetMode="External"/><Relationship Id="rId273" Type="http://schemas.openxmlformats.org/officeDocument/2006/relationships/hyperlink" Target="https://www.tiktok.com/@julianebernard/video/7505188044769611030?_r=1&amp;_t=ZN-8wUPhwBCpra" TargetMode="External"/><Relationship Id="rId394" Type="http://schemas.openxmlformats.org/officeDocument/2006/relationships/hyperlink" Target="https://www.tiktok.com/@perrine.trp/video/7470594564579921174?_t=ZN-8trcT1kEJTq&amp;_r=1" TargetMode="External"/><Relationship Id="rId151" Type="http://schemas.openxmlformats.org/officeDocument/2006/relationships/hyperlink" Target="https://www.tiktok.com/@anaiswairyy/video/7466167514402229526?lang=en" TargetMode="External"/><Relationship Id="rId272" Type="http://schemas.openxmlformats.org/officeDocument/2006/relationships/hyperlink" Target="https://www.tiktok.com/@julianebernard/video/7483144981474053398?_r=1&amp;_t=ZN-8umtSsTCOtq" TargetMode="External"/><Relationship Id="rId393" Type="http://schemas.openxmlformats.org/officeDocument/2006/relationships/hyperlink" Target="https://www.tiktok.com/@perrine.trp/video/7432357615906082081?lang=en" TargetMode="External"/><Relationship Id="rId158" Type="http://schemas.openxmlformats.org/officeDocument/2006/relationships/hyperlink" Target="https://www.tiktok.com/@melissa.pndd/video/7519911199744494850?is_from_webapp=1&amp;sender_device=pc&amp;web_id=7504317976587437590" TargetMode="External"/><Relationship Id="rId279" Type="http://schemas.openxmlformats.org/officeDocument/2006/relationships/hyperlink" Target="https://www.tiktok.com/@laurieespamm/video/7403685503830084896?_r=1&amp;_t=8ouxXOOFEH3" TargetMode="External"/><Relationship Id="rId157" Type="http://schemas.openxmlformats.org/officeDocument/2006/relationships/hyperlink" Target="https://www.tiktok.com/@lolatagliaferroo/video/7520567485473492246?is_from_webapp=1&amp;sender_device=pc&amp;web_id=7504317976587437590" TargetMode="External"/><Relationship Id="rId278" Type="http://schemas.openxmlformats.org/officeDocument/2006/relationships/hyperlink" Target="https://www.tiktok.com/@laurieespamm/video/7385220213458980129" TargetMode="External"/><Relationship Id="rId399" Type="http://schemas.openxmlformats.org/officeDocument/2006/relationships/hyperlink" Target="https://www.tiktok.com/@iimslma/video/7403774825702886688" TargetMode="External"/><Relationship Id="rId156" Type="http://schemas.openxmlformats.org/officeDocument/2006/relationships/hyperlink" Target="https://www.instagram.com/reel/DLXs9HIijUX/?utm_source=ig_web_copy_link&amp;igsh=MzEyc2ZyNmFwZTMw" TargetMode="External"/><Relationship Id="rId277" Type="http://schemas.openxmlformats.org/officeDocument/2006/relationships/hyperlink" Target="https://www.tiktok.com/@laurieespamm/video/7372894690884029729" TargetMode="External"/><Relationship Id="rId398" Type="http://schemas.openxmlformats.org/officeDocument/2006/relationships/hyperlink" Target="https://www.tiktok.com/@iimslma/video/7396769960623738145" TargetMode="External"/><Relationship Id="rId155" Type="http://schemas.openxmlformats.org/officeDocument/2006/relationships/hyperlink" Target="https://www.tiktok.com/@glennwolff/video/7517353745353559318?is_from_webapp=1&amp;sender_device=pc&amp;web_id=7504317976587437590" TargetMode="External"/><Relationship Id="rId276" Type="http://schemas.openxmlformats.org/officeDocument/2006/relationships/hyperlink" Target="https://www.tiktok.com/@laurieespamm/video/7373977897394048289" TargetMode="External"/><Relationship Id="rId397" Type="http://schemas.openxmlformats.org/officeDocument/2006/relationships/hyperlink" Target="https://www.tiktok.com/@iimslma/video/7437910864826486048?_r=1&amp;_t=8rRi7SCy1Ka" TargetMode="External"/><Relationship Id="rId40" Type="http://schemas.openxmlformats.org/officeDocument/2006/relationships/hyperlink" Target="https://www.tiktok.com/@melf.fnt/video/7422703664969616673" TargetMode="External"/><Relationship Id="rId42" Type="http://schemas.openxmlformats.org/officeDocument/2006/relationships/hyperlink" Target="https://www.tiktok.com/@jessicadcstr/video/7401576606319398177" TargetMode="External"/><Relationship Id="rId41" Type="http://schemas.openxmlformats.org/officeDocument/2006/relationships/hyperlink" Target="https://www.tiktok.com/@paupibeauty/video/7416729046316338465?_r=1&amp;_t=8psjQcSNmPA" TargetMode="External"/><Relationship Id="rId44" Type="http://schemas.openxmlformats.org/officeDocument/2006/relationships/hyperlink" Target="https://www.tiktok.com/@chiaraaaa.bnc/video/7417486710386232609" TargetMode="External"/><Relationship Id="rId43" Type="http://schemas.openxmlformats.org/officeDocument/2006/relationships/hyperlink" Target="https://tiktok.com/@mary.zhh/video/7416774634885926176?lang=en" TargetMode="External"/><Relationship Id="rId46" Type="http://schemas.openxmlformats.org/officeDocument/2006/relationships/hyperlink" Target="https://www.tiktok.com/@paupibeauty/video/7418269204975078689" TargetMode="External"/><Relationship Id="rId45" Type="http://schemas.openxmlformats.org/officeDocument/2006/relationships/hyperlink" Target="https://www.tiktok.com/@perrine.trp/video/7420530124208016672" TargetMode="External"/><Relationship Id="rId48" Type="http://schemas.openxmlformats.org/officeDocument/2006/relationships/hyperlink" Target="https://www.tiktok.com/@jeanne_bayart/video/7437562970659491105?lang=en" TargetMode="External"/><Relationship Id="rId47" Type="http://schemas.openxmlformats.org/officeDocument/2006/relationships/hyperlink" Target="https://www.tiktok.com/@jeanne_bayart/video/7425572834992344353?_r=1&amp;_t=8qXCYC0RFJY" TargetMode="External"/><Relationship Id="rId49" Type="http://schemas.openxmlformats.org/officeDocument/2006/relationships/hyperlink" Target="https://www.tiktok.com/@___oraane/video/7434852783339195681?lang=en" TargetMode="External"/><Relationship Id="rId31" Type="http://schemas.openxmlformats.org/officeDocument/2006/relationships/hyperlink" Target="https://www.tiktok.com/@melf.fnt/video/7408135764502007073" TargetMode="External"/><Relationship Id="rId30" Type="http://schemas.openxmlformats.org/officeDocument/2006/relationships/hyperlink" Target="https://www.tiktok.com/@lavishhcam/video/7407487090046389537?lang=en" TargetMode="External"/><Relationship Id="rId33" Type="http://schemas.openxmlformats.org/officeDocument/2006/relationships/hyperlink" Target="https://www.tiktok.com/@lavishhcam/video/7411562966337834272?lang=en" TargetMode="External"/><Relationship Id="rId32" Type="http://schemas.openxmlformats.org/officeDocument/2006/relationships/hyperlink" Target="https://www.tiktok.com/@lavishhcam/video/7406708879695875360?lang=en" TargetMode="External"/><Relationship Id="rId35" Type="http://schemas.openxmlformats.org/officeDocument/2006/relationships/hyperlink" Target="https://www.tiktok.com/@lilyy.nl/video/7411947131440827681" TargetMode="External"/><Relationship Id="rId34" Type="http://schemas.openxmlformats.org/officeDocument/2006/relationships/hyperlink" Target="https://www.tiktok.com/@morgane.mrckk/video/7406767459749055777" TargetMode="External"/><Relationship Id="rId37" Type="http://schemas.openxmlformats.org/officeDocument/2006/relationships/hyperlink" Target="https://www.tiktok.com/@lilyy.nl/video/7412698376162135328" TargetMode="External"/><Relationship Id="rId36" Type="http://schemas.openxmlformats.org/officeDocument/2006/relationships/hyperlink" Target="https://www.tiktok.com/@julianebernard/video/7415999447202663713" TargetMode="External"/><Relationship Id="rId39" Type="http://schemas.openxmlformats.org/officeDocument/2006/relationships/hyperlink" Target="https://www.tiktok.com/@melf.fnt/video/7417119746270776609" TargetMode="External"/><Relationship Id="rId38" Type="http://schemas.openxmlformats.org/officeDocument/2006/relationships/hyperlink" Target="https://www.tiktok.com/@melf.fnt/video/7421252203458874656" TargetMode="External"/><Relationship Id="rId20" Type="http://schemas.openxmlformats.org/officeDocument/2006/relationships/hyperlink" Target="https://vm.tiktok.com/ZGenfd12c/" TargetMode="External"/><Relationship Id="rId22" Type="http://schemas.openxmlformats.org/officeDocument/2006/relationships/hyperlink" Target="https://www.tiktok.com/@liserdg/video/7401195152984870176" TargetMode="External"/><Relationship Id="rId21" Type="http://schemas.openxmlformats.org/officeDocument/2006/relationships/hyperlink" Target="https://www.tiktok.com/@liserdg/video/7397464254451911969" TargetMode="External"/><Relationship Id="rId24" Type="http://schemas.openxmlformats.org/officeDocument/2006/relationships/hyperlink" Target="https://www.tiktok.com/@morgane.mrckk/video/7411931626252422433" TargetMode="External"/><Relationship Id="rId23" Type="http://schemas.openxmlformats.org/officeDocument/2006/relationships/hyperlink" Target="https://www.tiktok.com/@lilyy.nl/video/7403767696283766048" TargetMode="External"/><Relationship Id="rId409" Type="http://schemas.openxmlformats.org/officeDocument/2006/relationships/hyperlink" Target="https://www.tiktok.com/@iimslma/video/7468781724462337302?lang=en" TargetMode="External"/><Relationship Id="rId404" Type="http://schemas.openxmlformats.org/officeDocument/2006/relationships/hyperlink" Target="https://www.tiktok.com/@iimslma/video/7408622473912061216" TargetMode="External"/><Relationship Id="rId403" Type="http://schemas.openxmlformats.org/officeDocument/2006/relationships/hyperlink" Target="https://www.tiktok.com/@iimslma/video/7412021525198425376" TargetMode="External"/><Relationship Id="rId402" Type="http://schemas.openxmlformats.org/officeDocument/2006/relationships/hyperlink" Target="https://www.tiktok.com/@iimslma/video/7407485284817882401" TargetMode="External"/><Relationship Id="rId401" Type="http://schemas.openxmlformats.org/officeDocument/2006/relationships/hyperlink" Target="https://www.tiktok.com/@iimslma/video/7400436730320456993" TargetMode="External"/><Relationship Id="rId408" Type="http://schemas.openxmlformats.org/officeDocument/2006/relationships/hyperlink" Target="https://www.tiktok.com/@iimslma/video/7468747433061944599?lang=en" TargetMode="External"/><Relationship Id="rId407" Type="http://schemas.openxmlformats.org/officeDocument/2006/relationships/hyperlink" Target="https://www.tiktok.com/@iimslma/video/7435745133313805601?_r=1&amp;_t=8rleTqgb0vG" TargetMode="External"/><Relationship Id="rId406" Type="http://schemas.openxmlformats.org/officeDocument/2006/relationships/hyperlink" Target="https://www.tiktok.com/@iimslma/video/7431628369067838753?lang=en" TargetMode="External"/><Relationship Id="rId405" Type="http://schemas.openxmlformats.org/officeDocument/2006/relationships/hyperlink" Target="https://www.tiktok.com/@iimslma/video/7413780170781347105" TargetMode="External"/><Relationship Id="rId26" Type="http://schemas.openxmlformats.org/officeDocument/2006/relationships/hyperlink" Target="https://www.tiktok.com/@lavishhcam/video/7406036857340824865?lang=en" TargetMode="External"/><Relationship Id="rId25" Type="http://schemas.openxmlformats.org/officeDocument/2006/relationships/hyperlink" Target="https://www.tiktok.com/@___oraane/video/7403673068578688289" TargetMode="External"/><Relationship Id="rId28" Type="http://schemas.openxmlformats.org/officeDocument/2006/relationships/hyperlink" Target="https://www.tiktok.com/@paupibeauty/video/7403439757415533856?_r=1&amp;_t=8otpeszl9rE" TargetMode="External"/><Relationship Id="rId27" Type="http://schemas.openxmlformats.org/officeDocument/2006/relationships/hyperlink" Target="https://www.tiktok.com/@lilyy.nl/video/7407093682731502880" TargetMode="External"/><Relationship Id="rId400" Type="http://schemas.openxmlformats.org/officeDocument/2006/relationships/hyperlink" Target="https://www.tiktok.com/@iimslma/video/7399725613407309089" TargetMode="External"/><Relationship Id="rId29" Type="http://schemas.openxmlformats.org/officeDocument/2006/relationships/hyperlink" Target="https://www.tiktok.com/@perrine.trp/video/7411953653143129376" TargetMode="External"/><Relationship Id="rId11" Type="http://schemas.openxmlformats.org/officeDocument/2006/relationships/hyperlink" Target="https://www.tiktok.com/@paupibeauty/video/7395224727377251617" TargetMode="External"/><Relationship Id="rId10" Type="http://schemas.openxmlformats.org/officeDocument/2006/relationships/hyperlink" Target="https://www.tiktok.com/@___oraane/video/7392965105924738336" TargetMode="External"/><Relationship Id="rId13" Type="http://schemas.openxmlformats.org/officeDocument/2006/relationships/hyperlink" Target="https://www.tiktok.com/@melf.fnt/video/7393286593676660000" TargetMode="External"/><Relationship Id="rId12" Type="http://schemas.openxmlformats.org/officeDocument/2006/relationships/hyperlink" Target="https://www.tiktok.com/@lolatagliaferroo/video/7395519666556259616" TargetMode="External"/><Relationship Id="rId15" Type="http://schemas.openxmlformats.org/officeDocument/2006/relationships/hyperlink" Target="https://www.tiktok.com/@morgane.mrckk/video/7394042444519591201" TargetMode="External"/><Relationship Id="rId14" Type="http://schemas.openxmlformats.org/officeDocument/2006/relationships/hyperlink" Target="https://www.tiktok.com/@perrine.trp/video/7393392477878701345" TargetMode="External"/><Relationship Id="rId17" Type="http://schemas.openxmlformats.org/officeDocument/2006/relationships/hyperlink" Target="https://www.tiktok.com/@paupibeauty/video/7397449808555937056?_r=1&amp;_t=8oSOvlgWeMi" TargetMode="External"/><Relationship Id="rId16" Type="http://schemas.openxmlformats.org/officeDocument/2006/relationships/hyperlink" Target="https://www.tiktok.com/@paupibeauty/video/7394501330364075296" TargetMode="External"/><Relationship Id="rId19" Type="http://schemas.openxmlformats.org/officeDocument/2006/relationships/hyperlink" Target="https://www.tiktok.com/@___oraane/video/7398548157925248288" TargetMode="External"/><Relationship Id="rId18" Type="http://schemas.openxmlformats.org/officeDocument/2006/relationships/hyperlink" Target="https://www.tiktok.com/@lolatagliaferroo/video/7398086597721263393" TargetMode="External"/><Relationship Id="rId84" Type="http://schemas.openxmlformats.org/officeDocument/2006/relationships/hyperlink" Target="https://www.tiktok.com/@iimslma/video/7465383468805999894?_r=1&amp;_t=ZN-8tTXg6qHkUY" TargetMode="External"/><Relationship Id="rId83" Type="http://schemas.openxmlformats.org/officeDocument/2006/relationships/hyperlink" Target="https://www.tiktok.com/@lavishhcam/video/7463441462252932374" TargetMode="External"/><Relationship Id="rId86" Type="http://schemas.openxmlformats.org/officeDocument/2006/relationships/hyperlink" Target="https://drive.google.com/drive/folders/1FnvDqkwV1ZNt07Wd6_56AoVsLCKkVsQF?usp=sharing" TargetMode="External"/><Relationship Id="rId85" Type="http://schemas.openxmlformats.org/officeDocument/2006/relationships/hyperlink" Target="https://www.tiktok.com/@iman_cvls/video/7465390038260485398?_t=ZN-8tTZG4XbMr0&amp;_r=1" TargetMode="External"/><Relationship Id="rId88" Type="http://schemas.openxmlformats.org/officeDocument/2006/relationships/hyperlink" Target="https://www.tiktok.com/@la_gur/video/7467998009230363926?lang=en" TargetMode="External"/><Relationship Id="rId87" Type="http://schemas.openxmlformats.org/officeDocument/2006/relationships/hyperlink" Target="https://www.tiktok.com/@liserdg/video/7465785595495763222?lang=en" TargetMode="External"/><Relationship Id="rId89" Type="http://schemas.openxmlformats.org/officeDocument/2006/relationships/hyperlink" Target="https://www.tiktok.com/@dounsbnl/video/7471295610063310102" TargetMode="External"/><Relationship Id="rId80" Type="http://schemas.openxmlformats.org/officeDocument/2006/relationships/hyperlink" Target="https://www.tiktok.com/@jasmiinelife/video/7453739165205777686?lang=en" TargetMode="External"/><Relationship Id="rId82" Type="http://schemas.openxmlformats.org/officeDocument/2006/relationships/hyperlink" Target="https://www.tiktok.com/@jeanne_bayart/video/7442798993492479265?lang=en" TargetMode="External"/><Relationship Id="rId81" Type="http://schemas.openxmlformats.org/officeDocument/2006/relationships/hyperlink" Target="https://www.instagram.com/reel/DEKlEAhCcsg/" TargetMode="External"/><Relationship Id="rId73" Type="http://schemas.openxmlformats.org/officeDocument/2006/relationships/hyperlink" Target="https://www.tiktok.com/@paupibeauty/video/7442018892454694176?_r=1&amp;_t=8rkWjFn0wJa" TargetMode="External"/><Relationship Id="rId72" Type="http://schemas.openxmlformats.org/officeDocument/2006/relationships/hyperlink" Target="https://drive.google.com/drive/folders/11rz6iwQA0fxPhQ9ewqtWqTpe7U99qt3Z?usp=sharing" TargetMode="External"/><Relationship Id="rId75" Type="http://schemas.openxmlformats.org/officeDocument/2006/relationships/hyperlink" Target="https://www.tiktok.com/@lilyy.nl/video/7443863318730689814" TargetMode="External"/><Relationship Id="rId74" Type="http://schemas.openxmlformats.org/officeDocument/2006/relationships/hyperlink" Target="https://www.tiktok.com/@anaiswairyy?lang=en" TargetMode="External"/><Relationship Id="rId77" Type="http://schemas.openxmlformats.org/officeDocument/2006/relationships/hyperlink" Target="https://www.tiktok.com/@iman_cvls/video/7451924438834089238?_r=1&amp;_t=8sTta62xc1u" TargetMode="External"/><Relationship Id="rId76" Type="http://schemas.openxmlformats.org/officeDocument/2006/relationships/hyperlink" Target="https://www.tiktok.com/@jeanne_bayart/video/7442798993492479265?lang=en" TargetMode="External"/><Relationship Id="rId79" Type="http://schemas.openxmlformats.org/officeDocument/2006/relationships/hyperlink" Target="https://www.tiktok.com/@iman_cvls/video/7452403635708775702" TargetMode="External"/><Relationship Id="rId78" Type="http://schemas.openxmlformats.org/officeDocument/2006/relationships/hyperlink" Target="https://www.tiktok.com/@iman_cvls/video/7452023214944947478?_r=1&amp;_t=8sWEGQqinJO" TargetMode="External"/><Relationship Id="rId71" Type="http://schemas.openxmlformats.org/officeDocument/2006/relationships/hyperlink" Target="https://www.tiktok.com/@melf.fnt/video/7441913953858489633" TargetMode="External"/><Relationship Id="rId70" Type="http://schemas.openxmlformats.org/officeDocument/2006/relationships/hyperlink" Target="https://www.tiktok.com/@___oraane/video/7449648582451350806?lang=en" TargetMode="External"/><Relationship Id="rId62" Type="http://schemas.openxmlformats.org/officeDocument/2006/relationships/hyperlink" Target="https://www.tiktok.com/@julianebernard/video/7437454498747927841?lang=en" TargetMode="External"/><Relationship Id="rId61" Type="http://schemas.openxmlformats.org/officeDocument/2006/relationships/hyperlink" Target="https://www.tiktok.com/@lavishhcam/video/7437477138430741792" TargetMode="External"/><Relationship Id="rId64" Type="http://schemas.openxmlformats.org/officeDocument/2006/relationships/hyperlink" Target="https://www.tiktok.com/@anaiswairyy/video/7455393883908771094?lang=en" TargetMode="External"/><Relationship Id="rId63" Type="http://schemas.openxmlformats.org/officeDocument/2006/relationships/hyperlink" Target="https://www.tiktok.com/@melf.fnt/video/7437532619706731809" TargetMode="External"/><Relationship Id="rId66" Type="http://schemas.openxmlformats.org/officeDocument/2006/relationships/hyperlink" Target="https://drive.google.com/drive/folders/1icuUDaZNzd4oI4lnayLN1_2tW4GpuC6b?usp=sharing" TargetMode="External"/><Relationship Id="rId65" Type="http://schemas.openxmlformats.org/officeDocument/2006/relationships/hyperlink" Target="https://www.tiktok.com/@anaiswairyy/video/7469871245606030614?lang=en" TargetMode="External"/><Relationship Id="rId68" Type="http://schemas.openxmlformats.org/officeDocument/2006/relationships/hyperlink" Target="https://drive.google.com/drive/folders/1JwKeeUCt8lyGIC2rdZASNZ4zJuu3W3qW?usp=sharing" TargetMode="External"/><Relationship Id="rId67" Type="http://schemas.openxmlformats.org/officeDocument/2006/relationships/hyperlink" Target="https://www.tiktok.com/@___oraane/video/7450792735776296214?lang=en" TargetMode="External"/><Relationship Id="rId60" Type="http://schemas.openxmlformats.org/officeDocument/2006/relationships/hyperlink" Target="https://www.tiktok.com/@melf.fnt/video/7436438601740668192?_r=1&amp;_t=8rKy09eXARN" TargetMode="External"/><Relationship Id="rId69" Type="http://schemas.openxmlformats.org/officeDocument/2006/relationships/hyperlink" Target="https://drive.google.com/drive/folders/1D8WlG9KHsLATfBfVq4iJxgjuKfO3GaYz?usp=sharing" TargetMode="External"/><Relationship Id="rId51" Type="http://schemas.openxmlformats.org/officeDocument/2006/relationships/hyperlink" Target="https://www.tiktok.com/@liserdg/video/7430136572063796513?lang=en" TargetMode="External"/><Relationship Id="rId50" Type="http://schemas.openxmlformats.org/officeDocument/2006/relationships/hyperlink" Target="https://www.tiktok.com/@melf.fnt/video/7430522334919822624" TargetMode="External"/><Relationship Id="rId53" Type="http://schemas.openxmlformats.org/officeDocument/2006/relationships/hyperlink" Target="https://www.tiktok.com/@morgane.mrckk/video/7430757799249988896?lang=en" TargetMode="External"/><Relationship Id="rId52" Type="http://schemas.openxmlformats.org/officeDocument/2006/relationships/hyperlink" Target="https://www.tiktok.com/@liserdg/video/7432768931619802401?lang=en" TargetMode="External"/><Relationship Id="rId55" Type="http://schemas.openxmlformats.org/officeDocument/2006/relationships/hyperlink" Target="https://www.tiktok.com/@___oraane/video/7419283054981664033" TargetMode="External"/><Relationship Id="rId54" Type="http://schemas.openxmlformats.org/officeDocument/2006/relationships/hyperlink" Target="https://www.tiktok.com/@shaa_dl/video/7515842386795187478" TargetMode="External"/><Relationship Id="rId57" Type="http://schemas.openxmlformats.org/officeDocument/2006/relationships/hyperlink" Target="https://www.tiktok.com/@chiaraaaa.bnc/video/7438003860733578528?lang=en" TargetMode="External"/><Relationship Id="rId56" Type="http://schemas.openxmlformats.org/officeDocument/2006/relationships/hyperlink" Target="https://www.tiktok.com/@anaiswairyy/video/7433837110584479008?lang=en" TargetMode="External"/><Relationship Id="rId59" Type="http://schemas.openxmlformats.org/officeDocument/2006/relationships/hyperlink" Target="https://www.tiktok.com/@iimslma/video/7436438336383880480?lang=en" TargetMode="External"/><Relationship Id="rId58" Type="http://schemas.openxmlformats.org/officeDocument/2006/relationships/hyperlink" Target="https://www.tiktok.com/@morgane.mrckk/video/7437476392905805089?lang=en" TargetMode="External"/><Relationship Id="rId107" Type="http://schemas.openxmlformats.org/officeDocument/2006/relationships/hyperlink" Target="https://www.tiktok.com/@ttemarine/video/7494670749865757974" TargetMode="External"/><Relationship Id="rId228" Type="http://schemas.openxmlformats.org/officeDocument/2006/relationships/hyperlink" Target="https://www.tiktok.com/@la_gur/video/7485089693206433046?lang=en" TargetMode="External"/><Relationship Id="rId349" Type="http://schemas.openxmlformats.org/officeDocument/2006/relationships/hyperlink" Target="https://www.tiktok.com/@morgane.mrckk/video/7436771318671953185?lang=en" TargetMode="External"/><Relationship Id="rId106" Type="http://schemas.openxmlformats.org/officeDocument/2006/relationships/hyperlink" Target="https://www.tiktok.com/@ttemarine/video/7495056234014379266" TargetMode="External"/><Relationship Id="rId227" Type="http://schemas.openxmlformats.org/officeDocument/2006/relationships/hyperlink" Target="https://www.tiktok.com/@la_gur/photo/7457999858377428246?lang=en" TargetMode="External"/><Relationship Id="rId348" Type="http://schemas.openxmlformats.org/officeDocument/2006/relationships/hyperlink" Target="https://www.tiktok.com/@morgane.mrckk/video/7424156968429833504?lang=en" TargetMode="External"/><Relationship Id="rId105" Type="http://schemas.openxmlformats.org/officeDocument/2006/relationships/hyperlink" Target="https://www.tiktok.com/@lilyy.nl/video/7493984160173034774" TargetMode="External"/><Relationship Id="rId226" Type="http://schemas.openxmlformats.org/officeDocument/2006/relationships/hyperlink" Target="https://www.tiktok.com/@bleulividee/video/7365539403646651680" TargetMode="External"/><Relationship Id="rId347" Type="http://schemas.openxmlformats.org/officeDocument/2006/relationships/hyperlink" Target="https://www.tiktok.com/@morgane.mrckk/video/7423352236501241121" TargetMode="External"/><Relationship Id="rId104" Type="http://schemas.openxmlformats.org/officeDocument/2006/relationships/hyperlink" Target="https://www.tiktok.com/@eloiseaubeneauu/video/7495738839487581470?_t=ZP-8viaG7wegWt&amp;_r=1" TargetMode="External"/><Relationship Id="rId225" Type="http://schemas.openxmlformats.org/officeDocument/2006/relationships/hyperlink" Target="https://www.tiktok.com/@bleulividee/video/7397487380388744480" TargetMode="External"/><Relationship Id="rId346" Type="http://schemas.openxmlformats.org/officeDocument/2006/relationships/hyperlink" Target="https://www.tiktok.com/@morgane.mrckk/video/7412302749104114977" TargetMode="External"/><Relationship Id="rId109" Type="http://schemas.openxmlformats.org/officeDocument/2006/relationships/hyperlink" Target="https://www.tiktok.com/@paupibeauty/video/7493948630144011542" TargetMode="External"/><Relationship Id="rId108" Type="http://schemas.openxmlformats.org/officeDocument/2006/relationships/hyperlink" Target="https://www.tiktok.com/@julianebernard/video/7493986086654315798?lang=en" TargetMode="External"/><Relationship Id="rId229" Type="http://schemas.openxmlformats.org/officeDocument/2006/relationships/hyperlink" Target="https://www.tiktok.com/@la_gur/video/7495733948685815062?lang=en" TargetMode="External"/><Relationship Id="rId220" Type="http://schemas.openxmlformats.org/officeDocument/2006/relationships/hyperlink" Target="https://www.tiktok.com/@bleulividee/video/7392682253026970912" TargetMode="External"/><Relationship Id="rId341" Type="http://schemas.openxmlformats.org/officeDocument/2006/relationships/hyperlink" Target="https://www.tiktok.com/@morgane.mrckk/video/7384031967643307296" TargetMode="External"/><Relationship Id="rId340" Type="http://schemas.openxmlformats.org/officeDocument/2006/relationships/hyperlink" Target="https://www.tiktok.com/@melf.fnt/video/7400756804549971232" TargetMode="External"/><Relationship Id="rId103" Type="http://schemas.openxmlformats.org/officeDocument/2006/relationships/hyperlink" Target="https://www.tiktok.com/@dounsbnl/video/7476794031935147286" TargetMode="External"/><Relationship Id="rId224" Type="http://schemas.openxmlformats.org/officeDocument/2006/relationships/hyperlink" Target="https://www.tiktok.com/@bleulividee/video/7393388652753194273" TargetMode="External"/><Relationship Id="rId345" Type="http://schemas.openxmlformats.org/officeDocument/2006/relationships/hyperlink" Target="https://www.tiktok.com/@morgane.mrckk/video/7413431476252970272" TargetMode="External"/><Relationship Id="rId102" Type="http://schemas.openxmlformats.org/officeDocument/2006/relationships/hyperlink" Target="https://www.tiktok.com/@iimslma/video/7485792482345618710?_r=1&amp;_t=ZN-8uz1T2hjhy6" TargetMode="External"/><Relationship Id="rId223" Type="http://schemas.openxmlformats.org/officeDocument/2006/relationships/hyperlink" Target="https://www.tiktok.com/@bleulividee/video/7375559768552770849" TargetMode="External"/><Relationship Id="rId344" Type="http://schemas.openxmlformats.org/officeDocument/2006/relationships/hyperlink" Target="https://www.tiktok.com/@morgane.mrckk/video/7414534348910775584" TargetMode="External"/><Relationship Id="rId101" Type="http://schemas.openxmlformats.org/officeDocument/2006/relationships/hyperlink" Target="https://www.tiktok.com/@julianebernard/video/7496568197135486230?_r=1&amp;_t=ZN-8vmOTilRwgg" TargetMode="External"/><Relationship Id="rId222" Type="http://schemas.openxmlformats.org/officeDocument/2006/relationships/hyperlink" Target="https://www.tiktok.com/@bleulividee/video/7375559768552770849" TargetMode="External"/><Relationship Id="rId343" Type="http://schemas.openxmlformats.org/officeDocument/2006/relationships/hyperlink" Target="https://www.tiktok.com/@morgane.mrckk/video/7402654625314196769" TargetMode="External"/><Relationship Id="rId100" Type="http://schemas.openxmlformats.org/officeDocument/2006/relationships/hyperlink" Target="https://www.tiktok.com/@eloiseaubeneauu/video/7482020827924401451" TargetMode="External"/><Relationship Id="rId221" Type="http://schemas.openxmlformats.org/officeDocument/2006/relationships/hyperlink" Target="https://www.tiktok.com/@bleulividee/video/7410370727486049568" TargetMode="External"/><Relationship Id="rId342" Type="http://schemas.openxmlformats.org/officeDocument/2006/relationships/hyperlink" Target="https://www.tiktok.com/@morgane.mrckk/video/7384031967643307296" TargetMode="External"/><Relationship Id="rId217" Type="http://schemas.openxmlformats.org/officeDocument/2006/relationships/hyperlink" Target="https://www.tiktok.com/@bleulividee/video/7372251599776877856" TargetMode="External"/><Relationship Id="rId338" Type="http://schemas.openxmlformats.org/officeDocument/2006/relationships/hyperlink" Target="https://www.tiktok.com/@melf.fnt/video/7395873680867233057" TargetMode="External"/><Relationship Id="rId216" Type="http://schemas.openxmlformats.org/officeDocument/2006/relationships/hyperlink" Target="https://docs.google.com/presentation/d/1q4NE7BfV_3-rP4IUQJmAq-Et7OVpK16CYhR5OVpmQYo/edit?usp=sharing" TargetMode="External"/><Relationship Id="rId337" Type="http://schemas.openxmlformats.org/officeDocument/2006/relationships/hyperlink" Target="https://www.tiktok.com/@melf.fnt/video/7375924184494476577" TargetMode="External"/><Relationship Id="rId215" Type="http://schemas.openxmlformats.org/officeDocument/2006/relationships/hyperlink" Target="https://www.tiktok.com/@farahdisiaque/video/7483922941864955158?_t=ZN-8uqT7rbpmb8&amp;_r=1" TargetMode="External"/><Relationship Id="rId336" Type="http://schemas.openxmlformats.org/officeDocument/2006/relationships/hyperlink" Target="https://www.tiktok.com/@melf.fnt/video/7360752268607491360" TargetMode="External"/><Relationship Id="rId214" Type="http://schemas.openxmlformats.org/officeDocument/2006/relationships/hyperlink" Target="https://www.instagram.com/reel/DJPcuR3Idt7/?igsh=OW9lOXZyc2hucGI=" TargetMode="External"/><Relationship Id="rId335" Type="http://schemas.openxmlformats.org/officeDocument/2006/relationships/hyperlink" Target="https://www.tiktok.com/@melf.fnt/video/7428571977918500128" TargetMode="External"/><Relationship Id="rId219" Type="http://schemas.openxmlformats.org/officeDocument/2006/relationships/hyperlink" Target="https://www.tiktok.com/@bleulividee/video/7391910299361709344" TargetMode="External"/><Relationship Id="rId218" Type="http://schemas.openxmlformats.org/officeDocument/2006/relationships/hyperlink" Target="https://vm.tiktok.com/ZGepDFE5y/" TargetMode="External"/><Relationship Id="rId339" Type="http://schemas.openxmlformats.org/officeDocument/2006/relationships/hyperlink" Target="https://www.tiktok.com/@melf.fnt/video/7364824274315529505" TargetMode="External"/><Relationship Id="rId330" Type="http://schemas.openxmlformats.org/officeDocument/2006/relationships/hyperlink" Target="https://www.tiktok.com/@melf.fnt/video/7416390437692280096" TargetMode="External"/><Relationship Id="rId213" Type="http://schemas.openxmlformats.org/officeDocument/2006/relationships/hyperlink" Target="https://www.tiktok.com/@eloiseaubeneauu/video/7507226915682389279" TargetMode="External"/><Relationship Id="rId334" Type="http://schemas.openxmlformats.org/officeDocument/2006/relationships/hyperlink" Target="https://www.tiktok.com/@melf.fnt/video/7431619697042296096" TargetMode="External"/><Relationship Id="rId212" Type="http://schemas.openxmlformats.org/officeDocument/2006/relationships/hyperlink" Target="https://www.tiktok.com/@eloiseaubeneauu/video/7483491441663036718?_t=ZT-8uoTJcOEruw&amp;_r=1" TargetMode="External"/><Relationship Id="rId333" Type="http://schemas.openxmlformats.org/officeDocument/2006/relationships/hyperlink" Target="https://www.tiktok.com/@melf.fnt/video/7422664116545801504" TargetMode="External"/><Relationship Id="rId211" Type="http://schemas.openxmlformats.org/officeDocument/2006/relationships/hyperlink" Target="https://www.instagram.com/reel/DJMIRWMoL9E/?igsh=MTY5bnFnZW5mZGI2dA==" TargetMode="External"/><Relationship Id="rId332" Type="http://schemas.openxmlformats.org/officeDocument/2006/relationships/hyperlink" Target="https://www.tiktok.com/@melf.fnt/video/7417407814903057697" TargetMode="External"/><Relationship Id="rId210" Type="http://schemas.openxmlformats.org/officeDocument/2006/relationships/hyperlink" Target="https://www.instagram.com/p/DHT2-JnIB-6/" TargetMode="External"/><Relationship Id="rId331" Type="http://schemas.openxmlformats.org/officeDocument/2006/relationships/hyperlink" Target="https://www.tiktok.com/@melf.fnt/video/7415636160636013856" TargetMode="External"/><Relationship Id="rId370" Type="http://schemas.openxmlformats.org/officeDocument/2006/relationships/hyperlink" Target="https://www.tiktok.com/@paupibeauty/video/7388913023471176993" TargetMode="External"/><Relationship Id="rId129" Type="http://schemas.openxmlformats.org/officeDocument/2006/relationships/hyperlink" Target="https://www.tiktok.com/@iam.sissou/video/7513475563936369942" TargetMode="External"/><Relationship Id="rId128" Type="http://schemas.openxmlformats.org/officeDocument/2006/relationships/hyperlink" Target="https://www.tiktok.com/@ttemarine/video/7522142648207936790?_t=ZN-8xfVHZaTphe&amp;_r=1" TargetMode="External"/><Relationship Id="rId249" Type="http://schemas.openxmlformats.org/officeDocument/2006/relationships/hyperlink" Target="https://www.tiktok.com/@jeanne_bayart/video/7405111060274924832" TargetMode="External"/><Relationship Id="rId127" Type="http://schemas.openxmlformats.org/officeDocument/2006/relationships/hyperlink" Target="https://vm.tiktok.com/ZNdPeJgF7/" TargetMode="External"/><Relationship Id="rId248" Type="http://schemas.openxmlformats.org/officeDocument/2006/relationships/hyperlink" Target="https://www.instagram.com/reel/DAEGiSUicZy/" TargetMode="External"/><Relationship Id="rId369" Type="http://schemas.openxmlformats.org/officeDocument/2006/relationships/hyperlink" Target="https://vm.tiktok.com/ZGeb3qMjG/" TargetMode="External"/><Relationship Id="rId126" Type="http://schemas.openxmlformats.org/officeDocument/2006/relationships/hyperlink" Target="https://www.tiktok.com/@amani_mee/video/7494728696528522518" TargetMode="External"/><Relationship Id="rId247" Type="http://schemas.openxmlformats.org/officeDocument/2006/relationships/hyperlink" Target="https://www.tiktok.com/@jasmiinelife/video/7406012010816638240" TargetMode="External"/><Relationship Id="rId368" Type="http://schemas.openxmlformats.org/officeDocument/2006/relationships/hyperlink" Target="https://www.tiktok.com/@paupibeauty/video/7376008068775120160" TargetMode="External"/><Relationship Id="rId121" Type="http://schemas.openxmlformats.org/officeDocument/2006/relationships/hyperlink" Target="https://www.tiktok.com/@paupibeauty/video/7507679880100810007?_r=1&amp;_t=ZN-8wbG54dkxtO" TargetMode="External"/><Relationship Id="rId242" Type="http://schemas.openxmlformats.org/officeDocument/2006/relationships/hyperlink" Target="https://www.tiktok.com/@jasmiinelife/video/7411133691189071137" TargetMode="External"/><Relationship Id="rId363" Type="http://schemas.openxmlformats.org/officeDocument/2006/relationships/hyperlink" Target="https://www.tiktok.com/@___oraane/video/7427080640987712800?lang=en" TargetMode="External"/><Relationship Id="rId120" Type="http://schemas.openxmlformats.org/officeDocument/2006/relationships/hyperlink" Target="https://www.tiktok.com/@lavishhcam/video/7505069359010794774" TargetMode="External"/><Relationship Id="rId241" Type="http://schemas.openxmlformats.org/officeDocument/2006/relationships/hyperlink" Target="https://www.tiktok.com/@jasmiinelife/video/7398942773430308128" TargetMode="External"/><Relationship Id="rId362" Type="http://schemas.openxmlformats.org/officeDocument/2006/relationships/hyperlink" Target="https://www.tiktok.com/@___oraane/video/7422246939724385569?lang=en" TargetMode="External"/><Relationship Id="rId240" Type="http://schemas.openxmlformats.org/officeDocument/2006/relationships/hyperlink" Target="https://www.tiktok.com/@jasmiinelife/video/7402157667159969057" TargetMode="External"/><Relationship Id="rId361" Type="http://schemas.openxmlformats.org/officeDocument/2006/relationships/hyperlink" Target="https://www.tiktok.com/@___oraane/video/7408970007402663200" TargetMode="External"/><Relationship Id="rId360" Type="http://schemas.openxmlformats.org/officeDocument/2006/relationships/hyperlink" Target="https://www.tiktok.com/@___oraane/video/7398824092297612576" TargetMode="External"/><Relationship Id="rId125" Type="http://schemas.openxmlformats.org/officeDocument/2006/relationships/hyperlink" Target="https://www.tiktok.com/@paupibeauty/video/7439768252269546785?_r=1&amp;_t=8raH38QLVtG" TargetMode="External"/><Relationship Id="rId246" Type="http://schemas.openxmlformats.org/officeDocument/2006/relationships/hyperlink" Target="https://vm.tiktok.com/ZNdr6BsyX/" TargetMode="External"/><Relationship Id="rId367" Type="http://schemas.openxmlformats.org/officeDocument/2006/relationships/hyperlink" Target="https://www.tiktok.com/@___oraane/video/7410372109068766496" TargetMode="External"/><Relationship Id="rId124" Type="http://schemas.openxmlformats.org/officeDocument/2006/relationships/hyperlink" Target="https://www.tiktok.com/@mary.zhh/video/7460561651675303190" TargetMode="External"/><Relationship Id="rId245" Type="http://schemas.openxmlformats.org/officeDocument/2006/relationships/hyperlink" Target="https://www.tiktok.com/@jasmiinelife/video/7478010649835064598?_t=ZN-8uksMc15EkI&amp;_r=1" TargetMode="External"/><Relationship Id="rId366" Type="http://schemas.openxmlformats.org/officeDocument/2006/relationships/hyperlink" Target="https://www.tiktok.com/@___oraane/video/7375468422068571424?_r=1&amp;_t=8krP3tfqVUH" TargetMode="External"/><Relationship Id="rId123" Type="http://schemas.openxmlformats.org/officeDocument/2006/relationships/hyperlink" Target="https://www.tiktok.com/@mary.zhh/video/7462430581402520854" TargetMode="External"/><Relationship Id="rId244" Type="http://schemas.openxmlformats.org/officeDocument/2006/relationships/hyperlink" Target="https://www.tiktok.com/@jasmiinelife/video/7481342810977881366?_r=1&amp;_t=ZN-8ued6vIUIJa" TargetMode="External"/><Relationship Id="rId365" Type="http://schemas.openxmlformats.org/officeDocument/2006/relationships/hyperlink" Target="https://www.tiktok.com/@___oraane/video/7497260335687142678?_r=1&amp;_t=ZN-8wK7rhJ1GDe" TargetMode="External"/><Relationship Id="rId122" Type="http://schemas.openxmlformats.org/officeDocument/2006/relationships/hyperlink" Target="https://www.tiktok.com/@iam.sissou/video/7526589360469265686?is_from_webapp=1&amp;sender_device=pc&amp;web_id=7504317976587437590" TargetMode="External"/><Relationship Id="rId243" Type="http://schemas.openxmlformats.org/officeDocument/2006/relationships/hyperlink" Target="https://www.tiktok.com/@jasmiinelife/video/7431849329335209249?_t=8qzxJsLvUuH&amp;_r=1" TargetMode="External"/><Relationship Id="rId364" Type="http://schemas.openxmlformats.org/officeDocument/2006/relationships/hyperlink" Target="https://www.tiktok.com/@___oraane/video/7476554634371337495?_t=ZN-8uksMQy8spa&amp;_r=1" TargetMode="External"/><Relationship Id="rId95" Type="http://schemas.openxmlformats.org/officeDocument/2006/relationships/hyperlink" Target="https://www.tiktok.com/@dounsbnl/video/7473150812873788674?_t=ZN-8u36zKwjrx0&amp;_r=1" TargetMode="External"/><Relationship Id="rId94" Type="http://schemas.openxmlformats.org/officeDocument/2006/relationships/hyperlink" Target="https://www.tiktok.com/@anaiswairyy/video/7471353868702502166?lang=en" TargetMode="External"/><Relationship Id="rId97" Type="http://schemas.openxmlformats.org/officeDocument/2006/relationships/hyperlink" Target="https://www.tiktok.com/@paupibeauty/video/7473538347969875222?_r=1&amp;_t=ZN-8u4tYDuW4wQ" TargetMode="External"/><Relationship Id="rId96" Type="http://schemas.openxmlformats.org/officeDocument/2006/relationships/hyperlink" Target="https://www.tiktok.com/@lolatagliaferroo/video/7473819808870534422?lang=en" TargetMode="External"/><Relationship Id="rId99" Type="http://schemas.openxmlformats.org/officeDocument/2006/relationships/hyperlink" Target="https://www.tiktok.com/@eloiseaubeneauu/video/7482020827924401451" TargetMode="External"/><Relationship Id="rId98" Type="http://schemas.openxmlformats.org/officeDocument/2006/relationships/hyperlink" Target="https://www.tiktok.com/@perrine.trp/video/7476172058406194454?lang=en" TargetMode="External"/><Relationship Id="rId91" Type="http://schemas.openxmlformats.org/officeDocument/2006/relationships/hyperlink" Target="https://www.tiktok.com/@___oraane/video/7471294678306934038?lang=en" TargetMode="External"/><Relationship Id="rId90" Type="http://schemas.openxmlformats.org/officeDocument/2006/relationships/hyperlink" Target="https://www.tiktok.com/@lolatagliaferroo?lang=en" TargetMode="External"/><Relationship Id="rId93" Type="http://schemas.openxmlformats.org/officeDocument/2006/relationships/hyperlink" Target="https://www.tiktok.com/@dounsbnl/video/7451645404535442710" TargetMode="External"/><Relationship Id="rId92" Type="http://schemas.openxmlformats.org/officeDocument/2006/relationships/hyperlink" Target="https://www.tiktok.com/@shaa_dl/video/7471336075559046422" TargetMode="External"/><Relationship Id="rId118" Type="http://schemas.openxmlformats.org/officeDocument/2006/relationships/hyperlink" Target="https://www.tiktok.com/@paupibeauty/video/7506557930817277206?_t=ZN-8wW7MsM3mNy&amp;_r=1" TargetMode="External"/><Relationship Id="rId239" Type="http://schemas.openxmlformats.org/officeDocument/2006/relationships/hyperlink" Target="https://www.tiktok.com/@iman_cvls/video/7405646497515113761" TargetMode="External"/><Relationship Id="rId117" Type="http://schemas.openxmlformats.org/officeDocument/2006/relationships/hyperlink" Target="https://www.tiktok.com/@farahdisiaque/video/7505057972834372886" TargetMode="External"/><Relationship Id="rId238" Type="http://schemas.openxmlformats.org/officeDocument/2006/relationships/hyperlink" Target="https://vm.tiktok.com/ZNdrMWKU9/" TargetMode="External"/><Relationship Id="rId359" Type="http://schemas.openxmlformats.org/officeDocument/2006/relationships/hyperlink" Target="https://www.tiktok.com/@___oraane/video/7396281714101734689" TargetMode="External"/><Relationship Id="rId116" Type="http://schemas.openxmlformats.org/officeDocument/2006/relationships/hyperlink" Target="https://www.tiktok.com/@arwen.arwen1/video/7506934371669101846?lang=en" TargetMode="External"/><Relationship Id="rId237" Type="http://schemas.openxmlformats.org/officeDocument/2006/relationships/hyperlink" Target="https://www.tiktok.com/@iman_cvls/video/7458583066676710678?_t=ZN-8syYtKZMQGF&amp;_r=1" TargetMode="External"/><Relationship Id="rId358" Type="http://schemas.openxmlformats.org/officeDocument/2006/relationships/hyperlink" Target="https://www.tiktok.com/@___oraane/video/7385808181940784417" TargetMode="External"/><Relationship Id="rId115" Type="http://schemas.openxmlformats.org/officeDocument/2006/relationships/hyperlink" Target="https://www.tiktok.com/@lovelymorgane/video/7499894490853821718?_r=1&amp;_t=8kth38xkh3x" TargetMode="External"/><Relationship Id="rId236" Type="http://schemas.openxmlformats.org/officeDocument/2006/relationships/hyperlink" Target="https://www.tiktok.com/@iman_cvls/video/7442289270481636640?lang=en" TargetMode="External"/><Relationship Id="rId357" Type="http://schemas.openxmlformats.org/officeDocument/2006/relationships/hyperlink" Target="https://www.tiktok.com/@___oraane/video/7370306532183002401" TargetMode="External"/><Relationship Id="rId119" Type="http://schemas.openxmlformats.org/officeDocument/2006/relationships/hyperlink" Target="https://amzn.to/3Eubtp1" TargetMode="External"/><Relationship Id="rId110" Type="http://schemas.openxmlformats.org/officeDocument/2006/relationships/hyperlink" Target="https://www.tiktok.com/@lavishhcam/video/7495428391882198295" TargetMode="External"/><Relationship Id="rId231" Type="http://schemas.openxmlformats.org/officeDocument/2006/relationships/hyperlink" Target="https://www.tiktok.com/@hidaya_bl/video/7484394919600213270" TargetMode="External"/><Relationship Id="rId352" Type="http://schemas.openxmlformats.org/officeDocument/2006/relationships/hyperlink" Target="https://www.tiktok.com/@morgane.mrckk/video/7381070101392477472" TargetMode="External"/><Relationship Id="rId230" Type="http://schemas.openxmlformats.org/officeDocument/2006/relationships/hyperlink" Target="https://drive.google.com/drive/folders/1bllXfbrb3bUB07wpoG2Ebl0SK0IzuWTC?usp=sharing" TargetMode="External"/><Relationship Id="rId351" Type="http://schemas.openxmlformats.org/officeDocument/2006/relationships/hyperlink" Target="https://www.tiktok.com/@morgane.mrckk/video/7397382935453764896" TargetMode="External"/><Relationship Id="rId350" Type="http://schemas.openxmlformats.org/officeDocument/2006/relationships/hyperlink" Target="https://www.tiktok.com/@morgane.mrckk/video/7385545243870973216" TargetMode="External"/><Relationship Id="rId114" Type="http://schemas.openxmlformats.org/officeDocument/2006/relationships/hyperlink" Target="https://www.tiktok.com/@ttemarine/video/7499519504368569622" TargetMode="External"/><Relationship Id="rId235" Type="http://schemas.openxmlformats.org/officeDocument/2006/relationships/hyperlink" Target="https://www.tiktok.com/@iman_cvls/video/7430007298031930656?lang=en" TargetMode="External"/><Relationship Id="rId356" Type="http://schemas.openxmlformats.org/officeDocument/2006/relationships/hyperlink" Target="https://www.instagram.com/p/DJtb4I3NWCt/?img_index=1&amp;igsh=cHBsdGw3bjhsaTd2" TargetMode="External"/><Relationship Id="rId113" Type="http://schemas.openxmlformats.org/officeDocument/2006/relationships/hyperlink" Target="https://www.tiktok.com/@jasmiinelife/video/7499164614366645526?lang=en" TargetMode="External"/><Relationship Id="rId234" Type="http://schemas.openxmlformats.org/officeDocument/2006/relationships/hyperlink" Target="https://www.tiktok.com/@iman_cvls/video/7414564750392184096" TargetMode="External"/><Relationship Id="rId355" Type="http://schemas.openxmlformats.org/officeDocument/2006/relationships/hyperlink" Target="https://www.instagram.com/p/DHTVmb9tQrc/" TargetMode="External"/><Relationship Id="rId112" Type="http://schemas.openxmlformats.org/officeDocument/2006/relationships/hyperlink" Target="https://www.tiktok.com/@sarah.bdii/video/7499149208293788950" TargetMode="External"/><Relationship Id="rId233" Type="http://schemas.openxmlformats.org/officeDocument/2006/relationships/hyperlink" Target="https://www.tiktok.com/@iman_cvls/video/7404463230673849633" TargetMode="External"/><Relationship Id="rId354" Type="http://schemas.openxmlformats.org/officeDocument/2006/relationships/hyperlink" Target="https://www.instagram.com/p/DF3IS0nN9_G/?img_index=1" TargetMode="External"/><Relationship Id="rId111" Type="http://schemas.openxmlformats.org/officeDocument/2006/relationships/hyperlink" Target="https://www.tiktok.com/@la_gur/video/7499405044245204246?lang=en" TargetMode="External"/><Relationship Id="rId232" Type="http://schemas.openxmlformats.org/officeDocument/2006/relationships/hyperlink" Target="https://www.tiktok.com/@iman_cvls/video/7397858754177551649" TargetMode="External"/><Relationship Id="rId353" Type="http://schemas.openxmlformats.org/officeDocument/2006/relationships/hyperlink" Target="https://www.tiktok.com/@morgane.mrckk/video/7416632134347033889" TargetMode="External"/><Relationship Id="rId305" Type="http://schemas.openxmlformats.org/officeDocument/2006/relationships/hyperlink" Target="https://www.tiktok.com/@liserdg/video/7399262478896614689" TargetMode="External"/><Relationship Id="rId304" Type="http://schemas.openxmlformats.org/officeDocument/2006/relationships/hyperlink" Target="https://www.tiktok.com/@lina.mkrn2/video/7384054300869217569?browserMode=1" TargetMode="External"/><Relationship Id="rId303" Type="http://schemas.openxmlformats.org/officeDocument/2006/relationships/hyperlink" Target="http://www.tiktok.com/@lilyy.nl/video/7402233435932216608?cid=NzQwMjIzNDY4NzAzMDE5OTA3Mg" TargetMode="External"/><Relationship Id="rId302" Type="http://schemas.openxmlformats.org/officeDocument/2006/relationships/hyperlink" Target="https://www.tiktok.com/@lilyy.nl/video/7407474534565154081" TargetMode="External"/><Relationship Id="rId309" Type="http://schemas.openxmlformats.org/officeDocument/2006/relationships/hyperlink" Target="https://www.tiktok.com/@liserdg/video/7418260695130623264" TargetMode="External"/><Relationship Id="rId308" Type="http://schemas.openxmlformats.org/officeDocument/2006/relationships/hyperlink" Target="https://www.tiktok.com/@liserdg/video/7407523195101728033" TargetMode="External"/><Relationship Id="rId307" Type="http://schemas.openxmlformats.org/officeDocument/2006/relationships/hyperlink" Target="https://www.tiktok.com/@liserdg/video/7404521868960501024" TargetMode="External"/><Relationship Id="rId306" Type="http://schemas.openxmlformats.org/officeDocument/2006/relationships/hyperlink" Target="https://www.tiktok.com/@liserdg/video/7399698677285014817" TargetMode="External"/><Relationship Id="rId301" Type="http://schemas.openxmlformats.org/officeDocument/2006/relationships/hyperlink" Target="https://www.tiktok.com/@lilyy.nl/video/7355571660520426784?q=lilyy.nl%20aromazone&amp;t=1716382679417" TargetMode="External"/><Relationship Id="rId300" Type="http://schemas.openxmlformats.org/officeDocument/2006/relationships/hyperlink" Target="https://www.tiktok.com/@lilyy.nl/video/7397468947290918176" TargetMode="External"/><Relationship Id="rId414" Type="http://schemas.openxmlformats.org/officeDocument/2006/relationships/drawing" Target="../drawings/drawing1.xml"/><Relationship Id="rId413" Type="http://schemas.openxmlformats.org/officeDocument/2006/relationships/hyperlink" Target="https://vm.tiktok.com/ZNdrrBuVK/" TargetMode="External"/><Relationship Id="rId412" Type="http://schemas.openxmlformats.org/officeDocument/2006/relationships/hyperlink" Target="https://www.tiktok.com/@iimslma/video/7483594182083218710?_r=1&amp;_t=ZN-8uox8rOjAzm" TargetMode="External"/><Relationship Id="rId411" Type="http://schemas.openxmlformats.org/officeDocument/2006/relationships/hyperlink" Target="https://www.tiktok.com/@iimslma/video/7481752779980147990?_t=ZN-8ugXSybaIEw&amp;_r=1" TargetMode="External"/><Relationship Id="rId410" Type="http://schemas.openxmlformats.org/officeDocument/2006/relationships/hyperlink" Target="https://www.tiktok.com/@iimslma/video/7472835179187424534?lang=en" TargetMode="External"/><Relationship Id="rId206" Type="http://schemas.openxmlformats.org/officeDocument/2006/relationships/hyperlink" Target="https://www.tiktok.com/@chiaraaaa.bnc/video/7426062687051713824?lang=en" TargetMode="External"/><Relationship Id="rId327" Type="http://schemas.openxmlformats.org/officeDocument/2006/relationships/hyperlink" Target="https://www.tiktok.com/@melf.fnt/video/7388460088819797280" TargetMode="External"/><Relationship Id="rId205" Type="http://schemas.openxmlformats.org/officeDocument/2006/relationships/hyperlink" Target="https://www.tiktok.com/@chiaraaaa.bnc/video/7415682356973014305?_r=1&amp;_t=8pnu1Dc4LKK" TargetMode="External"/><Relationship Id="rId326" Type="http://schemas.openxmlformats.org/officeDocument/2006/relationships/hyperlink" Target="https://www.tiktok.com/@melf.fnt/video/7384078329554423073" TargetMode="External"/><Relationship Id="rId204" Type="http://schemas.openxmlformats.org/officeDocument/2006/relationships/hyperlink" Target="https://www.tiktok.com/@chiaraaaa.bnc/video/7416745525149584673" TargetMode="External"/><Relationship Id="rId325" Type="http://schemas.openxmlformats.org/officeDocument/2006/relationships/hyperlink" Target="https://www.tiktok.com/@melf.fnt/video/7384078329554423073" TargetMode="External"/><Relationship Id="rId203" Type="http://schemas.openxmlformats.org/officeDocument/2006/relationships/hyperlink" Target="https://www.tiktok.com/@chiaraaaa.bnc/video/7404583889974480161" TargetMode="External"/><Relationship Id="rId324" Type="http://schemas.openxmlformats.org/officeDocument/2006/relationships/hyperlink" Target="https://www.tiktok.com/@melf.fnt/video/7383665768757579041" TargetMode="External"/><Relationship Id="rId209" Type="http://schemas.openxmlformats.org/officeDocument/2006/relationships/hyperlink" Target="https://www.tiktok.com/@dounsbnl/video/7474747644808613142" TargetMode="External"/><Relationship Id="rId208" Type="http://schemas.openxmlformats.org/officeDocument/2006/relationships/hyperlink" Target="https://www.tiktok.com/@dounsbnl/video/7431205107913493793" TargetMode="External"/><Relationship Id="rId329" Type="http://schemas.openxmlformats.org/officeDocument/2006/relationships/hyperlink" Target="https://www.tiktok.com/@melf.fnt/video/7399939773575613728" TargetMode="External"/><Relationship Id="rId207" Type="http://schemas.openxmlformats.org/officeDocument/2006/relationships/hyperlink" Target="https://www.tiktok.com/@chiaraaaa.bnc/video/7429003433572715809?lang=en" TargetMode="External"/><Relationship Id="rId328" Type="http://schemas.openxmlformats.org/officeDocument/2006/relationships/hyperlink" Target="https://www.tiktok.com/@melf.fnt/video/7391885588057656609" TargetMode="External"/><Relationship Id="rId202" Type="http://schemas.openxmlformats.org/officeDocument/2006/relationships/hyperlink" Target="https://www.tiktok.com/@chiaraaaa.bnc/video/7405297473117310240" TargetMode="External"/><Relationship Id="rId323" Type="http://schemas.openxmlformats.org/officeDocument/2006/relationships/hyperlink" Target="https://www.tiktok.com/@melf.fnt/video/7370750286744292641" TargetMode="External"/><Relationship Id="rId201" Type="http://schemas.openxmlformats.org/officeDocument/2006/relationships/hyperlink" Target="https://www.tiktok.com/@chiaraaaa.bnc/video/7394423173132913952" TargetMode="External"/><Relationship Id="rId322" Type="http://schemas.openxmlformats.org/officeDocument/2006/relationships/hyperlink" Target="https://www.tiktok.com/@melf.fnt/video/7372218331379666209" TargetMode="External"/><Relationship Id="rId200" Type="http://schemas.openxmlformats.org/officeDocument/2006/relationships/hyperlink" Target="https://www.tiktok.com/@chiaraaaa.bnc/video/7391983750164319520?_r=1&amp;_t=8o3MXv1mvZJ" TargetMode="External"/><Relationship Id="rId321" Type="http://schemas.openxmlformats.org/officeDocument/2006/relationships/hyperlink" Target="https://docs.google.com/presentation/d/1q4NE7BfV_3-rP4IUQJmAq-Et7OVpK16CYhR5OVpmQYo/edit?usp=sharing" TargetMode="External"/><Relationship Id="rId320" Type="http://schemas.openxmlformats.org/officeDocument/2006/relationships/hyperlink" Target="https://www.tiktok.com/@lolatagliaferroo/video/7445278458680266006?lang=en" TargetMode="External"/><Relationship Id="rId316" Type="http://schemas.openxmlformats.org/officeDocument/2006/relationships/hyperlink" Target="https://www.tiktok.com/@lolatagliaferroo/video/7388560111800749345" TargetMode="External"/><Relationship Id="rId315" Type="http://schemas.openxmlformats.org/officeDocument/2006/relationships/hyperlink" Target="https://tiktok.com/@liserdg/video/7422323883673423136" TargetMode="External"/><Relationship Id="rId314" Type="http://schemas.openxmlformats.org/officeDocument/2006/relationships/hyperlink" Target="https://www.tiktok.com/@liserdg/video/7381070326211317025" TargetMode="External"/><Relationship Id="rId313" Type="http://schemas.openxmlformats.org/officeDocument/2006/relationships/hyperlink" Target="https://www.tiktok.com/@liserdg/video/7408641991967378720" TargetMode="External"/><Relationship Id="rId319" Type="http://schemas.openxmlformats.org/officeDocument/2006/relationships/hyperlink" Target="https://www.tiktok.com/@lolatagliaferroo/video/7428671047366348065?lang=en" TargetMode="External"/><Relationship Id="rId318" Type="http://schemas.openxmlformats.org/officeDocument/2006/relationships/hyperlink" Target="https://www.tiktok.com/@lolatagliaferroo/video/7417539584071830816" TargetMode="External"/><Relationship Id="rId317" Type="http://schemas.openxmlformats.org/officeDocument/2006/relationships/hyperlink" Target="https://www.tiktok.com/@lolatagliaferroo/video/7417167690537717024" TargetMode="External"/><Relationship Id="rId312" Type="http://schemas.openxmlformats.org/officeDocument/2006/relationships/hyperlink" Target="https://www.tiktok.com/@liserdg/video/7441653570472135969?_t=8riqrKU7tr6&amp;_r=1" TargetMode="External"/><Relationship Id="rId311" Type="http://schemas.openxmlformats.org/officeDocument/2006/relationships/hyperlink" Target="https://www.tiktok.com/@liserdg/video/7431256738801667360?lang=en" TargetMode="External"/><Relationship Id="rId310" Type="http://schemas.openxmlformats.org/officeDocument/2006/relationships/hyperlink" Target="https://www.tiktok.com/@liserdg/video/7420486871957998880" TargetMode="Externa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 Id="rId2" Type="http://schemas.openxmlformats.org/officeDocument/2006/relationships/pivotTable" Target="../pivotTables/pivotTable3.xml"/><Relationship Id="rId3" Type="http://schemas.openxmlformats.org/officeDocument/2006/relationships/pivotTable" Target="../pivotTables/pivotTable4.xm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 Id="rId2" Type="http://schemas.openxmlformats.org/officeDocument/2006/relationships/pivotTable" Target="../pivotTables/pivotTable6.xml"/><Relationship Id="rId3" Type="http://schemas.openxmlformats.org/officeDocument/2006/relationships/pivotTable" Target="../pivotTables/pivotTable7.xml"/><Relationship Id="rId4" Type="http://schemas.openxmlformats.org/officeDocument/2006/relationships/pivotTable" Target="../pivotTables/pivotTable8.xml"/><Relationship Id="rId5"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9.xml"/><Relationship Id="rId2" Type="http://schemas.openxmlformats.org/officeDocument/2006/relationships/pivotTable" Target="../pivotTables/pivotTable10.xml"/><Relationship Id="rId3" Type="http://schemas.openxmlformats.org/officeDocument/2006/relationships/pivotTable" Target="../pivotTables/pivotTable11.xml"/><Relationship Id="rId4" Type="http://schemas.openxmlformats.org/officeDocument/2006/relationships/pivotTable" Target="../pivotTables/pivotTable12.xml"/><Relationship Id="rId5"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3.xm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14.xml"/><Relationship Id="rId2"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2" width="16.38"/>
    <col customWidth="1" min="3" max="3" width="22.38"/>
    <col customWidth="1" min="4" max="4" width="23.0"/>
    <col customWidth="1" min="5" max="5" width="11.25"/>
    <col customWidth="1" min="6" max="6" width="12.25"/>
    <col customWidth="1" min="7" max="7" width="10.13"/>
    <col customWidth="1" min="8" max="8" width="23.13"/>
    <col customWidth="1" min="9" max="9" width="29.5"/>
    <col customWidth="1" min="10" max="11" width="16.38"/>
    <col customWidth="1" min="12" max="12" width="12.75"/>
    <col customWidth="1" min="13" max="13" width="10.5"/>
    <col customWidth="1" min="14" max="14" width="21.38"/>
    <col customWidth="1" min="15" max="15" width="21.25"/>
    <col customWidth="1" min="18" max="18" width="16.38"/>
    <col customWidth="1" min="21" max="21" width="8.25"/>
    <col customWidth="1" min="22" max="22" width="8.75"/>
    <col customWidth="1" min="23" max="23" width="8.88"/>
    <col customWidth="1" min="24" max="24" width="13.38"/>
    <col customWidth="1" min="25" max="28" width="12.38"/>
    <col customWidth="1" min="29" max="29" width="44.75"/>
  </cols>
  <sheetData>
    <row r="1">
      <c r="A1" s="1" t="s">
        <v>0</v>
      </c>
      <c r="B1" s="2" t="s">
        <v>1</v>
      </c>
      <c r="C1" s="2" t="s">
        <v>2</v>
      </c>
      <c r="D1" s="2" t="s">
        <v>3</v>
      </c>
      <c r="E1" s="3" t="s">
        <v>4</v>
      </c>
      <c r="F1" s="4" t="s">
        <v>5</v>
      </c>
      <c r="G1" s="4" t="s">
        <v>6</v>
      </c>
      <c r="H1" s="2" t="s">
        <v>7</v>
      </c>
      <c r="I1" s="2" t="s">
        <v>8</v>
      </c>
      <c r="J1" s="1" t="s">
        <v>9</v>
      </c>
      <c r="K1" s="1" t="s">
        <v>10</v>
      </c>
      <c r="L1" s="1" t="s">
        <v>11</v>
      </c>
      <c r="M1" s="4" t="s">
        <v>12</v>
      </c>
      <c r="N1" s="2" t="s">
        <v>13</v>
      </c>
      <c r="O1" s="2" t="s">
        <v>14</v>
      </c>
      <c r="P1" s="1" t="s">
        <v>15</v>
      </c>
      <c r="Q1" s="2" t="s">
        <v>16</v>
      </c>
      <c r="R1" s="2" t="s">
        <v>17</v>
      </c>
      <c r="S1" s="2" t="s">
        <v>18</v>
      </c>
      <c r="T1" s="5" t="s">
        <v>19</v>
      </c>
      <c r="U1" s="5" t="s">
        <v>20</v>
      </c>
      <c r="V1" s="5" t="s">
        <v>21</v>
      </c>
      <c r="W1" s="5" t="s">
        <v>22</v>
      </c>
      <c r="X1" s="5" t="s">
        <v>23</v>
      </c>
      <c r="Y1" s="6" t="s">
        <v>24</v>
      </c>
      <c r="Z1" s="6" t="s">
        <v>25</v>
      </c>
      <c r="AA1" s="6" t="s">
        <v>26</v>
      </c>
      <c r="AB1" s="6" t="s">
        <v>27</v>
      </c>
      <c r="AC1" s="6" t="s">
        <v>28</v>
      </c>
    </row>
    <row r="2" hidden="1">
      <c r="A2" s="7" t="s">
        <v>29</v>
      </c>
      <c r="B2" s="8">
        <v>45352.0</v>
      </c>
      <c r="C2" s="9" t="s">
        <v>30</v>
      </c>
      <c r="D2" s="10"/>
      <c r="E2" s="11">
        <v>45351.0</v>
      </c>
      <c r="F2" s="12"/>
      <c r="G2" s="12">
        <v>45359.0</v>
      </c>
      <c r="H2" s="10" t="s">
        <v>31</v>
      </c>
      <c r="I2" s="13"/>
      <c r="J2" s="7" t="s">
        <v>32</v>
      </c>
      <c r="K2" s="14" t="s">
        <v>33</v>
      </c>
      <c r="L2" s="15">
        <v>70.0</v>
      </c>
      <c r="N2" s="16"/>
      <c r="O2" s="16"/>
      <c r="P2" s="16" t="s">
        <v>34</v>
      </c>
      <c r="Q2" s="17">
        <f t="shared" ref="Q2:Q564" si="1">B2</f>
        <v>45352</v>
      </c>
      <c r="R2" s="18">
        <f>L2*0.2</f>
        <v>14</v>
      </c>
      <c r="S2" s="19" t="b">
        <v>1</v>
      </c>
      <c r="T2" s="20"/>
      <c r="U2" s="20"/>
      <c r="V2" s="20"/>
      <c r="W2" s="20"/>
      <c r="X2" s="20"/>
      <c r="Y2" s="10"/>
      <c r="Z2" s="10"/>
      <c r="AA2" s="10"/>
      <c r="AB2" s="10"/>
      <c r="AC2" s="10"/>
    </row>
    <row r="3" hidden="1">
      <c r="A3" s="7" t="s">
        <v>29</v>
      </c>
      <c r="B3" s="8">
        <v>45352.0</v>
      </c>
      <c r="C3" s="9" t="s">
        <v>30</v>
      </c>
      <c r="D3" s="10"/>
      <c r="E3" s="21">
        <v>45351.0</v>
      </c>
      <c r="F3" s="12"/>
      <c r="G3" s="22">
        <v>45359.0</v>
      </c>
      <c r="H3" s="23" t="s">
        <v>31</v>
      </c>
      <c r="I3" s="13"/>
      <c r="J3" s="7" t="s">
        <v>32</v>
      </c>
      <c r="K3" s="14" t="s">
        <v>33</v>
      </c>
      <c r="L3" s="15">
        <v>130.0</v>
      </c>
      <c r="N3" s="16"/>
      <c r="O3" s="16"/>
      <c r="P3" s="16" t="s">
        <v>35</v>
      </c>
      <c r="Q3" s="17">
        <f t="shared" si="1"/>
        <v>45352</v>
      </c>
      <c r="R3" s="18"/>
      <c r="S3" s="20" t="b">
        <v>0</v>
      </c>
      <c r="T3" s="20"/>
      <c r="U3" s="20"/>
      <c r="V3" s="20"/>
      <c r="W3" s="20"/>
      <c r="X3" s="20"/>
      <c r="Y3" s="10"/>
      <c r="Z3" s="10"/>
      <c r="AA3" s="10"/>
      <c r="AB3" s="10"/>
      <c r="AC3" s="10"/>
    </row>
    <row r="4" hidden="1">
      <c r="A4" s="7" t="s">
        <v>36</v>
      </c>
      <c r="B4" s="8">
        <v>45366.0</v>
      </c>
      <c r="C4" s="13" t="s">
        <v>37</v>
      </c>
      <c r="D4" s="10"/>
      <c r="E4" s="24">
        <v>45365.0</v>
      </c>
      <c r="F4" s="11"/>
      <c r="G4" s="25">
        <v>45370.0</v>
      </c>
      <c r="H4" s="23" t="s">
        <v>31</v>
      </c>
      <c r="I4" s="26"/>
      <c r="J4" s="7" t="s">
        <v>38</v>
      </c>
      <c r="K4" s="14" t="s">
        <v>33</v>
      </c>
      <c r="L4" s="15">
        <v>200.0</v>
      </c>
      <c r="M4" s="27"/>
      <c r="N4" s="16"/>
      <c r="O4" s="16"/>
      <c r="P4" s="16" t="s">
        <v>34</v>
      </c>
      <c r="Q4" s="17">
        <f t="shared" si="1"/>
        <v>45366</v>
      </c>
      <c r="R4" s="18">
        <f>L4*0.2</f>
        <v>40</v>
      </c>
      <c r="S4" s="20" t="b">
        <v>0</v>
      </c>
      <c r="T4" s="20"/>
      <c r="U4" s="20"/>
      <c r="V4" s="20"/>
      <c r="W4" s="20"/>
      <c r="X4" s="20"/>
      <c r="Y4" s="10"/>
      <c r="Z4" s="10"/>
      <c r="AA4" s="10"/>
      <c r="AB4" s="10"/>
      <c r="AC4" s="10"/>
    </row>
    <row r="5" hidden="1">
      <c r="A5" s="7" t="s">
        <v>39</v>
      </c>
      <c r="B5" s="13"/>
      <c r="C5" s="13" t="s">
        <v>37</v>
      </c>
      <c r="D5" s="13"/>
      <c r="E5" s="24">
        <v>45365.0</v>
      </c>
      <c r="F5" s="25">
        <v>45370.0</v>
      </c>
      <c r="G5" s="10"/>
      <c r="H5" s="16" t="s">
        <v>31</v>
      </c>
      <c r="I5" s="7"/>
      <c r="J5" s="7" t="s">
        <v>40</v>
      </c>
      <c r="K5" s="14" t="s">
        <v>33</v>
      </c>
      <c r="L5" s="7" t="s">
        <v>41</v>
      </c>
      <c r="Q5" s="17" t="str">
        <f t="shared" si="1"/>
        <v/>
      </c>
      <c r="R5" s="18"/>
      <c r="S5" s="19" t="b">
        <v>1</v>
      </c>
      <c r="T5" s="20"/>
      <c r="U5" s="20"/>
      <c r="V5" s="20"/>
      <c r="W5" s="20"/>
      <c r="X5" s="20"/>
      <c r="Y5" s="20"/>
      <c r="Z5" s="20"/>
      <c r="AA5" s="20"/>
      <c r="AB5" s="20"/>
      <c r="AC5" s="20"/>
    </row>
    <row r="6" hidden="1">
      <c r="A6" s="7" t="s">
        <v>29</v>
      </c>
      <c r="B6" s="7"/>
      <c r="C6" s="7" t="s">
        <v>37</v>
      </c>
      <c r="D6" s="13"/>
      <c r="E6" s="24">
        <v>45365.0</v>
      </c>
      <c r="F6" s="11"/>
      <c r="G6" s="25">
        <v>45370.0</v>
      </c>
      <c r="H6" s="23" t="s">
        <v>31</v>
      </c>
      <c r="I6" s="26"/>
      <c r="J6" s="7" t="s">
        <v>40</v>
      </c>
      <c r="K6" s="14" t="s">
        <v>33</v>
      </c>
      <c r="L6" s="7" t="s">
        <v>41</v>
      </c>
      <c r="Q6" s="17" t="str">
        <f t="shared" si="1"/>
        <v/>
      </c>
      <c r="R6" s="18"/>
      <c r="S6" s="20"/>
      <c r="T6" s="20"/>
      <c r="U6" s="20"/>
      <c r="V6" s="20"/>
      <c r="W6" s="20"/>
      <c r="X6" s="20"/>
      <c r="Y6" s="20"/>
      <c r="Z6" s="20"/>
      <c r="AA6" s="20"/>
      <c r="AB6" s="20"/>
      <c r="AC6" s="20"/>
    </row>
    <row r="7" hidden="1">
      <c r="A7" s="16" t="s">
        <v>42</v>
      </c>
      <c r="B7" s="17">
        <v>45381.0</v>
      </c>
      <c r="C7" s="16" t="s">
        <v>37</v>
      </c>
      <c r="D7" s="10"/>
      <c r="E7" s="28">
        <v>45385.0</v>
      </c>
      <c r="F7" s="17"/>
      <c r="G7" s="28">
        <v>45388.0</v>
      </c>
      <c r="H7" s="7" t="s">
        <v>31</v>
      </c>
      <c r="J7" s="16" t="s">
        <v>43</v>
      </c>
      <c r="K7" s="14" t="s">
        <v>33</v>
      </c>
      <c r="L7" s="16" t="s">
        <v>44</v>
      </c>
      <c r="N7" s="16"/>
      <c r="O7" s="16"/>
      <c r="P7" s="16" t="s">
        <v>35</v>
      </c>
      <c r="Q7" s="17">
        <f t="shared" si="1"/>
        <v>45381</v>
      </c>
      <c r="S7" s="20"/>
      <c r="T7" s="20"/>
      <c r="U7" s="20"/>
      <c r="V7" s="20"/>
      <c r="W7" s="20"/>
      <c r="X7" s="20"/>
      <c r="Y7" s="10"/>
      <c r="Z7" s="10"/>
      <c r="AA7" s="10"/>
      <c r="AB7" s="10"/>
      <c r="AC7" s="10"/>
    </row>
    <row r="8" hidden="1">
      <c r="A8" s="16" t="s">
        <v>45</v>
      </c>
      <c r="B8" s="17">
        <v>45376.0</v>
      </c>
      <c r="C8" s="29" t="s">
        <v>46</v>
      </c>
      <c r="E8" s="28">
        <v>45387.0</v>
      </c>
      <c r="G8" s="30">
        <v>45391.0</v>
      </c>
      <c r="H8" s="7" t="s">
        <v>31</v>
      </c>
      <c r="I8" s="16" t="s">
        <v>47</v>
      </c>
      <c r="J8" s="16" t="s">
        <v>43</v>
      </c>
      <c r="K8" s="16" t="s">
        <v>33</v>
      </c>
      <c r="L8" s="31">
        <v>350.0</v>
      </c>
      <c r="M8" s="32">
        <f>G8+7</f>
        <v>45398</v>
      </c>
      <c r="N8" s="16"/>
      <c r="O8" s="16"/>
      <c r="P8" s="16" t="s">
        <v>35</v>
      </c>
      <c r="Q8" s="17">
        <f t="shared" si="1"/>
        <v>45376</v>
      </c>
      <c r="S8" s="20" t="b">
        <v>0</v>
      </c>
      <c r="T8" s="20"/>
      <c r="U8" s="20"/>
      <c r="V8" s="20"/>
      <c r="W8" s="20"/>
      <c r="X8" s="20"/>
      <c r="Y8" s="16"/>
      <c r="Z8" s="16"/>
      <c r="AA8" s="16"/>
      <c r="AB8" s="16"/>
      <c r="AC8" s="16"/>
    </row>
    <row r="9" hidden="1">
      <c r="A9" s="16" t="s">
        <v>45</v>
      </c>
      <c r="B9" s="17">
        <v>45390.0</v>
      </c>
      <c r="C9" s="16" t="s">
        <v>48</v>
      </c>
      <c r="E9" s="33">
        <v>45397.0</v>
      </c>
      <c r="G9" s="33">
        <v>45401.0</v>
      </c>
      <c r="H9" s="23" t="s">
        <v>31</v>
      </c>
      <c r="J9" s="16" t="s">
        <v>49</v>
      </c>
      <c r="K9" s="16" t="s">
        <v>33</v>
      </c>
      <c r="L9" s="34" t="s">
        <v>50</v>
      </c>
      <c r="N9" s="16"/>
      <c r="O9" s="16"/>
      <c r="P9" s="16" t="s">
        <v>34</v>
      </c>
      <c r="Q9" s="17">
        <f t="shared" si="1"/>
        <v>45390</v>
      </c>
      <c r="S9" s="19" t="b">
        <v>1</v>
      </c>
      <c r="T9" s="20"/>
      <c r="U9" s="20"/>
      <c r="V9" s="20"/>
      <c r="W9" s="20"/>
      <c r="X9" s="20"/>
      <c r="Y9" s="16"/>
      <c r="Z9" s="16"/>
      <c r="AA9" s="16"/>
      <c r="AB9" s="16"/>
      <c r="AC9" s="16"/>
    </row>
    <row r="10" hidden="1">
      <c r="A10" s="16" t="s">
        <v>45</v>
      </c>
      <c r="B10" s="17">
        <v>45376.0</v>
      </c>
      <c r="C10" s="16" t="s">
        <v>51</v>
      </c>
      <c r="E10" s="33">
        <v>45397.0</v>
      </c>
      <c r="F10" s="17"/>
      <c r="G10" s="35">
        <v>45404.0</v>
      </c>
      <c r="H10" s="7" t="s">
        <v>31</v>
      </c>
      <c r="J10" s="16" t="s">
        <v>43</v>
      </c>
      <c r="K10" s="16" t="s">
        <v>33</v>
      </c>
      <c r="L10" s="31">
        <v>500.0</v>
      </c>
      <c r="M10" s="32">
        <f t="shared" ref="M10:M11" si="2">G10+7</f>
        <v>45411</v>
      </c>
      <c r="N10" s="16"/>
      <c r="O10" s="16"/>
      <c r="P10" s="16" t="s">
        <v>34</v>
      </c>
      <c r="Q10" s="17">
        <f t="shared" si="1"/>
        <v>45376</v>
      </c>
      <c r="R10" s="18">
        <f>L10*0.25</f>
        <v>125</v>
      </c>
      <c r="S10" s="19" t="b">
        <v>1</v>
      </c>
      <c r="T10" s="20"/>
      <c r="U10" s="20"/>
      <c r="V10" s="20"/>
      <c r="W10" s="20"/>
      <c r="X10" s="20"/>
      <c r="Y10" s="16"/>
      <c r="Z10" s="16"/>
      <c r="AA10" s="16"/>
      <c r="AB10" s="16"/>
      <c r="AC10" s="16"/>
    </row>
    <row r="11" hidden="1">
      <c r="A11" s="16" t="s">
        <v>45</v>
      </c>
      <c r="B11" s="17">
        <v>45376.0</v>
      </c>
      <c r="C11" s="29" t="s">
        <v>52</v>
      </c>
      <c r="E11" s="33">
        <v>45401.0</v>
      </c>
      <c r="G11" s="33">
        <v>45400.0</v>
      </c>
      <c r="H11" s="7" t="s">
        <v>31</v>
      </c>
      <c r="L11" s="31">
        <v>150.0</v>
      </c>
      <c r="M11" s="32">
        <f t="shared" si="2"/>
        <v>45407</v>
      </c>
      <c r="N11" s="16"/>
      <c r="O11" s="16"/>
      <c r="P11" s="16" t="s">
        <v>35</v>
      </c>
      <c r="Q11" s="17">
        <f t="shared" si="1"/>
        <v>45376</v>
      </c>
      <c r="S11" s="20" t="b">
        <v>0</v>
      </c>
      <c r="T11" s="20"/>
      <c r="U11" s="20"/>
      <c r="V11" s="20"/>
      <c r="W11" s="20"/>
      <c r="X11" s="20"/>
      <c r="Y11" s="16"/>
      <c r="Z11" s="16"/>
      <c r="AA11" s="16"/>
      <c r="AB11" s="16"/>
      <c r="AC11" s="16"/>
    </row>
    <row r="12" hidden="1">
      <c r="A12" s="16" t="s">
        <v>45</v>
      </c>
      <c r="B12" s="17">
        <v>45390.0</v>
      </c>
      <c r="C12" s="16" t="s">
        <v>48</v>
      </c>
      <c r="E12" s="35">
        <v>45404.0</v>
      </c>
      <c r="G12" s="35">
        <v>45408.0</v>
      </c>
      <c r="H12" s="7" t="s">
        <v>31</v>
      </c>
      <c r="J12" s="16" t="s">
        <v>49</v>
      </c>
      <c r="K12" s="16" t="s">
        <v>33</v>
      </c>
      <c r="L12" s="34" t="s">
        <v>50</v>
      </c>
      <c r="N12" s="16"/>
      <c r="O12" s="16"/>
      <c r="P12" s="16" t="s">
        <v>34</v>
      </c>
      <c r="Q12" s="17">
        <f t="shared" si="1"/>
        <v>45390</v>
      </c>
      <c r="S12" s="20"/>
      <c r="T12" s="20"/>
      <c r="U12" s="20"/>
      <c r="V12" s="20"/>
      <c r="W12" s="20"/>
      <c r="X12" s="20"/>
      <c r="Y12" s="16"/>
      <c r="Z12" s="16"/>
      <c r="AA12" s="16"/>
      <c r="AB12" s="16"/>
      <c r="AC12" s="16"/>
    </row>
    <row r="13" hidden="1">
      <c r="A13" s="16" t="s">
        <v>53</v>
      </c>
      <c r="B13" s="17">
        <v>45393.0</v>
      </c>
      <c r="C13" s="16" t="s">
        <v>54</v>
      </c>
      <c r="E13" s="35">
        <v>45408.0</v>
      </c>
      <c r="G13" s="36">
        <v>45414.0</v>
      </c>
      <c r="H13" s="7" t="s">
        <v>31</v>
      </c>
      <c r="J13" s="16" t="s">
        <v>55</v>
      </c>
      <c r="K13" s="16" t="s">
        <v>33</v>
      </c>
      <c r="L13" s="16" t="s">
        <v>56</v>
      </c>
      <c r="Q13" s="17">
        <f t="shared" si="1"/>
        <v>45393</v>
      </c>
      <c r="S13" s="19" t="b">
        <v>1</v>
      </c>
      <c r="T13" s="20"/>
      <c r="U13" s="20"/>
      <c r="V13" s="20"/>
      <c r="W13" s="20"/>
      <c r="X13" s="20"/>
      <c r="Y13" s="20"/>
      <c r="Z13" s="20"/>
      <c r="AA13" s="20"/>
      <c r="AB13" s="20"/>
      <c r="AC13" s="20"/>
    </row>
    <row r="14" hidden="1">
      <c r="A14" s="16" t="s">
        <v>57</v>
      </c>
      <c r="B14" s="17">
        <v>45372.0</v>
      </c>
      <c r="C14" s="16" t="s">
        <v>30</v>
      </c>
      <c r="E14" s="35">
        <v>45409.0</v>
      </c>
      <c r="F14" s="17"/>
      <c r="G14" s="36">
        <v>45413.0</v>
      </c>
      <c r="H14" s="16" t="s">
        <v>31</v>
      </c>
      <c r="I14" s="37" t="s">
        <v>58</v>
      </c>
      <c r="J14" s="16" t="s">
        <v>59</v>
      </c>
      <c r="K14" s="16" t="s">
        <v>33</v>
      </c>
      <c r="L14" s="31">
        <v>100.0</v>
      </c>
      <c r="M14" s="32">
        <f>G14+7</f>
        <v>45420</v>
      </c>
      <c r="N14" s="16"/>
      <c r="O14" s="16"/>
      <c r="P14" s="16" t="s">
        <v>34</v>
      </c>
      <c r="Q14" s="17">
        <f t="shared" si="1"/>
        <v>45372</v>
      </c>
      <c r="R14" s="18">
        <f>L14*0.2</f>
        <v>20</v>
      </c>
      <c r="S14" s="19" t="b">
        <v>1</v>
      </c>
      <c r="T14" s="20"/>
      <c r="U14" s="20"/>
      <c r="V14" s="20"/>
      <c r="W14" s="20"/>
      <c r="X14" s="20"/>
      <c r="Y14" s="16"/>
      <c r="Z14" s="16"/>
      <c r="AA14" s="16"/>
      <c r="AB14" s="16"/>
      <c r="AC14" s="16"/>
    </row>
    <row r="15" hidden="1">
      <c r="A15" s="16" t="s">
        <v>45</v>
      </c>
      <c r="B15" s="17">
        <v>45407.0</v>
      </c>
      <c r="C15" s="16" t="s">
        <v>52</v>
      </c>
      <c r="E15" s="35">
        <v>45409.0</v>
      </c>
      <c r="H15" s="16" t="s">
        <v>31</v>
      </c>
      <c r="I15" s="37" t="s">
        <v>60</v>
      </c>
      <c r="J15" s="16"/>
      <c r="K15" s="16"/>
      <c r="L15" s="34"/>
      <c r="N15" s="16"/>
      <c r="O15" s="16"/>
      <c r="P15" s="16"/>
      <c r="Q15" s="17">
        <f t="shared" si="1"/>
        <v>45407</v>
      </c>
      <c r="S15" s="20"/>
      <c r="T15" s="20"/>
      <c r="U15" s="20"/>
      <c r="V15" s="20"/>
      <c r="W15" s="20"/>
      <c r="X15" s="20"/>
      <c r="Y15" s="20"/>
      <c r="Z15" s="20"/>
      <c r="AA15" s="20"/>
      <c r="AB15" s="20"/>
      <c r="AC15" s="20"/>
    </row>
    <row r="16" hidden="1">
      <c r="A16" s="16" t="s">
        <v>36</v>
      </c>
      <c r="B16" s="17">
        <v>45372.0</v>
      </c>
      <c r="C16" s="16" t="s">
        <v>30</v>
      </c>
      <c r="E16" s="35">
        <v>45410.0</v>
      </c>
      <c r="F16" s="17"/>
      <c r="G16" s="36">
        <v>45416.0</v>
      </c>
      <c r="H16" s="7" t="s">
        <v>31</v>
      </c>
      <c r="I16" s="16" t="s">
        <v>61</v>
      </c>
      <c r="J16" s="16" t="s">
        <v>59</v>
      </c>
      <c r="K16" s="16" t="s">
        <v>33</v>
      </c>
      <c r="L16" s="31">
        <v>650.0</v>
      </c>
      <c r="M16" s="32">
        <f>G16+7</f>
        <v>45423</v>
      </c>
      <c r="N16" s="16"/>
      <c r="O16" s="16"/>
      <c r="P16" s="16" t="s">
        <v>34</v>
      </c>
      <c r="Q16" s="17">
        <f t="shared" si="1"/>
        <v>45372</v>
      </c>
      <c r="R16" s="18">
        <f>L16*0.2</f>
        <v>130</v>
      </c>
      <c r="S16" s="19" t="b">
        <v>1</v>
      </c>
      <c r="T16" s="20"/>
      <c r="U16" s="20"/>
      <c r="V16" s="20"/>
      <c r="W16" s="20"/>
      <c r="X16" s="20"/>
      <c r="Y16" s="16"/>
      <c r="Z16" s="16"/>
      <c r="AA16" s="16"/>
      <c r="AB16" s="16"/>
      <c r="AC16" s="16"/>
    </row>
    <row r="17" hidden="1">
      <c r="A17" s="16" t="s">
        <v>42</v>
      </c>
      <c r="B17" s="17">
        <v>45401.0</v>
      </c>
      <c r="C17" s="16" t="s">
        <v>62</v>
      </c>
      <c r="E17" s="36">
        <v>45411.0</v>
      </c>
      <c r="F17" s="17"/>
      <c r="G17" s="38">
        <v>45420.0</v>
      </c>
      <c r="H17" s="16" t="s">
        <v>31</v>
      </c>
      <c r="I17" s="37" t="s">
        <v>63</v>
      </c>
      <c r="J17" s="16" t="s">
        <v>43</v>
      </c>
      <c r="K17" s="14" t="s">
        <v>33</v>
      </c>
      <c r="L17" s="31">
        <v>450.0</v>
      </c>
      <c r="N17" s="16"/>
      <c r="O17" s="16"/>
      <c r="P17" s="16" t="s">
        <v>34</v>
      </c>
      <c r="Q17" s="17">
        <f t="shared" si="1"/>
        <v>45401</v>
      </c>
      <c r="R17" s="18">
        <f>L17*0.25</f>
        <v>112.5</v>
      </c>
      <c r="S17" s="20" t="b">
        <v>0</v>
      </c>
      <c r="T17" s="20"/>
      <c r="U17" s="20"/>
      <c r="V17" s="20"/>
      <c r="W17" s="20"/>
      <c r="X17" s="20"/>
      <c r="Y17" s="16"/>
      <c r="Z17" s="16"/>
      <c r="AA17" s="16"/>
      <c r="AB17" s="16"/>
      <c r="AC17" s="16"/>
    </row>
    <row r="18" hidden="1">
      <c r="A18" s="16" t="s">
        <v>57</v>
      </c>
      <c r="B18" s="17">
        <v>45390.0</v>
      </c>
      <c r="C18" s="16" t="s">
        <v>48</v>
      </c>
      <c r="E18" s="38">
        <v>45418.0</v>
      </c>
      <c r="F18" s="17"/>
      <c r="G18" s="38">
        <v>45419.0</v>
      </c>
      <c r="H18" s="16" t="s">
        <v>31</v>
      </c>
      <c r="I18" s="37" t="s">
        <v>63</v>
      </c>
      <c r="K18" s="16"/>
      <c r="L18" s="31"/>
      <c r="N18" s="16"/>
      <c r="O18" s="16"/>
      <c r="P18" s="16"/>
      <c r="Q18" s="17">
        <f t="shared" si="1"/>
        <v>45390</v>
      </c>
      <c r="S18" s="20"/>
      <c r="T18" s="20"/>
      <c r="U18" s="20"/>
      <c r="V18" s="20"/>
      <c r="W18" s="20"/>
      <c r="X18" s="20"/>
      <c r="Y18" s="20"/>
      <c r="Z18" s="20"/>
      <c r="AA18" s="20"/>
      <c r="AB18" s="20"/>
      <c r="AC18" s="20"/>
    </row>
    <row r="19" hidden="1">
      <c r="A19" s="16" t="s">
        <v>45</v>
      </c>
      <c r="B19" s="17">
        <v>45390.0</v>
      </c>
      <c r="C19" s="16" t="s">
        <v>48</v>
      </c>
      <c r="E19" s="38">
        <v>45418.0</v>
      </c>
      <c r="F19" s="17"/>
      <c r="G19" s="38">
        <v>45422.0</v>
      </c>
      <c r="H19" s="16" t="s">
        <v>31</v>
      </c>
      <c r="I19" s="37" t="s">
        <v>63</v>
      </c>
      <c r="J19" s="16" t="s">
        <v>49</v>
      </c>
      <c r="K19" s="16" t="s">
        <v>33</v>
      </c>
      <c r="L19" s="34" t="s">
        <v>50</v>
      </c>
      <c r="N19" s="16"/>
      <c r="O19" s="16"/>
      <c r="P19" s="16" t="s">
        <v>34</v>
      </c>
      <c r="Q19" s="17">
        <f t="shared" si="1"/>
        <v>45390</v>
      </c>
      <c r="S19" s="20"/>
      <c r="T19" s="20"/>
      <c r="U19" s="20"/>
      <c r="V19" s="20"/>
      <c r="W19" s="20"/>
      <c r="X19" s="20"/>
      <c r="Y19" s="16"/>
      <c r="Z19" s="16"/>
      <c r="AA19" s="16"/>
      <c r="AB19" s="16"/>
      <c r="AC19" s="16"/>
    </row>
    <row r="20" hidden="1">
      <c r="A20" s="16" t="s">
        <v>42</v>
      </c>
      <c r="B20" s="17">
        <v>45401.0</v>
      </c>
      <c r="C20" s="16" t="s">
        <v>64</v>
      </c>
      <c r="E20" s="38">
        <v>45419.0</v>
      </c>
      <c r="G20" s="38">
        <v>45419.0</v>
      </c>
      <c r="H20" s="16" t="s">
        <v>31</v>
      </c>
      <c r="I20" s="37" t="s">
        <v>63</v>
      </c>
      <c r="J20" s="16" t="s">
        <v>43</v>
      </c>
      <c r="K20" s="14" t="s">
        <v>33</v>
      </c>
      <c r="L20" s="39">
        <v>629.92</v>
      </c>
      <c r="M20" s="17">
        <v>45443.0</v>
      </c>
      <c r="N20" s="16"/>
      <c r="O20" s="16"/>
      <c r="P20" s="16" t="s">
        <v>34</v>
      </c>
      <c r="Q20" s="17">
        <f t="shared" si="1"/>
        <v>45401</v>
      </c>
      <c r="R20" s="40">
        <f t="shared" ref="R20:R21" si="3">L20*0.25</f>
        <v>157.48</v>
      </c>
      <c r="S20" s="19" t="b">
        <v>1</v>
      </c>
      <c r="T20" s="20"/>
      <c r="U20" s="20"/>
      <c r="V20" s="20"/>
      <c r="W20" s="20"/>
      <c r="X20" s="20"/>
      <c r="Y20" s="16"/>
      <c r="Z20" s="16"/>
      <c r="AA20" s="16"/>
      <c r="AB20" s="16"/>
      <c r="AC20" s="16"/>
    </row>
    <row r="21" hidden="1">
      <c r="A21" s="16" t="s">
        <v>65</v>
      </c>
      <c r="B21" s="17">
        <v>45401.0</v>
      </c>
      <c r="C21" s="16" t="s">
        <v>52</v>
      </c>
      <c r="E21" s="38">
        <v>45419.0</v>
      </c>
      <c r="G21" s="10"/>
      <c r="H21" s="16" t="s">
        <v>31</v>
      </c>
      <c r="J21" s="16" t="s">
        <v>43</v>
      </c>
      <c r="K21" s="14" t="s">
        <v>33</v>
      </c>
      <c r="L21" s="41">
        <v>200.0</v>
      </c>
      <c r="N21" s="16"/>
      <c r="O21" s="16"/>
      <c r="P21" s="16" t="s">
        <v>34</v>
      </c>
      <c r="Q21" s="17">
        <f t="shared" si="1"/>
        <v>45401</v>
      </c>
      <c r="R21" s="42">
        <f t="shared" si="3"/>
        <v>50</v>
      </c>
      <c r="S21" s="20" t="b">
        <v>0</v>
      </c>
      <c r="T21" s="20"/>
      <c r="U21" s="20"/>
      <c r="V21" s="20"/>
      <c r="W21" s="20"/>
      <c r="X21" s="20"/>
      <c r="Y21" s="16"/>
      <c r="Z21" s="16"/>
      <c r="AA21" s="16"/>
      <c r="AB21" s="16"/>
      <c r="AC21" s="16"/>
    </row>
    <row r="22" hidden="1">
      <c r="A22" s="16" t="s">
        <v>42</v>
      </c>
      <c r="B22" s="17">
        <v>45419.0</v>
      </c>
      <c r="C22" s="16" t="s">
        <v>37</v>
      </c>
      <c r="E22" s="38">
        <v>45420.0</v>
      </c>
      <c r="F22" s="17"/>
      <c r="G22" s="43">
        <v>45425.0</v>
      </c>
      <c r="H22" s="16" t="s">
        <v>31</v>
      </c>
      <c r="I22" s="37" t="s">
        <v>66</v>
      </c>
      <c r="J22" s="16"/>
      <c r="K22" s="14"/>
      <c r="L22" s="31"/>
      <c r="N22" s="16"/>
      <c r="O22" s="16"/>
      <c r="P22" s="16"/>
      <c r="Q22" s="17">
        <f t="shared" si="1"/>
        <v>45419</v>
      </c>
      <c r="S22" s="20"/>
      <c r="T22" s="20"/>
      <c r="U22" s="20"/>
      <c r="V22" s="20"/>
      <c r="W22" s="20"/>
      <c r="X22" s="20"/>
      <c r="Y22" s="20"/>
      <c r="Z22" s="20"/>
      <c r="AA22" s="20"/>
      <c r="AB22" s="20"/>
      <c r="AC22" s="20"/>
    </row>
    <row r="23" hidden="1">
      <c r="A23" s="16" t="s">
        <v>45</v>
      </c>
      <c r="B23" s="17">
        <v>45419.0</v>
      </c>
      <c r="C23" s="16" t="s">
        <v>67</v>
      </c>
      <c r="E23" s="38">
        <v>45420.0</v>
      </c>
      <c r="F23" s="17"/>
      <c r="H23" s="16" t="s">
        <v>31</v>
      </c>
      <c r="J23" s="16" t="s">
        <v>43</v>
      </c>
      <c r="K23" s="16" t="s">
        <v>33</v>
      </c>
      <c r="L23" s="31">
        <v>1800.0</v>
      </c>
      <c r="N23" s="16"/>
      <c r="O23" s="16"/>
      <c r="P23" s="16" t="s">
        <v>34</v>
      </c>
      <c r="Q23" s="17">
        <f t="shared" si="1"/>
        <v>45419</v>
      </c>
      <c r="R23" s="18">
        <f>L23*0.25</f>
        <v>450</v>
      </c>
      <c r="S23" s="19" t="b">
        <v>0</v>
      </c>
      <c r="T23" s="20"/>
      <c r="U23" s="20"/>
      <c r="V23" s="20"/>
      <c r="W23" s="20"/>
      <c r="X23" s="20"/>
      <c r="Y23" s="16"/>
      <c r="Z23" s="16"/>
      <c r="AA23" s="16"/>
      <c r="AB23" s="16"/>
      <c r="AC23" s="16"/>
    </row>
    <row r="24" hidden="1">
      <c r="A24" s="16" t="s">
        <v>39</v>
      </c>
      <c r="B24" s="17">
        <v>45418.0</v>
      </c>
      <c r="C24" s="16" t="s">
        <v>68</v>
      </c>
      <c r="E24" s="38">
        <v>45421.0</v>
      </c>
      <c r="G24" s="38">
        <v>45420.0</v>
      </c>
      <c r="H24" s="16" t="s">
        <v>31</v>
      </c>
      <c r="J24" s="16" t="s">
        <v>43</v>
      </c>
      <c r="K24" s="16" t="s">
        <v>33</v>
      </c>
      <c r="L24" s="31">
        <v>100.0</v>
      </c>
      <c r="N24" s="16"/>
      <c r="O24" s="16"/>
      <c r="P24" s="16" t="s">
        <v>34</v>
      </c>
      <c r="Q24" s="17">
        <f t="shared" si="1"/>
        <v>45418</v>
      </c>
      <c r="R24" s="18">
        <f>L24*0.2</f>
        <v>20</v>
      </c>
      <c r="S24" s="19" t="b">
        <v>1</v>
      </c>
      <c r="T24" s="20"/>
      <c r="U24" s="20"/>
      <c r="V24" s="20"/>
      <c r="W24" s="20"/>
      <c r="X24" s="20"/>
      <c r="Y24" s="16"/>
      <c r="Z24" s="16"/>
      <c r="AA24" s="16"/>
      <c r="AB24" s="16"/>
      <c r="AC24" s="16"/>
    </row>
    <row r="25" hidden="1">
      <c r="A25" s="16" t="s">
        <v>42</v>
      </c>
      <c r="B25" s="17">
        <v>45401.0</v>
      </c>
      <c r="C25" s="29" t="s">
        <v>52</v>
      </c>
      <c r="E25" s="38">
        <v>45424.0</v>
      </c>
      <c r="G25" s="43">
        <v>45430.0</v>
      </c>
      <c r="H25" s="16" t="s">
        <v>31</v>
      </c>
      <c r="I25" s="37" t="s">
        <v>60</v>
      </c>
      <c r="J25" s="16" t="s">
        <v>43</v>
      </c>
      <c r="K25" s="14" t="s">
        <v>33</v>
      </c>
      <c r="L25" s="42">
        <f>350/2</f>
        <v>175</v>
      </c>
      <c r="N25" s="16"/>
      <c r="O25" s="16"/>
      <c r="P25" s="16" t="s">
        <v>34</v>
      </c>
      <c r="Q25" s="17">
        <f t="shared" si="1"/>
        <v>45401</v>
      </c>
      <c r="R25" s="42">
        <f t="shared" ref="R25:R26" si="4">L25*0.25</f>
        <v>43.75</v>
      </c>
      <c r="S25" s="19" t="b">
        <v>0</v>
      </c>
      <c r="T25" s="20"/>
      <c r="U25" s="20"/>
      <c r="V25" s="20"/>
      <c r="W25" s="20"/>
      <c r="X25" s="20"/>
      <c r="Y25" s="16"/>
      <c r="Z25" s="16"/>
      <c r="AA25" s="16"/>
      <c r="AB25" s="16"/>
      <c r="AC25" s="16"/>
    </row>
    <row r="26" hidden="1">
      <c r="A26" s="16" t="s">
        <v>65</v>
      </c>
      <c r="B26" s="17">
        <v>45418.0</v>
      </c>
      <c r="C26" s="16" t="s">
        <v>68</v>
      </c>
      <c r="E26" s="43">
        <v>45425.0</v>
      </c>
      <c r="G26" s="43">
        <v>45426.0</v>
      </c>
      <c r="H26" s="16" t="s">
        <v>31</v>
      </c>
      <c r="J26" s="16" t="s">
        <v>43</v>
      </c>
      <c r="K26" s="16" t="s">
        <v>33</v>
      </c>
      <c r="L26" s="31">
        <v>250.0</v>
      </c>
      <c r="N26" s="16"/>
      <c r="O26" s="16"/>
      <c r="P26" s="16" t="s">
        <v>34</v>
      </c>
      <c r="Q26" s="17">
        <f t="shared" si="1"/>
        <v>45418</v>
      </c>
      <c r="R26" s="18">
        <f t="shared" si="4"/>
        <v>62.5</v>
      </c>
      <c r="S26" s="19" t="b">
        <v>1</v>
      </c>
      <c r="T26" s="20"/>
      <c r="U26" s="20"/>
      <c r="V26" s="20"/>
      <c r="W26" s="20"/>
      <c r="X26" s="20"/>
      <c r="Y26" s="16"/>
      <c r="Z26" s="16"/>
      <c r="AA26" s="16"/>
      <c r="AB26" s="16"/>
      <c r="AC26" s="16"/>
    </row>
    <row r="27" hidden="1">
      <c r="A27" s="16" t="s">
        <v>36</v>
      </c>
      <c r="B27" s="17">
        <v>45414.0</v>
      </c>
      <c r="C27" s="16" t="s">
        <v>69</v>
      </c>
      <c r="E27" s="43">
        <v>45427.0</v>
      </c>
      <c r="F27" s="43">
        <v>45426.0</v>
      </c>
      <c r="G27" s="43">
        <v>45429.0</v>
      </c>
      <c r="H27" s="16" t="s">
        <v>31</v>
      </c>
      <c r="J27" s="16" t="s">
        <v>43</v>
      </c>
      <c r="K27" s="16" t="s">
        <v>33</v>
      </c>
      <c r="L27" s="31">
        <v>1000.0</v>
      </c>
      <c r="N27" s="16"/>
      <c r="O27" s="16"/>
      <c r="P27" s="16" t="s">
        <v>34</v>
      </c>
      <c r="Q27" s="17">
        <f t="shared" si="1"/>
        <v>45414</v>
      </c>
      <c r="R27" s="18">
        <f>L27*0.2</f>
        <v>200</v>
      </c>
      <c r="S27" s="20" t="b">
        <v>0</v>
      </c>
      <c r="T27" s="20"/>
      <c r="U27" s="20"/>
      <c r="V27" s="20"/>
      <c r="W27" s="20"/>
      <c r="X27" s="20"/>
      <c r="Y27" s="16"/>
      <c r="Z27" s="16"/>
      <c r="AA27" s="16"/>
      <c r="AB27" s="16"/>
      <c r="AC27" s="16"/>
    </row>
    <row r="28" hidden="1">
      <c r="A28" s="16" t="s">
        <v>36</v>
      </c>
      <c r="B28" s="17">
        <v>45407.0</v>
      </c>
      <c r="C28" s="16" t="s">
        <v>70</v>
      </c>
      <c r="E28" s="43">
        <v>45427.0</v>
      </c>
      <c r="F28" s="44">
        <v>45437.0</v>
      </c>
      <c r="H28" s="16" t="s">
        <v>31</v>
      </c>
      <c r="J28" s="16" t="s">
        <v>71</v>
      </c>
      <c r="K28" s="16" t="s">
        <v>72</v>
      </c>
      <c r="L28" s="31" t="s">
        <v>56</v>
      </c>
      <c r="N28" s="16"/>
      <c r="O28" s="16"/>
      <c r="P28" s="16"/>
      <c r="Q28" s="17">
        <f t="shared" si="1"/>
        <v>45407</v>
      </c>
      <c r="S28" s="20"/>
      <c r="T28" s="20"/>
      <c r="U28" s="20"/>
      <c r="V28" s="20"/>
      <c r="W28" s="20"/>
      <c r="X28" s="20"/>
      <c r="Y28" s="20"/>
      <c r="Z28" s="20"/>
      <c r="AA28" s="20"/>
      <c r="AB28" s="20"/>
      <c r="AC28" s="20"/>
    </row>
    <row r="29" hidden="1">
      <c r="A29" s="16" t="s">
        <v>57</v>
      </c>
      <c r="B29" s="17">
        <v>45407.0</v>
      </c>
      <c r="C29" s="16" t="s">
        <v>70</v>
      </c>
      <c r="E29" s="43">
        <v>45427.0</v>
      </c>
      <c r="F29" s="44">
        <v>45437.0</v>
      </c>
      <c r="H29" s="16" t="s">
        <v>31</v>
      </c>
      <c r="I29" s="16" t="s">
        <v>60</v>
      </c>
      <c r="J29" s="16" t="s">
        <v>71</v>
      </c>
      <c r="K29" s="16" t="s">
        <v>72</v>
      </c>
      <c r="L29" s="31" t="s">
        <v>56</v>
      </c>
      <c r="N29" s="16"/>
      <c r="O29" s="16"/>
      <c r="P29" s="16"/>
      <c r="Q29" s="17">
        <f t="shared" si="1"/>
        <v>45407</v>
      </c>
      <c r="S29" s="20"/>
      <c r="T29" s="20"/>
      <c r="U29" s="20"/>
      <c r="V29" s="20"/>
      <c r="W29" s="20"/>
      <c r="X29" s="20"/>
      <c r="Y29" s="20"/>
      <c r="Z29" s="20"/>
      <c r="AA29" s="20"/>
      <c r="AB29" s="20"/>
      <c r="AC29" s="20"/>
    </row>
    <row r="30" hidden="1">
      <c r="A30" s="16" t="s">
        <v>45</v>
      </c>
      <c r="B30" s="17">
        <v>45407.0</v>
      </c>
      <c r="C30" s="16" t="s">
        <v>70</v>
      </c>
      <c r="E30" s="43">
        <v>45427.0</v>
      </c>
      <c r="F30" s="44">
        <v>45437.0</v>
      </c>
      <c r="H30" s="16" t="s">
        <v>31</v>
      </c>
      <c r="I30" s="16" t="s">
        <v>73</v>
      </c>
      <c r="J30" s="16" t="s">
        <v>71</v>
      </c>
      <c r="K30" s="16" t="s">
        <v>74</v>
      </c>
      <c r="L30" s="31" t="s">
        <v>56</v>
      </c>
      <c r="N30" s="16"/>
      <c r="O30" s="16"/>
      <c r="P30" s="16"/>
      <c r="Q30" s="17">
        <f t="shared" si="1"/>
        <v>45407</v>
      </c>
      <c r="S30" s="20"/>
      <c r="T30" s="20"/>
      <c r="U30" s="20"/>
      <c r="V30" s="20"/>
      <c r="W30" s="20"/>
      <c r="X30" s="20"/>
      <c r="Y30" s="20"/>
      <c r="Z30" s="20"/>
      <c r="AA30" s="20"/>
      <c r="AB30" s="20"/>
      <c r="AC30" s="20"/>
    </row>
    <row r="31" hidden="1">
      <c r="A31" s="16" t="s">
        <v>39</v>
      </c>
      <c r="B31" s="17">
        <v>45407.0</v>
      </c>
      <c r="C31" s="16" t="s">
        <v>70</v>
      </c>
      <c r="E31" s="43">
        <v>45427.0</v>
      </c>
      <c r="F31" s="44">
        <v>45437.0</v>
      </c>
      <c r="G31" s="10"/>
      <c r="H31" s="16" t="s">
        <v>31</v>
      </c>
      <c r="J31" s="16" t="s">
        <v>71</v>
      </c>
      <c r="K31" s="16" t="s">
        <v>72</v>
      </c>
      <c r="L31" s="31" t="s">
        <v>56</v>
      </c>
      <c r="N31" s="16"/>
      <c r="O31" s="16"/>
      <c r="P31" s="16"/>
      <c r="Q31" s="17">
        <f t="shared" si="1"/>
        <v>45407</v>
      </c>
      <c r="S31" s="20"/>
      <c r="T31" s="20"/>
      <c r="U31" s="20"/>
      <c r="V31" s="20"/>
      <c r="W31" s="20"/>
      <c r="X31" s="20"/>
      <c r="Y31" s="20"/>
      <c r="Z31" s="20"/>
      <c r="AA31" s="20"/>
      <c r="AB31" s="20"/>
      <c r="AC31" s="20"/>
    </row>
    <row r="32" hidden="1">
      <c r="A32" s="16" t="s">
        <v>65</v>
      </c>
      <c r="B32" s="17">
        <v>45401.0</v>
      </c>
      <c r="C32" s="29" t="s">
        <v>52</v>
      </c>
      <c r="E32" s="43">
        <v>45431.0</v>
      </c>
      <c r="G32" s="44">
        <v>45435.0</v>
      </c>
      <c r="H32" s="16" t="s">
        <v>31</v>
      </c>
      <c r="I32" s="16" t="s">
        <v>75</v>
      </c>
      <c r="J32" s="16" t="s">
        <v>43</v>
      </c>
      <c r="K32" s="14" t="s">
        <v>33</v>
      </c>
      <c r="L32" s="41">
        <v>200.0</v>
      </c>
      <c r="N32" s="16"/>
      <c r="O32" s="16"/>
      <c r="P32" s="16" t="s">
        <v>34</v>
      </c>
      <c r="Q32" s="17">
        <f t="shared" si="1"/>
        <v>45401</v>
      </c>
      <c r="R32" s="42">
        <f>L32*0.25</f>
        <v>50</v>
      </c>
      <c r="S32" s="20" t="b">
        <v>0</v>
      </c>
      <c r="T32" s="20"/>
      <c r="U32" s="20"/>
      <c r="V32" s="20"/>
      <c r="W32" s="20"/>
      <c r="X32" s="20"/>
      <c r="Y32" s="16"/>
      <c r="Z32" s="16"/>
      <c r="AA32" s="16"/>
      <c r="AB32" s="16"/>
      <c r="AC32" s="16"/>
    </row>
    <row r="33" hidden="1">
      <c r="A33" s="16" t="s">
        <v>76</v>
      </c>
      <c r="B33" s="17">
        <v>45425.0</v>
      </c>
      <c r="C33" s="29" t="s">
        <v>37</v>
      </c>
      <c r="E33" s="45">
        <v>45436.0</v>
      </c>
      <c r="F33" s="46"/>
      <c r="G33" s="47">
        <v>45439.0</v>
      </c>
      <c r="H33" s="16" t="s">
        <v>31</v>
      </c>
      <c r="I33" s="37" t="s">
        <v>77</v>
      </c>
      <c r="J33" s="16" t="s">
        <v>43</v>
      </c>
      <c r="K33" s="16" t="s">
        <v>33</v>
      </c>
      <c r="L33" s="31">
        <v>150.0</v>
      </c>
      <c r="N33" s="16"/>
      <c r="O33" s="16"/>
      <c r="P33" s="16" t="s">
        <v>34</v>
      </c>
      <c r="Q33" s="17">
        <f t="shared" si="1"/>
        <v>45425</v>
      </c>
      <c r="R33" s="18">
        <f>L33*0.3</f>
        <v>45</v>
      </c>
      <c r="S33" s="19" t="b">
        <v>1</v>
      </c>
      <c r="T33" s="20"/>
      <c r="U33" s="20"/>
      <c r="V33" s="20"/>
      <c r="W33" s="20"/>
      <c r="X33" s="20"/>
      <c r="Y33" s="16"/>
      <c r="Z33" s="16"/>
      <c r="AA33" s="16"/>
      <c r="AB33" s="16"/>
      <c r="AC33" s="16"/>
    </row>
    <row r="34" hidden="1">
      <c r="A34" s="16" t="s">
        <v>45</v>
      </c>
      <c r="B34" s="17">
        <v>45426.0</v>
      </c>
      <c r="C34" s="29" t="s">
        <v>37</v>
      </c>
      <c r="E34" s="45">
        <v>45437.0</v>
      </c>
      <c r="F34" s="46"/>
      <c r="G34" s="47">
        <v>45441.0</v>
      </c>
      <c r="H34" s="16" t="s">
        <v>31</v>
      </c>
      <c r="I34" s="37" t="s">
        <v>77</v>
      </c>
      <c r="J34" s="16" t="s">
        <v>43</v>
      </c>
      <c r="K34" s="16" t="s">
        <v>33</v>
      </c>
      <c r="L34" s="31">
        <v>200.0</v>
      </c>
      <c r="N34" s="16"/>
      <c r="O34" s="16"/>
      <c r="P34" s="16" t="s">
        <v>34</v>
      </c>
      <c r="Q34" s="17">
        <f t="shared" si="1"/>
        <v>45426</v>
      </c>
      <c r="R34" s="18">
        <f>L34*0.25</f>
        <v>50</v>
      </c>
      <c r="S34" s="19" t="b">
        <v>1</v>
      </c>
      <c r="T34" s="20"/>
      <c r="U34" s="20"/>
      <c r="V34" s="20"/>
      <c r="W34" s="20"/>
      <c r="X34" s="20"/>
      <c r="Y34" s="16"/>
      <c r="Z34" s="16"/>
      <c r="AA34" s="16"/>
      <c r="AB34" s="16"/>
      <c r="AC34" s="16"/>
    </row>
    <row r="35" hidden="1">
      <c r="A35" s="16" t="s">
        <v>57</v>
      </c>
      <c r="B35" s="17">
        <v>45390.0</v>
      </c>
      <c r="C35" s="16" t="s">
        <v>48</v>
      </c>
      <c r="E35" s="44">
        <v>45438.0</v>
      </c>
      <c r="F35" s="48">
        <v>45439.0</v>
      </c>
      <c r="G35" s="48">
        <v>45442.0</v>
      </c>
      <c r="H35" s="16" t="s">
        <v>31</v>
      </c>
      <c r="I35" s="16" t="s">
        <v>78</v>
      </c>
      <c r="K35" s="16"/>
      <c r="L35" s="31"/>
      <c r="N35" s="16"/>
      <c r="O35" s="16"/>
      <c r="P35" s="16"/>
      <c r="Q35" s="17">
        <f t="shared" si="1"/>
        <v>45390</v>
      </c>
      <c r="S35" s="20"/>
      <c r="T35" s="20"/>
      <c r="U35" s="20"/>
      <c r="V35" s="20"/>
      <c r="W35" s="20"/>
      <c r="X35" s="20"/>
      <c r="Y35" s="20"/>
      <c r="Z35" s="20"/>
      <c r="AA35" s="20"/>
      <c r="AB35" s="20"/>
      <c r="AC35" s="20"/>
    </row>
    <row r="36" hidden="1">
      <c r="A36" s="16" t="s">
        <v>45</v>
      </c>
      <c r="B36" s="17">
        <v>45390.0</v>
      </c>
      <c r="C36" s="16" t="s">
        <v>48</v>
      </c>
      <c r="E36" s="44">
        <v>45438.0</v>
      </c>
      <c r="F36" s="48">
        <v>45439.0</v>
      </c>
      <c r="G36" s="48">
        <v>45442.0</v>
      </c>
      <c r="H36" s="16" t="s">
        <v>31</v>
      </c>
      <c r="I36" s="16" t="s">
        <v>78</v>
      </c>
      <c r="J36" s="16" t="s">
        <v>49</v>
      </c>
      <c r="K36" s="16" t="s">
        <v>33</v>
      </c>
      <c r="L36" s="34" t="s">
        <v>50</v>
      </c>
      <c r="Q36" s="17">
        <f t="shared" si="1"/>
        <v>45390</v>
      </c>
      <c r="S36" s="20"/>
      <c r="T36" s="20"/>
      <c r="U36" s="20"/>
      <c r="V36" s="20"/>
      <c r="W36" s="20"/>
      <c r="X36" s="20"/>
      <c r="Y36" s="20"/>
      <c r="Z36" s="20"/>
      <c r="AA36" s="20"/>
      <c r="AB36" s="20"/>
      <c r="AC36" s="20"/>
    </row>
    <row r="37" hidden="1">
      <c r="A37" s="16" t="s">
        <v>29</v>
      </c>
      <c r="B37" s="17">
        <v>45393.0</v>
      </c>
      <c r="C37" s="29" t="s">
        <v>79</v>
      </c>
      <c r="E37" s="48">
        <v>45442.0</v>
      </c>
      <c r="G37" s="48">
        <v>45443.0</v>
      </c>
      <c r="H37" s="16" t="s">
        <v>31</v>
      </c>
      <c r="I37" s="37" t="s">
        <v>80</v>
      </c>
      <c r="J37" s="16" t="s">
        <v>55</v>
      </c>
      <c r="K37" s="16" t="s">
        <v>33</v>
      </c>
      <c r="L37" s="31">
        <v>230.0</v>
      </c>
      <c r="N37" s="16"/>
      <c r="O37" s="16"/>
      <c r="P37" s="16" t="s">
        <v>34</v>
      </c>
      <c r="Q37" s="17">
        <f t="shared" si="1"/>
        <v>45393</v>
      </c>
      <c r="R37" s="18">
        <f>L37*0.2</f>
        <v>46</v>
      </c>
      <c r="S37" s="20"/>
      <c r="T37" s="20"/>
      <c r="U37" s="20"/>
      <c r="V37" s="20"/>
      <c r="W37" s="20"/>
      <c r="X37" s="20"/>
      <c r="Y37" s="16"/>
      <c r="Z37" s="16"/>
      <c r="AA37" s="16"/>
      <c r="AB37" s="16"/>
      <c r="AC37" s="16"/>
    </row>
    <row r="38" hidden="1">
      <c r="A38" s="16" t="s">
        <v>57</v>
      </c>
      <c r="B38" s="17">
        <v>45371.0</v>
      </c>
      <c r="C38" s="16" t="s">
        <v>48</v>
      </c>
      <c r="E38" s="49">
        <v>45455.0</v>
      </c>
      <c r="F38" s="49">
        <v>45453.0</v>
      </c>
      <c r="G38" s="49">
        <v>45459.0</v>
      </c>
      <c r="H38" s="16" t="s">
        <v>31</v>
      </c>
      <c r="K38" s="16"/>
      <c r="L38" s="31"/>
      <c r="N38" s="16"/>
      <c r="O38" s="16"/>
      <c r="P38" s="16"/>
      <c r="Q38" s="17">
        <f t="shared" si="1"/>
        <v>45371</v>
      </c>
      <c r="S38" s="20"/>
      <c r="T38" s="20" t="str">
        <f>VLOOKUP(A38,'Calendar ID'!$A$2:$C$15,3)</f>
        <v>fgirault3@gmail.com</v>
      </c>
      <c r="U38" s="20" t="b">
        <v>0</v>
      </c>
      <c r="V38" s="20" t="str">
        <f>VLOOKUP(A38,'Calendar ID'!$A$2:$C$15,2)</f>
        <v>c_b412638d97e7dcffa392ccd62e6d5e2eccb052c0c08de7e1e7d547811d81c44c@group.calendar.google.com</v>
      </c>
      <c r="W38" s="20" t="b">
        <v>0</v>
      </c>
      <c r="X38" s="20" t="str">
        <f>VLOOKUP(A38,'Calendar ID'!$A$2:$C$15,2)</f>
        <v>c_b412638d97e7dcffa392ccd62e6d5e2eccb052c0c08de7e1e7d547811d81c44c@group.calendar.google.com</v>
      </c>
      <c r="Y38" s="20"/>
      <c r="Z38" s="20"/>
      <c r="AA38" s="20"/>
      <c r="AB38" s="20"/>
      <c r="AC38" s="20"/>
    </row>
    <row r="39" hidden="1">
      <c r="A39" s="16" t="s">
        <v>45</v>
      </c>
      <c r="B39" s="11">
        <v>45392.0</v>
      </c>
      <c r="C39" s="16" t="s">
        <v>48</v>
      </c>
      <c r="D39" s="7"/>
      <c r="E39" s="49">
        <v>45455.0</v>
      </c>
      <c r="F39" s="49">
        <v>45453.0</v>
      </c>
      <c r="G39" s="50">
        <v>45460.0</v>
      </c>
      <c r="H39" s="10" t="s">
        <v>31</v>
      </c>
      <c r="I39" s="7"/>
      <c r="J39" s="23"/>
      <c r="K39" s="23"/>
      <c r="L39" s="51"/>
      <c r="M39" s="7"/>
      <c r="N39" s="23"/>
      <c r="O39" s="23"/>
      <c r="P39" s="23"/>
      <c r="Q39" s="17">
        <f t="shared" si="1"/>
        <v>45392</v>
      </c>
      <c r="R39" s="51"/>
      <c r="S39" s="20" t="b">
        <v>0</v>
      </c>
      <c r="T39" s="20" t="str">
        <f>VLOOKUP(A39,'Calendar ID'!$A$2:$C$15,3)</f>
        <v>lilyy.nl@grapperagency.com</v>
      </c>
      <c r="U39" s="20" t="b">
        <v>0</v>
      </c>
      <c r="V39" s="20" t="str">
        <f>VLOOKUP($A39,'Calendar ID'!$A:$C,2,false)</f>
        <v>c_665764ca21c8e4b3814e25bf24bc7074fa55890dce5d4073abb0fdddc70649d4@group.calendar.google.com</v>
      </c>
      <c r="W39" s="20" t="b">
        <v>0</v>
      </c>
      <c r="X39" s="20" t="str">
        <f>VLOOKUP($A39,'Calendar ID'!$A:$C,2,false)</f>
        <v>c_665764ca21c8e4b3814e25bf24bc7074fa55890dce5d4073abb0fdddc70649d4@group.calendar.google.com</v>
      </c>
      <c r="Y39" s="20"/>
      <c r="Z39" s="20"/>
      <c r="AA39" s="20"/>
      <c r="AB39" s="20"/>
      <c r="AC39" s="20"/>
    </row>
    <row r="40" hidden="1">
      <c r="A40" s="16" t="s">
        <v>76</v>
      </c>
      <c r="B40" s="17">
        <v>45442.0</v>
      </c>
      <c r="C40" s="16" t="s">
        <v>81</v>
      </c>
      <c r="E40" s="52">
        <v>45455.0</v>
      </c>
      <c r="F40" s="53">
        <v>45461.0</v>
      </c>
      <c r="G40" s="53">
        <v>45463.0</v>
      </c>
      <c r="H40" s="16" t="s">
        <v>31</v>
      </c>
      <c r="I40" s="16"/>
      <c r="J40" s="16" t="s">
        <v>43</v>
      </c>
      <c r="K40" s="16" t="s">
        <v>33</v>
      </c>
      <c r="L40" s="31">
        <v>250.0</v>
      </c>
      <c r="N40" s="16"/>
      <c r="O40" s="16"/>
      <c r="P40" s="16" t="s">
        <v>34</v>
      </c>
      <c r="Q40" s="17">
        <f t="shared" si="1"/>
        <v>45442</v>
      </c>
      <c r="R40" s="18">
        <f t="shared" ref="R40:R41" si="5">L40*0.3</f>
        <v>75</v>
      </c>
      <c r="S40" s="19" t="b">
        <v>0</v>
      </c>
      <c r="T40" s="20" t="str">
        <f>VLOOKUP(A40,'Calendar ID'!$A:$C,3,false)</f>
        <v>orane.baron1403@gmail.com</v>
      </c>
      <c r="U40" s="20" t="b">
        <v>0</v>
      </c>
      <c r="V40" s="20" t="str">
        <f>VLOOKUP($A40,'Calendar ID'!$A:$C,2,false)</f>
        <v>c_b9aea0629908ddbafe7229688ea55dc9d65b9e6b1a8ed4492c7ca84aa703d076@group.calendar.google.com</v>
      </c>
      <c r="W40" s="19" t="b">
        <v>1</v>
      </c>
      <c r="X40" s="19" t="s">
        <v>82</v>
      </c>
      <c r="Y40" s="16"/>
      <c r="Z40" s="16"/>
      <c r="AA40" s="16"/>
      <c r="AB40" s="16"/>
      <c r="AC40" s="16"/>
    </row>
    <row r="41" hidden="1">
      <c r="A41" s="16" t="s">
        <v>76</v>
      </c>
      <c r="B41" s="17">
        <v>45423.0</v>
      </c>
      <c r="C41" s="16" t="s">
        <v>52</v>
      </c>
      <c r="E41" s="52">
        <v>45456.0</v>
      </c>
      <c r="F41" s="54"/>
      <c r="G41" s="53">
        <v>45465.0</v>
      </c>
      <c r="H41" s="16" t="s">
        <v>31</v>
      </c>
      <c r="J41" s="16" t="s">
        <v>83</v>
      </c>
      <c r="K41" s="16" t="s">
        <v>33</v>
      </c>
      <c r="L41" s="31">
        <v>300.0</v>
      </c>
      <c r="N41" s="16"/>
      <c r="O41" s="16"/>
      <c r="P41" s="16" t="s">
        <v>34</v>
      </c>
      <c r="Q41" s="17">
        <f t="shared" si="1"/>
        <v>45423</v>
      </c>
      <c r="R41" s="18">
        <f t="shared" si="5"/>
        <v>90</v>
      </c>
      <c r="S41" s="19" t="b">
        <v>1</v>
      </c>
      <c r="T41" s="20" t="str">
        <f>VLOOKUP(A41,'Calendar ID'!$A:$C,3,false)</f>
        <v>orane.baron1403@gmail.com</v>
      </c>
      <c r="U41" s="19" t="b">
        <v>0</v>
      </c>
      <c r="V41" s="20" t="str">
        <f>VLOOKUP($A41,'Calendar ID'!$A:$C,2,false)</f>
        <v>c_b9aea0629908ddbafe7229688ea55dc9d65b9e6b1a8ed4492c7ca84aa703d076@group.calendar.google.com</v>
      </c>
      <c r="W41" s="19" t="b">
        <v>1</v>
      </c>
      <c r="X41" s="19" t="s">
        <v>82</v>
      </c>
      <c r="Y41" s="16"/>
      <c r="Z41" s="16"/>
      <c r="AA41" s="16"/>
      <c r="AB41" s="16"/>
      <c r="AC41" s="16"/>
    </row>
    <row r="42" hidden="1">
      <c r="A42" s="16" t="s">
        <v>39</v>
      </c>
      <c r="B42" s="17">
        <v>45412.0</v>
      </c>
      <c r="C42" s="29" t="s">
        <v>79</v>
      </c>
      <c r="E42" s="52">
        <v>45456.0</v>
      </c>
      <c r="F42" s="53">
        <v>45462.0</v>
      </c>
      <c r="G42" s="53">
        <v>45462.0</v>
      </c>
      <c r="H42" s="16" t="s">
        <v>31</v>
      </c>
      <c r="J42" s="16" t="s">
        <v>43</v>
      </c>
      <c r="K42" s="16" t="s">
        <v>33</v>
      </c>
      <c r="L42" s="31">
        <v>80.0</v>
      </c>
      <c r="N42" s="55" t="s">
        <v>84</v>
      </c>
      <c r="O42" s="16"/>
      <c r="P42" s="16" t="s">
        <v>34</v>
      </c>
      <c r="Q42" s="17">
        <f t="shared" si="1"/>
        <v>45412</v>
      </c>
      <c r="R42" s="18">
        <f>L42*0.2</f>
        <v>16</v>
      </c>
      <c r="S42" s="20" t="b">
        <v>0</v>
      </c>
      <c r="T42" s="20" t="str">
        <f>VLOOKUP(A42,'Calendar ID'!$A:$C,3,false)</f>
        <v>#N/A</v>
      </c>
      <c r="U42" s="20" t="b">
        <v>0</v>
      </c>
      <c r="V42" s="20" t="str">
        <f>VLOOKUP($A42,'Calendar ID'!$A:$C,2,false)</f>
        <v>#N/A</v>
      </c>
      <c r="W42" s="19" t="b">
        <v>0</v>
      </c>
      <c r="X42" s="20" t="str">
        <f>VLOOKUP($A42,'Calendar ID'!$A:$C,2,false)</f>
        <v>#N/A</v>
      </c>
      <c r="Y42" s="16"/>
      <c r="Z42" s="16"/>
      <c r="AA42" s="16"/>
      <c r="AB42" s="16"/>
      <c r="AC42" s="16"/>
    </row>
    <row r="43" hidden="1">
      <c r="A43" s="16" t="s">
        <v>65</v>
      </c>
      <c r="B43" s="17">
        <v>45412.0</v>
      </c>
      <c r="C43" s="29" t="s">
        <v>79</v>
      </c>
      <c r="E43" s="52">
        <v>45457.0</v>
      </c>
      <c r="F43" s="54"/>
      <c r="G43" s="53">
        <v>45460.0</v>
      </c>
      <c r="H43" s="16" t="s">
        <v>31</v>
      </c>
      <c r="J43" s="16" t="s">
        <v>43</v>
      </c>
      <c r="K43" s="16" t="s">
        <v>33</v>
      </c>
      <c r="L43" s="31">
        <v>150.0</v>
      </c>
      <c r="N43" s="16"/>
      <c r="O43" s="16"/>
      <c r="P43" s="16" t="s">
        <v>34</v>
      </c>
      <c r="Q43" s="17">
        <f t="shared" si="1"/>
        <v>45412</v>
      </c>
      <c r="R43" s="18">
        <f>L43*0.25</f>
        <v>37.5</v>
      </c>
      <c r="S43" s="20" t="b">
        <v>0</v>
      </c>
      <c r="T43" s="20" t="str">
        <f>VLOOKUP(A43,'Calendar ID'!$A$2:$C$15,3)</f>
        <v>imlolytahproacc@gmail.com</v>
      </c>
      <c r="U43" s="19" t="b">
        <v>0</v>
      </c>
      <c r="V43" s="20" t="str">
        <f>VLOOKUP($A43,'Calendar ID'!$A$2:$C$16,2,false)</f>
        <v>c_007bb5dfd61adc34e7d7f1093213e03f31b2abfb546bee3afc00b412de414680@group.calendar.google.com</v>
      </c>
      <c r="W43" s="19" t="b">
        <v>1</v>
      </c>
      <c r="X43" s="19" t="s">
        <v>82</v>
      </c>
      <c r="Y43" s="16"/>
      <c r="Z43" s="16"/>
      <c r="AA43" s="16"/>
      <c r="AB43" s="16"/>
      <c r="AC43" s="16"/>
    </row>
    <row r="44" hidden="1">
      <c r="A44" s="16" t="s">
        <v>76</v>
      </c>
      <c r="B44" s="17">
        <v>45435.0</v>
      </c>
      <c r="C44" s="16" t="s">
        <v>68</v>
      </c>
      <c r="E44" s="52">
        <v>45457.0</v>
      </c>
      <c r="F44" s="52">
        <v>45459.0</v>
      </c>
      <c r="G44" s="52">
        <v>45459.0</v>
      </c>
      <c r="H44" s="16" t="s">
        <v>31</v>
      </c>
      <c r="J44" s="16" t="s">
        <v>43</v>
      </c>
      <c r="K44" s="16" t="s">
        <v>33</v>
      </c>
      <c r="L44" s="31">
        <v>500.0</v>
      </c>
      <c r="N44" s="16"/>
      <c r="O44" s="16"/>
      <c r="P44" s="16" t="s">
        <v>34</v>
      </c>
      <c r="Q44" s="17">
        <f t="shared" si="1"/>
        <v>45435</v>
      </c>
      <c r="R44" s="18">
        <f>L44*0.3</f>
        <v>150</v>
      </c>
      <c r="S44" s="19" t="b">
        <v>0</v>
      </c>
      <c r="T44" s="20" t="str">
        <f>VLOOKUP(A44,'Calendar ID'!$A$2:$C$15,3)</f>
        <v>orane.baron1403@gmail.com</v>
      </c>
      <c r="U44" s="20" t="b">
        <v>0</v>
      </c>
      <c r="V44" s="20" t="str">
        <f>VLOOKUP($A44,'Calendar ID'!$A$2:$C$16,2,false)</f>
        <v>c_b9aea0629908ddbafe7229688ea55dc9d65b9e6b1a8ed4492c7ca84aa703d076@group.calendar.google.com</v>
      </c>
      <c r="W44" s="20" t="b">
        <v>0</v>
      </c>
      <c r="X44" s="20" t="str">
        <f>VLOOKUP($A44,'Calendar ID'!$A$2:$C$16,2,false)</f>
        <v>c_b9aea0629908ddbafe7229688ea55dc9d65b9e6b1a8ed4492c7ca84aa703d076@group.calendar.google.com</v>
      </c>
      <c r="Y44" s="16"/>
      <c r="Z44" s="16"/>
      <c r="AA44" s="16"/>
      <c r="AB44" s="16"/>
      <c r="AC44" s="16"/>
    </row>
    <row r="45" hidden="1">
      <c r="A45" s="16" t="s">
        <v>45</v>
      </c>
      <c r="B45" s="17">
        <v>45412.0</v>
      </c>
      <c r="C45" s="29" t="s">
        <v>79</v>
      </c>
      <c r="E45" s="52">
        <v>45458.0</v>
      </c>
      <c r="G45" s="53">
        <v>45466.0</v>
      </c>
      <c r="H45" s="16" t="s">
        <v>31</v>
      </c>
      <c r="J45" s="16" t="s">
        <v>43</v>
      </c>
      <c r="K45" s="16" t="s">
        <v>33</v>
      </c>
      <c r="L45" s="31">
        <v>300.0</v>
      </c>
      <c r="N45" s="56" t="s">
        <v>85</v>
      </c>
      <c r="O45" s="16"/>
      <c r="P45" s="16" t="s">
        <v>34</v>
      </c>
      <c r="Q45" s="17">
        <f t="shared" si="1"/>
        <v>45412</v>
      </c>
      <c r="R45" s="18">
        <f t="shared" ref="R45:R46" si="6">L45*0.25</f>
        <v>75</v>
      </c>
      <c r="S45" s="20" t="b">
        <v>0</v>
      </c>
      <c r="T45" s="20" t="str">
        <f>VLOOKUP(A45,'Calendar ID'!$A:$C,3,false)</f>
        <v>lilyy.nl@grapperagency.com</v>
      </c>
      <c r="U45" s="19" t="b">
        <v>0</v>
      </c>
      <c r="V45" s="20" t="str">
        <f>VLOOKUP($A45,'Calendar ID'!$A:$C,2,false)</f>
        <v>c_665764ca21c8e4b3814e25bf24bc7074fa55890dce5d4073abb0fdddc70649d4@group.calendar.google.com</v>
      </c>
      <c r="W45" s="19" t="b">
        <v>1</v>
      </c>
      <c r="X45" s="19" t="s">
        <v>82</v>
      </c>
      <c r="Y45" s="16"/>
      <c r="Z45" s="16"/>
      <c r="AA45" s="16"/>
      <c r="AB45" s="16"/>
      <c r="AC45" s="16"/>
    </row>
    <row r="46" hidden="1">
      <c r="A46" s="16" t="s">
        <v>42</v>
      </c>
      <c r="B46" s="17">
        <v>45412.0</v>
      </c>
      <c r="C46" s="29" t="s">
        <v>79</v>
      </c>
      <c r="E46" s="57">
        <v>45461.0</v>
      </c>
      <c r="G46" s="53">
        <v>45463.0</v>
      </c>
      <c r="H46" s="16" t="s">
        <v>31</v>
      </c>
      <c r="J46" s="16" t="s">
        <v>43</v>
      </c>
      <c r="K46" s="16" t="s">
        <v>33</v>
      </c>
      <c r="L46" s="31">
        <v>350.0</v>
      </c>
      <c r="N46" s="16"/>
      <c r="O46" s="16"/>
      <c r="P46" s="16" t="s">
        <v>34</v>
      </c>
      <c r="Q46" s="17">
        <f t="shared" si="1"/>
        <v>45412</v>
      </c>
      <c r="R46" s="18">
        <f t="shared" si="6"/>
        <v>87.5</v>
      </c>
      <c r="S46" s="20" t="b">
        <v>0</v>
      </c>
      <c r="T46" s="20" t="str">
        <f>VLOOKUP(A46,'Calendar ID'!$A:$C,3,false)</f>
        <v>cmepls.pro@gmail.com</v>
      </c>
      <c r="U46" s="20" t="b">
        <v>0</v>
      </c>
      <c r="V46" s="20" t="str">
        <f>VLOOKUP($A46,'Calendar ID'!$A:$C,2,false)</f>
        <v>c_15e3504fd6fde5b88106b6d99934e830e051067bbd4af855bfd432d30fc2f262@group.calendar.google.com</v>
      </c>
      <c r="W46" s="19" t="b">
        <v>1</v>
      </c>
      <c r="X46" s="19" t="s">
        <v>82</v>
      </c>
      <c r="Y46" s="16"/>
      <c r="Z46" s="16"/>
      <c r="AA46" s="16"/>
      <c r="AB46" s="16"/>
      <c r="AC46" s="16"/>
    </row>
    <row r="47" hidden="1">
      <c r="A47" s="16" t="s">
        <v>76</v>
      </c>
      <c r="B47" s="17">
        <v>45428.0</v>
      </c>
      <c r="C47" s="16" t="s">
        <v>86</v>
      </c>
      <c r="E47" s="52">
        <v>45459.0</v>
      </c>
      <c r="G47" s="58">
        <v>45468.0</v>
      </c>
      <c r="H47" s="16" t="s">
        <v>31</v>
      </c>
      <c r="I47" s="16" t="s">
        <v>87</v>
      </c>
      <c r="J47" s="16" t="s">
        <v>43</v>
      </c>
      <c r="K47" s="23" t="s">
        <v>33</v>
      </c>
      <c r="L47" s="59">
        <v>531.0</v>
      </c>
      <c r="M47" s="31"/>
      <c r="N47" s="16"/>
      <c r="O47" s="16"/>
      <c r="P47" s="16" t="s">
        <v>34</v>
      </c>
      <c r="Q47" s="17">
        <f t="shared" si="1"/>
        <v>45428</v>
      </c>
      <c r="R47" s="60">
        <f>L47*0.3</f>
        <v>159.3</v>
      </c>
      <c r="S47" s="20" t="b">
        <v>0</v>
      </c>
      <c r="T47" s="20" t="str">
        <f>VLOOKUP(A47,'Calendar ID'!$A:$C,3,false)</f>
        <v>orane.baron1403@gmail.com</v>
      </c>
      <c r="U47" s="19" t="b">
        <v>0</v>
      </c>
      <c r="V47" s="20" t="str">
        <f>VLOOKUP($A47,'Calendar ID'!$A:$C,2,false)</f>
        <v>c_b9aea0629908ddbafe7229688ea55dc9d65b9e6b1a8ed4492c7ca84aa703d076@group.calendar.google.com</v>
      </c>
      <c r="W47" s="19" t="b">
        <v>1</v>
      </c>
      <c r="X47" s="19" t="s">
        <v>82</v>
      </c>
      <c r="Y47" s="16"/>
      <c r="Z47" s="16"/>
      <c r="AA47" s="16"/>
      <c r="AB47" s="16"/>
      <c r="AC47" s="16"/>
    </row>
    <row r="48" hidden="1">
      <c r="A48" s="16" t="s">
        <v>42</v>
      </c>
      <c r="B48" s="17">
        <v>45428.0</v>
      </c>
      <c r="C48" s="29" t="s">
        <v>88</v>
      </c>
      <c r="E48" s="53">
        <v>45460.0</v>
      </c>
      <c r="G48" s="53">
        <v>45462.0</v>
      </c>
      <c r="H48" s="16" t="s">
        <v>31</v>
      </c>
      <c r="J48" s="16" t="s">
        <v>43</v>
      </c>
      <c r="K48" s="23" t="s">
        <v>33</v>
      </c>
      <c r="L48" s="31">
        <v>400.0</v>
      </c>
      <c r="N48" s="16"/>
      <c r="O48" s="16"/>
      <c r="P48" s="16" t="s">
        <v>34</v>
      </c>
      <c r="Q48" s="17">
        <f t="shared" si="1"/>
        <v>45428</v>
      </c>
      <c r="R48" s="18">
        <f>L48*0.25</f>
        <v>100</v>
      </c>
      <c r="S48" s="20" t="b">
        <v>0</v>
      </c>
      <c r="T48" s="20" t="str">
        <f>VLOOKUP(A48,'Calendar ID'!$A:$C,3,false)</f>
        <v>cmepls.pro@gmail.com</v>
      </c>
      <c r="U48" s="19" t="b">
        <v>1</v>
      </c>
      <c r="V48" s="19" t="s">
        <v>82</v>
      </c>
      <c r="W48" s="19" t="b">
        <v>1</v>
      </c>
      <c r="X48" s="19" t="s">
        <v>82</v>
      </c>
      <c r="Y48" s="16"/>
      <c r="Z48" s="16"/>
      <c r="AA48" s="16"/>
      <c r="AB48" s="16"/>
      <c r="AC48" s="16"/>
    </row>
    <row r="49" hidden="1">
      <c r="A49" s="16" t="s">
        <v>89</v>
      </c>
      <c r="B49" s="17">
        <v>45442.0</v>
      </c>
      <c r="C49" s="16" t="s">
        <v>68</v>
      </c>
      <c r="E49" s="53">
        <v>45460.0</v>
      </c>
      <c r="F49" s="58">
        <v>45467.0</v>
      </c>
      <c r="G49" s="58">
        <v>45467.0</v>
      </c>
      <c r="H49" s="16" t="s">
        <v>31</v>
      </c>
      <c r="J49" s="16" t="s">
        <v>43</v>
      </c>
      <c r="K49" s="16" t="s">
        <v>33</v>
      </c>
      <c r="L49" s="31">
        <v>150.0</v>
      </c>
      <c r="M49" s="18">
        <f>L49-R49</f>
        <v>105</v>
      </c>
      <c r="N49" s="55" t="s">
        <v>90</v>
      </c>
      <c r="O49" s="16"/>
      <c r="P49" s="16" t="s">
        <v>34</v>
      </c>
      <c r="Q49" s="17">
        <f t="shared" si="1"/>
        <v>45442</v>
      </c>
      <c r="R49" s="18">
        <f t="shared" ref="R49:R51" si="7">L49*0.3</f>
        <v>45</v>
      </c>
      <c r="S49" s="20"/>
      <c r="T49" s="20" t="str">
        <f>VLOOKUP(A49,'Calendar ID'!$A:$C,3,false)</f>
        <v>lola140204@gmail.com</v>
      </c>
      <c r="U49" s="20" t="b">
        <v>0</v>
      </c>
      <c r="V49" s="20" t="str">
        <f>VLOOKUP($A49,'Calendar ID'!$A:$C,2,false)</f>
        <v>c_8f3f6ef786f2df9238426a478307dbddffb576ace587133cfa65ca553e2f967a@group.calendar.google.com</v>
      </c>
      <c r="W49" s="20" t="b">
        <v>0</v>
      </c>
      <c r="X49" s="20" t="str">
        <f>VLOOKUP($A49,'Calendar ID'!$A:$C,2,false)</f>
        <v>c_8f3f6ef786f2df9238426a478307dbddffb576ace587133cfa65ca553e2f967a@group.calendar.google.com</v>
      </c>
      <c r="Y49" s="16"/>
      <c r="Z49" s="16"/>
      <c r="AA49" s="16"/>
      <c r="AB49" s="16"/>
      <c r="AC49" s="16"/>
    </row>
    <row r="50" hidden="1">
      <c r="A50" s="16" t="s">
        <v>76</v>
      </c>
      <c r="B50" s="17">
        <v>45423.0</v>
      </c>
      <c r="C50" s="29" t="s">
        <v>79</v>
      </c>
      <c r="E50" s="52">
        <v>45457.0</v>
      </c>
      <c r="F50" s="54"/>
      <c r="G50" s="58">
        <v>45472.0</v>
      </c>
      <c r="H50" s="16" t="s">
        <v>31</v>
      </c>
      <c r="J50" s="16" t="s">
        <v>43</v>
      </c>
      <c r="K50" s="16" t="s">
        <v>33</v>
      </c>
      <c r="L50" s="31">
        <v>450.0</v>
      </c>
      <c r="N50" s="16"/>
      <c r="O50" s="16"/>
      <c r="P50" s="16" t="s">
        <v>34</v>
      </c>
      <c r="Q50" s="17">
        <f t="shared" si="1"/>
        <v>45423</v>
      </c>
      <c r="R50" s="18">
        <f t="shared" si="7"/>
        <v>135</v>
      </c>
      <c r="S50" s="20" t="b">
        <v>0</v>
      </c>
      <c r="T50" s="20" t="str">
        <f>VLOOKUP(A50,'Calendar ID'!$A:$C,3,false)</f>
        <v>orane.baron1403@gmail.com</v>
      </c>
      <c r="U50" s="19" t="b">
        <v>0</v>
      </c>
      <c r="V50" s="20" t="str">
        <f>VLOOKUP($A50,'Calendar ID'!$A:$C,2,false)</f>
        <v>c_b9aea0629908ddbafe7229688ea55dc9d65b9e6b1a8ed4492c7ca84aa703d076@group.calendar.google.com</v>
      </c>
      <c r="W50" s="19" t="b">
        <v>1</v>
      </c>
      <c r="X50" s="19" t="s">
        <v>82</v>
      </c>
      <c r="Y50" s="16"/>
      <c r="Z50" s="16"/>
      <c r="AA50" s="16"/>
      <c r="AB50" s="16"/>
      <c r="AC50" s="16"/>
    </row>
    <row r="51" hidden="1">
      <c r="A51" s="16" t="s">
        <v>91</v>
      </c>
      <c r="B51" s="17">
        <v>45435.0</v>
      </c>
      <c r="C51" s="16" t="s">
        <v>68</v>
      </c>
      <c r="E51" s="53">
        <v>45462.0</v>
      </c>
      <c r="F51" s="61">
        <v>45479.0</v>
      </c>
      <c r="G51" s="61">
        <v>45479.0</v>
      </c>
      <c r="H51" s="16" t="s">
        <v>31</v>
      </c>
      <c r="I51" s="16" t="s">
        <v>92</v>
      </c>
      <c r="J51" s="16" t="s">
        <v>43</v>
      </c>
      <c r="K51" s="16" t="s">
        <v>33</v>
      </c>
      <c r="L51" s="31">
        <v>300.0</v>
      </c>
      <c r="N51" s="16"/>
      <c r="O51" s="16"/>
      <c r="P51" s="16" t="s">
        <v>34</v>
      </c>
      <c r="Q51" s="17">
        <f t="shared" si="1"/>
        <v>45435</v>
      </c>
      <c r="R51" s="18">
        <f t="shared" si="7"/>
        <v>90</v>
      </c>
      <c r="S51" s="19" t="b">
        <v>0</v>
      </c>
      <c r="T51" s="20" t="str">
        <f>VLOOKUP(A51,'Calendar ID'!$A:$C,3,false)</f>
        <v>juliane.bernard57@icloud.com</v>
      </c>
      <c r="U51" s="19" t="b">
        <v>0</v>
      </c>
      <c r="V51" s="20" t="str">
        <f>VLOOKUP($A51,'Calendar ID'!$A:$C,2,false)</f>
        <v>c_f6970d92e9be72b1307e3c015a265d69ae87140c691e7728bc83462544d82455@group.calendar.google.com</v>
      </c>
      <c r="W51" s="19" t="b">
        <v>0</v>
      </c>
      <c r="X51" s="20" t="str">
        <f>VLOOKUP($A51,'Calendar ID'!$A:$C,2,false)</f>
        <v>c_f6970d92e9be72b1307e3c015a265d69ae87140c691e7728bc83462544d82455@group.calendar.google.com</v>
      </c>
      <c r="Y51" s="16"/>
      <c r="Z51" s="16"/>
      <c r="AA51" s="16"/>
      <c r="AB51" s="16"/>
      <c r="AC51" s="16"/>
    </row>
    <row r="52" hidden="1">
      <c r="A52" s="16" t="s">
        <v>45</v>
      </c>
      <c r="B52" s="17">
        <v>45425.0</v>
      </c>
      <c r="C52" s="29" t="s">
        <v>93</v>
      </c>
      <c r="E52" s="53">
        <v>45462.0</v>
      </c>
      <c r="F52" s="53">
        <v>45460.0</v>
      </c>
      <c r="G52" s="53">
        <v>45462.0</v>
      </c>
      <c r="H52" s="16" t="s">
        <v>31</v>
      </c>
      <c r="J52" s="16" t="s">
        <v>43</v>
      </c>
      <c r="K52" s="16" t="s">
        <v>33</v>
      </c>
      <c r="L52" s="31" t="s">
        <v>56</v>
      </c>
      <c r="N52" s="16"/>
      <c r="O52" s="16"/>
      <c r="P52" s="16"/>
      <c r="Q52" s="17">
        <f t="shared" si="1"/>
        <v>45425</v>
      </c>
      <c r="S52" s="20"/>
      <c r="T52" s="20" t="str">
        <f>VLOOKUP(A52,'Calendar ID'!$A:$C,3,false)</f>
        <v>lilyy.nl@grapperagency.com</v>
      </c>
      <c r="U52" s="19" t="b">
        <v>0</v>
      </c>
      <c r="V52" s="20" t="str">
        <f>VLOOKUP($A52,'Calendar ID'!$A:$C,2,false)</f>
        <v>c_665764ca21c8e4b3814e25bf24bc7074fa55890dce5d4073abb0fdddc70649d4@group.calendar.google.com</v>
      </c>
      <c r="W52" s="19" t="b">
        <v>0</v>
      </c>
      <c r="X52" s="20" t="str">
        <f>VLOOKUP($A52,'Calendar ID'!$A:$C,2,false)</f>
        <v>c_665764ca21c8e4b3814e25bf24bc7074fa55890dce5d4073abb0fdddc70649d4@group.calendar.google.com</v>
      </c>
      <c r="Y52" s="20"/>
      <c r="Z52" s="20"/>
      <c r="AA52" s="20"/>
      <c r="AB52" s="20"/>
      <c r="AC52" s="20"/>
    </row>
    <row r="53" hidden="1">
      <c r="A53" s="16" t="s">
        <v>65</v>
      </c>
      <c r="B53" s="17">
        <v>45428.0</v>
      </c>
      <c r="C53" s="16" t="s">
        <v>86</v>
      </c>
      <c r="E53" s="57">
        <v>45463.0</v>
      </c>
      <c r="G53" s="62">
        <v>45471.0</v>
      </c>
      <c r="H53" s="16" t="s">
        <v>31</v>
      </c>
      <c r="I53" s="16" t="s">
        <v>94</v>
      </c>
      <c r="J53" s="16" t="s">
        <v>43</v>
      </c>
      <c r="K53" s="23" t="s">
        <v>33</v>
      </c>
      <c r="L53" s="59">
        <v>241.28</v>
      </c>
      <c r="N53" s="16"/>
      <c r="O53" s="16"/>
      <c r="P53" s="16" t="s">
        <v>34</v>
      </c>
      <c r="Q53" s="17">
        <f t="shared" si="1"/>
        <v>45428</v>
      </c>
      <c r="R53" s="60">
        <f>L53*0.25</f>
        <v>60.32</v>
      </c>
      <c r="S53" s="20" t="b">
        <v>0</v>
      </c>
      <c r="T53" s="20" t="str">
        <f>VLOOKUP(A53,'Calendar ID'!$A:$C,3,false)</f>
        <v>imlolytahproacc@gmail.com</v>
      </c>
      <c r="U53" s="20" t="b">
        <v>0</v>
      </c>
      <c r="V53" s="20" t="str">
        <f>VLOOKUP($A53,'Calendar ID'!$A:$C,2,false)</f>
        <v>c_007bb5dfd61adc34e7d7f1093213e03f31b2abfb546bee3afc00b412de414680@group.calendar.google.com</v>
      </c>
      <c r="W53" s="19" t="b">
        <v>1</v>
      </c>
      <c r="X53" s="19" t="s">
        <v>82</v>
      </c>
      <c r="Y53" s="16"/>
      <c r="Z53" s="16"/>
      <c r="AA53" s="16"/>
      <c r="AB53" s="16"/>
      <c r="AC53" s="16"/>
    </row>
    <row r="54" hidden="1">
      <c r="A54" s="16" t="s">
        <v>53</v>
      </c>
      <c r="B54" s="17">
        <v>45451.0</v>
      </c>
      <c r="C54" s="16" t="s">
        <v>95</v>
      </c>
      <c r="E54" s="53">
        <v>45465.0</v>
      </c>
      <c r="G54" s="58">
        <v>45467.0</v>
      </c>
      <c r="H54" s="16" t="s">
        <v>31</v>
      </c>
      <c r="I54" s="16" t="s">
        <v>96</v>
      </c>
      <c r="J54" s="16" t="s">
        <v>97</v>
      </c>
      <c r="K54" s="16" t="s">
        <v>33</v>
      </c>
      <c r="L54" s="31" t="s">
        <v>56</v>
      </c>
      <c r="N54" s="16"/>
      <c r="O54" s="16"/>
      <c r="P54" s="16"/>
      <c r="Q54" s="17">
        <f t="shared" si="1"/>
        <v>45451</v>
      </c>
      <c r="S54" s="20"/>
      <c r="T54" s="20" t="str">
        <f>VLOOKUP(A54,'Calendar ID'!$A:$C,3,false)</f>
        <v>linamokrane75@yahoo.fr</v>
      </c>
      <c r="U54" s="19" t="b">
        <v>1</v>
      </c>
      <c r="V54" s="19" t="s">
        <v>82</v>
      </c>
      <c r="W54" s="19" t="b">
        <v>1</v>
      </c>
      <c r="X54" s="19" t="s">
        <v>82</v>
      </c>
      <c r="Y54" s="20"/>
      <c r="Z54" s="20"/>
      <c r="AA54" s="20"/>
      <c r="AB54" s="20"/>
      <c r="AC54" s="20"/>
    </row>
    <row r="55" hidden="1">
      <c r="A55" s="16" t="s">
        <v>76</v>
      </c>
      <c r="B55" s="17">
        <v>45423.0</v>
      </c>
      <c r="C55" s="29" t="s">
        <v>79</v>
      </c>
      <c r="E55" s="57">
        <v>45465.0</v>
      </c>
      <c r="G55" s="61">
        <v>45474.0</v>
      </c>
      <c r="H55" s="16" t="s">
        <v>31</v>
      </c>
      <c r="I55" s="16" t="s">
        <v>98</v>
      </c>
      <c r="J55" s="16" t="s">
        <v>43</v>
      </c>
      <c r="K55" s="16" t="s">
        <v>33</v>
      </c>
      <c r="L55" s="31">
        <v>450.0</v>
      </c>
      <c r="N55" s="16"/>
      <c r="O55" s="16"/>
      <c r="P55" s="16" t="s">
        <v>34</v>
      </c>
      <c r="Q55" s="17">
        <f t="shared" si="1"/>
        <v>45423</v>
      </c>
      <c r="R55" s="18">
        <f t="shared" ref="R55:R56" si="8">L55*0.3</f>
        <v>135</v>
      </c>
      <c r="S55" s="20" t="b">
        <v>0</v>
      </c>
      <c r="T55" s="20" t="str">
        <f>VLOOKUP(A55,'Calendar ID'!$A:$C,3,false)</f>
        <v>orane.baron1403@gmail.com</v>
      </c>
      <c r="U55" s="19" t="b">
        <v>1</v>
      </c>
      <c r="V55" s="19" t="s">
        <v>82</v>
      </c>
      <c r="W55" s="19" t="b">
        <v>1</v>
      </c>
      <c r="X55" s="19" t="s">
        <v>82</v>
      </c>
      <c r="Y55" s="16"/>
      <c r="Z55" s="16"/>
      <c r="AA55" s="16"/>
      <c r="AB55" s="16"/>
      <c r="AC55" s="16"/>
    </row>
    <row r="56" hidden="1">
      <c r="A56" s="16" t="s">
        <v>76</v>
      </c>
      <c r="B56" s="17">
        <v>45442.0</v>
      </c>
      <c r="C56" s="16" t="s">
        <v>81</v>
      </c>
      <c r="E56" s="53">
        <v>45466.0</v>
      </c>
      <c r="G56" s="58">
        <v>45469.0</v>
      </c>
      <c r="H56" s="16" t="s">
        <v>31</v>
      </c>
      <c r="J56" s="16" t="s">
        <v>43</v>
      </c>
      <c r="K56" s="16" t="s">
        <v>33</v>
      </c>
      <c r="L56" s="31">
        <v>250.0</v>
      </c>
      <c r="N56" s="16"/>
      <c r="O56" s="16"/>
      <c r="P56" s="16" t="s">
        <v>34</v>
      </c>
      <c r="Q56" s="17">
        <f t="shared" si="1"/>
        <v>45442</v>
      </c>
      <c r="R56" s="18">
        <f t="shared" si="8"/>
        <v>75</v>
      </c>
      <c r="S56" s="19" t="b">
        <v>0</v>
      </c>
      <c r="T56" s="20" t="str">
        <f>VLOOKUP(A56,'Calendar ID'!$A:$C,3,false)</f>
        <v>orane.baron1403@gmail.com</v>
      </c>
      <c r="U56" s="19" t="b">
        <v>1</v>
      </c>
      <c r="V56" s="19" t="s">
        <v>82</v>
      </c>
      <c r="W56" s="19" t="b">
        <v>1</v>
      </c>
      <c r="X56" s="19" t="s">
        <v>82</v>
      </c>
      <c r="Y56" s="16"/>
      <c r="Z56" s="16"/>
      <c r="AA56" s="16"/>
      <c r="AB56" s="16"/>
      <c r="AC56" s="16"/>
    </row>
    <row r="57" hidden="1">
      <c r="A57" s="16" t="s">
        <v>39</v>
      </c>
      <c r="B57" s="17">
        <v>45435.0</v>
      </c>
      <c r="C57" s="16" t="s">
        <v>68</v>
      </c>
      <c r="E57" s="58">
        <f>G57-7</f>
        <v>45467</v>
      </c>
      <c r="F57" s="61">
        <v>45474.0</v>
      </c>
      <c r="G57" s="61">
        <v>45474.0</v>
      </c>
      <c r="H57" s="16" t="s">
        <v>31</v>
      </c>
      <c r="I57" s="16" t="s">
        <v>92</v>
      </c>
      <c r="J57" s="16" t="s">
        <v>43</v>
      </c>
      <c r="K57" s="16" t="s">
        <v>33</v>
      </c>
      <c r="L57" s="31">
        <v>100.0</v>
      </c>
      <c r="N57" s="16"/>
      <c r="O57" s="16"/>
      <c r="P57" s="16" t="s">
        <v>34</v>
      </c>
      <c r="Q57" s="17">
        <f t="shared" si="1"/>
        <v>45435</v>
      </c>
      <c r="R57" s="18">
        <f>L57*0.2</f>
        <v>20</v>
      </c>
      <c r="S57" s="19" t="b">
        <v>0</v>
      </c>
      <c r="T57" s="20" t="str">
        <f>VLOOKUP(A57,'Calendar ID'!$A:$C,3,false)</f>
        <v>#N/A</v>
      </c>
      <c r="U57" s="19" t="b">
        <v>0</v>
      </c>
      <c r="V57" s="20" t="str">
        <f>VLOOKUP($A57,'Calendar ID'!$A:$C,2,false)</f>
        <v>#N/A</v>
      </c>
      <c r="W57" s="19" t="b">
        <v>0</v>
      </c>
      <c r="X57" s="20" t="str">
        <f>VLOOKUP($A57,'Calendar ID'!$A:$C,2,false)</f>
        <v>#N/A</v>
      </c>
      <c r="Y57" s="16"/>
      <c r="Z57" s="16"/>
      <c r="AA57" s="16"/>
      <c r="AB57" s="16"/>
      <c r="AC57" s="16"/>
    </row>
    <row r="58" hidden="1">
      <c r="A58" s="16" t="s">
        <v>45</v>
      </c>
      <c r="B58" s="11">
        <v>45392.0</v>
      </c>
      <c r="C58" s="16" t="s">
        <v>48</v>
      </c>
      <c r="E58" s="63">
        <v>45468.0</v>
      </c>
      <c r="F58" s="63">
        <v>45467.0</v>
      </c>
      <c r="G58" s="63">
        <v>45473.0</v>
      </c>
      <c r="H58" s="10" t="s">
        <v>31</v>
      </c>
      <c r="I58" s="7"/>
      <c r="J58" s="23" t="s">
        <v>49</v>
      </c>
      <c r="K58" s="16" t="s">
        <v>33</v>
      </c>
      <c r="L58" s="31">
        <v>400.0</v>
      </c>
      <c r="M58" s="7"/>
      <c r="N58" s="23"/>
      <c r="O58" s="23"/>
      <c r="P58" s="23" t="s">
        <v>34</v>
      </c>
      <c r="Q58" s="17">
        <f t="shared" si="1"/>
        <v>45392</v>
      </c>
      <c r="R58" s="18">
        <f>L58*0.25</f>
        <v>100</v>
      </c>
      <c r="S58" s="20" t="b">
        <v>0</v>
      </c>
      <c r="T58" s="20" t="str">
        <f>VLOOKUP(A58,'Calendar ID'!$A:$C,3,false)</f>
        <v>lilyy.nl@grapperagency.com</v>
      </c>
      <c r="U58" s="20" t="b">
        <v>0</v>
      </c>
      <c r="V58" s="20" t="str">
        <f>VLOOKUP($A58,'Calendar ID'!$A:$C,2,false)</f>
        <v>c_665764ca21c8e4b3814e25bf24bc7074fa55890dce5d4073abb0fdddc70649d4@group.calendar.google.com</v>
      </c>
      <c r="W58" s="19" t="b">
        <v>0</v>
      </c>
      <c r="X58" s="20" t="str">
        <f>VLOOKUP($A58,'Calendar ID'!$A:$C,2,false)</f>
        <v>c_665764ca21c8e4b3814e25bf24bc7074fa55890dce5d4073abb0fdddc70649d4@group.calendar.google.com</v>
      </c>
      <c r="Y58" s="16"/>
      <c r="Z58" s="16"/>
      <c r="AA58" s="16"/>
      <c r="AB58" s="16"/>
      <c r="AC58" s="16"/>
    </row>
    <row r="59" hidden="1">
      <c r="A59" s="16" t="s">
        <v>99</v>
      </c>
      <c r="B59" s="17">
        <v>45463.0</v>
      </c>
      <c r="C59" s="16" t="s">
        <v>100</v>
      </c>
      <c r="E59" s="58">
        <v>45472.0</v>
      </c>
      <c r="G59" s="58">
        <v>45473.0</v>
      </c>
      <c r="H59" s="16" t="s">
        <v>31</v>
      </c>
      <c r="J59" s="16" t="s">
        <v>97</v>
      </c>
      <c r="K59" s="16" t="s">
        <v>33</v>
      </c>
      <c r="L59" s="31" t="s">
        <v>56</v>
      </c>
      <c r="N59" s="16"/>
      <c r="O59" s="16"/>
      <c r="P59" s="16"/>
      <c r="Q59" s="17">
        <f t="shared" si="1"/>
        <v>45463</v>
      </c>
      <c r="S59" s="20"/>
      <c r="T59" s="20" t="str">
        <f>VLOOKUP(A59,'Calendar ID'!$A:$C,3,false)</f>
        <v>alicemauguin.l@gmail.com</v>
      </c>
      <c r="U59" s="20"/>
      <c r="V59" s="20" t="str">
        <f>VLOOKUP($A59,'Calendar ID'!$A:$C,2,false)</f>
        <v>c_569af196f9b5e28fc536ca0422e6405e6d4e402300b9504eaa944f45c672daff@group.calendar.google.com</v>
      </c>
      <c r="W59" s="20"/>
      <c r="X59" s="20" t="str">
        <f>VLOOKUP($A59,'Calendar ID'!$A:$C,2,false)</f>
        <v>c_569af196f9b5e28fc536ca0422e6405e6d4e402300b9504eaa944f45c672daff@group.calendar.google.com</v>
      </c>
      <c r="Y59" s="20"/>
      <c r="Z59" s="20"/>
      <c r="AA59" s="20"/>
      <c r="AB59" s="20"/>
      <c r="AC59" s="20"/>
    </row>
    <row r="60" hidden="1">
      <c r="A60" s="16" t="s">
        <v>42</v>
      </c>
      <c r="B60" s="17">
        <v>45461.0</v>
      </c>
      <c r="C60" s="16" t="s">
        <v>101</v>
      </c>
      <c r="E60" s="58">
        <v>45472.0</v>
      </c>
      <c r="G60" s="61">
        <v>45474.0</v>
      </c>
      <c r="H60" s="16" t="s">
        <v>31</v>
      </c>
      <c r="I60" s="16" t="s">
        <v>102</v>
      </c>
      <c r="J60" s="16" t="s">
        <v>43</v>
      </c>
      <c r="K60" s="16" t="s">
        <v>33</v>
      </c>
      <c r="L60" s="31">
        <v>1000.0</v>
      </c>
      <c r="N60" s="16"/>
      <c r="O60" s="16"/>
      <c r="P60" s="16" t="s">
        <v>34</v>
      </c>
      <c r="Q60" s="17">
        <f t="shared" si="1"/>
        <v>45461</v>
      </c>
      <c r="R60" s="18">
        <f>L60*0.25</f>
        <v>250</v>
      </c>
      <c r="S60" s="20"/>
      <c r="T60" s="20" t="str">
        <f>VLOOKUP(A60,'Calendar ID'!$A:$C,3,false)</f>
        <v>cmepls.pro@gmail.com</v>
      </c>
      <c r="U60" s="19" t="b">
        <v>1</v>
      </c>
      <c r="V60" s="19" t="s">
        <v>82</v>
      </c>
      <c r="W60" s="19" t="b">
        <v>1</v>
      </c>
      <c r="X60" s="19" t="s">
        <v>82</v>
      </c>
      <c r="Y60" s="16"/>
      <c r="Z60" s="16"/>
      <c r="AA60" s="16"/>
      <c r="AB60" s="16"/>
      <c r="AC60" s="16"/>
    </row>
    <row r="61" hidden="1">
      <c r="A61" s="16" t="s">
        <v>103</v>
      </c>
      <c r="B61" s="17">
        <v>45455.0</v>
      </c>
      <c r="C61" s="16" t="s">
        <v>52</v>
      </c>
      <c r="E61" s="58">
        <v>45472.0</v>
      </c>
      <c r="G61" s="17"/>
      <c r="H61" s="16" t="s">
        <v>31</v>
      </c>
      <c r="I61" s="16" t="s">
        <v>104</v>
      </c>
      <c r="J61" s="16" t="s">
        <v>43</v>
      </c>
      <c r="K61" s="16" t="s">
        <v>33</v>
      </c>
      <c r="L61" s="31">
        <v>100.0</v>
      </c>
      <c r="N61" s="16"/>
      <c r="O61" s="16"/>
      <c r="P61" s="16" t="s">
        <v>34</v>
      </c>
      <c r="Q61" s="17">
        <f t="shared" si="1"/>
        <v>45455</v>
      </c>
      <c r="R61" s="18">
        <f>L61*0.3</f>
        <v>30</v>
      </c>
      <c r="S61" s="20"/>
      <c r="T61" s="20" t="str">
        <f>VLOOKUP(A61,'Calendar ID'!$A:$C,3,false)</f>
        <v>lauclr.pro@gmail.com</v>
      </c>
      <c r="U61" s="19" t="b">
        <v>1</v>
      </c>
      <c r="V61" s="19" t="s">
        <v>82</v>
      </c>
      <c r="W61" s="19" t="b">
        <v>0</v>
      </c>
      <c r="X61" s="20" t="str">
        <f>VLOOKUP($A61,'Calendar ID'!$A:$C,2,false)</f>
        <v>c_d711460494b2c9d7a466bc3cd0cd029a9c5b76b083052f7dc41ad949a3753d20@group.calendar.google.com</v>
      </c>
      <c r="Y61" s="16"/>
      <c r="Z61" s="16"/>
      <c r="AA61" s="16"/>
      <c r="AB61" s="16"/>
      <c r="AC61" s="16"/>
    </row>
    <row r="62" hidden="1">
      <c r="A62" s="16" t="s">
        <v>57</v>
      </c>
      <c r="B62" s="17">
        <v>45435.0</v>
      </c>
      <c r="C62" s="16" t="s">
        <v>68</v>
      </c>
      <c r="E62" s="61">
        <v>45475.0</v>
      </c>
      <c r="F62" s="64">
        <v>45483.0</v>
      </c>
      <c r="G62" s="64">
        <v>45483.0</v>
      </c>
      <c r="H62" s="16" t="s">
        <v>31</v>
      </c>
      <c r="I62" s="17"/>
      <c r="J62" s="16" t="s">
        <v>43</v>
      </c>
      <c r="K62" s="16" t="s">
        <v>33</v>
      </c>
      <c r="L62" s="31">
        <v>100.0</v>
      </c>
      <c r="N62" s="16"/>
      <c r="O62" s="16"/>
      <c r="P62" s="16" t="s">
        <v>34</v>
      </c>
      <c r="Q62" s="17">
        <f t="shared" si="1"/>
        <v>45435</v>
      </c>
      <c r="R62" s="18">
        <f>L62*0.2</f>
        <v>20</v>
      </c>
      <c r="S62" s="19" t="b">
        <v>0</v>
      </c>
      <c r="T62" s="20" t="str">
        <f>VLOOKUP(A62,'Calendar ID'!$A:$C,3,false)</f>
        <v>fgirault3@gmail.com</v>
      </c>
      <c r="U62" s="19" t="b">
        <v>0</v>
      </c>
      <c r="V62" s="20" t="str">
        <f>VLOOKUP($A62,'Calendar ID'!$A:$C,2,false)</f>
        <v>c_b412638d97e7dcffa392ccd62e6d5e2eccb052c0c08de7e1e7d547811d81c44c@group.calendar.google.com</v>
      </c>
      <c r="W62" s="19" t="b">
        <v>0</v>
      </c>
      <c r="X62" s="20" t="str">
        <f>VLOOKUP($A62,'Calendar ID'!$A:$C,2,false)</f>
        <v>c_b412638d97e7dcffa392ccd62e6d5e2eccb052c0c08de7e1e7d547811d81c44c@group.calendar.google.com</v>
      </c>
      <c r="Y62" s="16"/>
      <c r="Z62" s="16"/>
      <c r="AA62" s="16"/>
      <c r="AB62" s="16"/>
      <c r="AC62" s="16"/>
    </row>
    <row r="63" hidden="1">
      <c r="A63" s="16" t="s">
        <v>103</v>
      </c>
      <c r="B63" s="17">
        <v>45455.0</v>
      </c>
      <c r="C63" s="16" t="s">
        <v>52</v>
      </c>
      <c r="E63" s="61">
        <v>45479.0</v>
      </c>
      <c r="G63" s="61">
        <v>45480.0</v>
      </c>
      <c r="H63" s="16" t="s">
        <v>31</v>
      </c>
      <c r="I63" s="16" t="s">
        <v>104</v>
      </c>
      <c r="J63" s="16" t="s">
        <v>43</v>
      </c>
      <c r="K63" s="16" t="s">
        <v>33</v>
      </c>
      <c r="L63" s="31">
        <v>100.0</v>
      </c>
      <c r="N63" s="16"/>
      <c r="O63" s="16"/>
      <c r="P63" s="16" t="s">
        <v>34</v>
      </c>
      <c r="Q63" s="17">
        <f t="shared" si="1"/>
        <v>45455</v>
      </c>
      <c r="R63" s="18">
        <f>L63*0.3</f>
        <v>30</v>
      </c>
      <c r="S63" s="20"/>
      <c r="T63" s="20" t="str">
        <f>VLOOKUP(A63,'Calendar ID'!$A:$C,3,false)</f>
        <v>lauclr.pro@gmail.com</v>
      </c>
      <c r="U63" s="20" t="b">
        <v>0</v>
      </c>
      <c r="V63" s="20" t="str">
        <f>VLOOKUP($A63,'Calendar ID'!$A:$C,2,false)</f>
        <v>c_d711460494b2c9d7a466bc3cd0cd029a9c5b76b083052f7dc41ad949a3753d20@group.calendar.google.com</v>
      </c>
      <c r="W63" s="19" t="b">
        <v>0</v>
      </c>
      <c r="X63" s="20" t="str">
        <f>VLOOKUP($A63,'Calendar ID'!$A:$C,2,false)</f>
        <v>c_d711460494b2c9d7a466bc3cd0cd029a9c5b76b083052f7dc41ad949a3753d20@group.calendar.google.com</v>
      </c>
      <c r="Y63" s="16"/>
      <c r="Z63" s="16"/>
      <c r="AA63" s="16"/>
      <c r="AB63" s="16"/>
      <c r="AC63" s="16"/>
    </row>
    <row r="64" hidden="1">
      <c r="A64" s="23" t="s">
        <v>42</v>
      </c>
      <c r="B64" s="17">
        <v>45467.0</v>
      </c>
      <c r="C64" s="23" t="s">
        <v>105</v>
      </c>
      <c r="E64" s="61">
        <v>45480.0</v>
      </c>
      <c r="F64" s="58">
        <v>45468.0</v>
      </c>
      <c r="G64" s="64">
        <v>45487.0</v>
      </c>
      <c r="H64" s="16" t="s">
        <v>31</v>
      </c>
      <c r="J64" s="16" t="s">
        <v>43</v>
      </c>
      <c r="K64" s="16" t="s">
        <v>33</v>
      </c>
      <c r="L64" s="31" t="s">
        <v>56</v>
      </c>
      <c r="N64" s="65" t="s">
        <v>106</v>
      </c>
      <c r="O64" s="16"/>
      <c r="P64" s="16"/>
      <c r="Q64" s="17">
        <f t="shared" si="1"/>
        <v>45467</v>
      </c>
      <c r="S64" s="20"/>
      <c r="T64" s="20" t="str">
        <f>VLOOKUP(A64,'Calendar ID'!$A:$C,3,false)</f>
        <v>cmepls.pro@gmail.com</v>
      </c>
      <c r="U64" s="19" t="b">
        <v>1</v>
      </c>
      <c r="V64" s="19" t="s">
        <v>82</v>
      </c>
      <c r="W64" s="19" t="b">
        <v>1</v>
      </c>
      <c r="X64" s="19" t="s">
        <v>82</v>
      </c>
      <c r="Y64" s="20"/>
      <c r="Z64" s="20"/>
      <c r="AA64" s="20"/>
      <c r="AB64" s="20"/>
      <c r="AC64" s="20"/>
    </row>
    <row r="65" hidden="1">
      <c r="A65" s="23" t="s">
        <v>36</v>
      </c>
      <c r="B65" s="17">
        <v>45467.0</v>
      </c>
      <c r="C65" s="23" t="s">
        <v>107</v>
      </c>
      <c r="E65" s="61">
        <v>45480.0</v>
      </c>
      <c r="F65" s="58">
        <v>45468.0</v>
      </c>
      <c r="G65" s="64">
        <v>45487.0</v>
      </c>
      <c r="H65" s="16" t="s">
        <v>31</v>
      </c>
      <c r="J65" s="16" t="s">
        <v>43</v>
      </c>
      <c r="K65" s="16" t="s">
        <v>33</v>
      </c>
      <c r="L65" s="31" t="s">
        <v>56</v>
      </c>
      <c r="N65" s="55" t="s">
        <v>108</v>
      </c>
      <c r="O65" s="16"/>
      <c r="P65" s="16"/>
      <c r="Q65" s="17">
        <f t="shared" si="1"/>
        <v>45467</v>
      </c>
      <c r="S65" s="20"/>
      <c r="T65" s="20" t="str">
        <f>VLOOKUP(A65,'Calendar ID'!$A:$C,3,false)</f>
        <v>chiara@grapperagency.com</v>
      </c>
      <c r="U65" s="19" t="b">
        <v>1</v>
      </c>
      <c r="V65" s="19" t="s">
        <v>82</v>
      </c>
      <c r="W65" s="19" t="b">
        <v>1</v>
      </c>
      <c r="X65" s="19" t="s">
        <v>82</v>
      </c>
      <c r="Y65" s="20"/>
      <c r="Z65" s="20"/>
      <c r="AA65" s="20"/>
      <c r="AB65" s="20"/>
      <c r="AC65" s="20"/>
    </row>
    <row r="66" hidden="1">
      <c r="A66" s="23" t="s">
        <v>53</v>
      </c>
      <c r="B66" s="17">
        <v>45467.0</v>
      </c>
      <c r="C66" s="23" t="s">
        <v>107</v>
      </c>
      <c r="E66" s="61">
        <v>45480.0</v>
      </c>
      <c r="F66" s="58">
        <v>45468.0</v>
      </c>
      <c r="G66" s="64">
        <v>45487.0</v>
      </c>
      <c r="H66" s="16" t="s">
        <v>31</v>
      </c>
      <c r="J66" s="16" t="s">
        <v>43</v>
      </c>
      <c r="K66" s="16" t="s">
        <v>33</v>
      </c>
      <c r="L66" s="31" t="s">
        <v>56</v>
      </c>
      <c r="N66" s="65" t="s">
        <v>109</v>
      </c>
      <c r="O66" s="16"/>
      <c r="P66" s="16"/>
      <c r="Q66" s="17">
        <f t="shared" si="1"/>
        <v>45467</v>
      </c>
      <c r="S66" s="20"/>
      <c r="T66" s="20" t="str">
        <f>VLOOKUP(A66,'Calendar ID'!$A:$C,3,false)</f>
        <v>linamokrane75@yahoo.fr</v>
      </c>
      <c r="U66" s="19" t="b">
        <v>1</v>
      </c>
      <c r="V66" s="19" t="s">
        <v>82</v>
      </c>
      <c r="W66" s="19" t="b">
        <v>1</v>
      </c>
      <c r="X66" s="19" t="s">
        <v>82</v>
      </c>
      <c r="Y66" s="20"/>
      <c r="Z66" s="20"/>
      <c r="AA66" s="20"/>
      <c r="AB66" s="20"/>
      <c r="AC66" s="20"/>
    </row>
    <row r="67" hidden="1">
      <c r="A67" s="23" t="s">
        <v>110</v>
      </c>
      <c r="B67" s="17">
        <v>45467.0</v>
      </c>
      <c r="C67" s="23" t="s">
        <v>105</v>
      </c>
      <c r="E67" s="61">
        <v>45480.0</v>
      </c>
      <c r="F67" s="58">
        <v>45468.0</v>
      </c>
      <c r="G67" s="64">
        <v>45487.0</v>
      </c>
      <c r="H67" s="16" t="s">
        <v>31</v>
      </c>
      <c r="I67" s="16" t="s">
        <v>111</v>
      </c>
      <c r="J67" s="16" t="s">
        <v>43</v>
      </c>
      <c r="K67" s="16" t="s">
        <v>33</v>
      </c>
      <c r="L67" s="31" t="s">
        <v>56</v>
      </c>
      <c r="N67" s="55" t="s">
        <v>112</v>
      </c>
      <c r="O67" s="16"/>
      <c r="P67" s="16"/>
      <c r="Q67" s="17">
        <f t="shared" si="1"/>
        <v>45467</v>
      </c>
      <c r="S67" s="20"/>
      <c r="T67" s="20" t="str">
        <f>VLOOKUP(A67,'Calendar ID'!$A:$C,3,false)</f>
        <v>terpperrine@gmail.com</v>
      </c>
      <c r="U67" s="19" t="b">
        <v>1</v>
      </c>
      <c r="V67" s="19" t="s">
        <v>82</v>
      </c>
      <c r="W67" s="19" t="b">
        <v>1</v>
      </c>
      <c r="X67" s="19" t="s">
        <v>82</v>
      </c>
      <c r="Y67" s="20"/>
      <c r="Z67" s="20"/>
      <c r="AA67" s="20"/>
      <c r="AB67" s="20"/>
      <c r="AC67" s="20"/>
    </row>
    <row r="68" hidden="1">
      <c r="A68" s="16" t="s">
        <v>113</v>
      </c>
      <c r="B68" s="17">
        <v>45454.0</v>
      </c>
      <c r="C68" s="29" t="s">
        <v>79</v>
      </c>
      <c r="E68" s="64">
        <v>45481.0</v>
      </c>
      <c r="G68" s="64">
        <v>45485.0</v>
      </c>
      <c r="H68" s="16" t="s">
        <v>31</v>
      </c>
      <c r="J68" s="16" t="s">
        <v>43</v>
      </c>
      <c r="K68" s="16" t="s">
        <v>33</v>
      </c>
      <c r="L68" s="31">
        <f>150/2</f>
        <v>75</v>
      </c>
      <c r="N68" s="55" t="s">
        <v>114</v>
      </c>
      <c r="O68" s="16"/>
      <c r="P68" s="16" t="s">
        <v>34</v>
      </c>
      <c r="Q68" s="17">
        <f t="shared" si="1"/>
        <v>45454</v>
      </c>
      <c r="R68" s="18">
        <f>L68*0.3</f>
        <v>22.5</v>
      </c>
      <c r="S68" s="20"/>
      <c r="T68" s="20" t="str">
        <f>VLOOKUP(A68,'Calendar ID'!$A:$C,3,false)</f>
        <v>lovelyMytb@gmail.com </v>
      </c>
      <c r="U68" s="19" t="b">
        <v>1</v>
      </c>
      <c r="V68" s="19" t="s">
        <v>82</v>
      </c>
      <c r="W68" s="19" t="b">
        <v>1</v>
      </c>
      <c r="X68" s="19" t="s">
        <v>82</v>
      </c>
      <c r="Y68" s="16"/>
      <c r="Z68" s="16"/>
      <c r="AA68" s="16"/>
      <c r="AB68" s="16"/>
      <c r="AC68" s="16"/>
    </row>
    <row r="69" hidden="1">
      <c r="A69" s="16" t="s">
        <v>57</v>
      </c>
      <c r="B69" s="17">
        <v>45371.0</v>
      </c>
      <c r="C69" s="16" t="s">
        <v>48</v>
      </c>
      <c r="E69" s="64">
        <v>45483.0</v>
      </c>
      <c r="F69" s="17"/>
      <c r="G69" s="64">
        <v>45485.0</v>
      </c>
      <c r="H69" s="16" t="s">
        <v>31</v>
      </c>
      <c r="J69" s="16" t="s">
        <v>43</v>
      </c>
      <c r="K69" s="16" t="s">
        <v>33</v>
      </c>
      <c r="L69" s="31" t="s">
        <v>56</v>
      </c>
      <c r="N69" s="16"/>
      <c r="O69" s="16"/>
      <c r="Q69" s="17">
        <f t="shared" si="1"/>
        <v>45371</v>
      </c>
      <c r="S69" s="20"/>
      <c r="T69" s="20" t="str">
        <f>VLOOKUP(A69,'Calendar ID'!$A:$C,3,false)</f>
        <v>fgirault3@gmail.com</v>
      </c>
      <c r="U69" s="20" t="b">
        <v>0</v>
      </c>
      <c r="V69" s="20" t="str">
        <f>VLOOKUP($A69,'Calendar ID'!$A:$C,2,false)</f>
        <v>c_b412638d97e7dcffa392ccd62e6d5e2eccb052c0c08de7e1e7d547811d81c44c@group.calendar.google.com</v>
      </c>
      <c r="W69" s="19" t="b">
        <v>0</v>
      </c>
      <c r="X69" s="20" t="str">
        <f>VLOOKUP($A69,'Calendar ID'!$A:$C,2,false)</f>
        <v>c_b412638d97e7dcffa392ccd62e6d5e2eccb052c0c08de7e1e7d547811d81c44c@group.calendar.google.com</v>
      </c>
      <c r="Y69" s="20"/>
      <c r="Z69" s="20"/>
      <c r="AA69" s="20"/>
      <c r="AB69" s="20"/>
      <c r="AC69" s="20"/>
    </row>
    <row r="70" hidden="1">
      <c r="A70" s="16" t="s">
        <v>110</v>
      </c>
      <c r="B70" s="17">
        <v>45454.0</v>
      </c>
      <c r="C70" s="29" t="s">
        <v>79</v>
      </c>
      <c r="E70" s="64">
        <v>45486.0</v>
      </c>
      <c r="G70" s="66">
        <v>45496.0</v>
      </c>
      <c r="H70" s="16" t="s">
        <v>31</v>
      </c>
      <c r="J70" s="16" t="s">
        <v>43</v>
      </c>
      <c r="K70" s="16" t="s">
        <v>33</v>
      </c>
      <c r="L70" s="31">
        <f>550/2</f>
        <v>275</v>
      </c>
      <c r="N70" s="55" t="s">
        <v>115</v>
      </c>
      <c r="O70" s="16"/>
      <c r="P70" s="16" t="s">
        <v>34</v>
      </c>
      <c r="Q70" s="17">
        <f t="shared" si="1"/>
        <v>45454</v>
      </c>
      <c r="R70" s="18">
        <f>L70*0.3</f>
        <v>82.5</v>
      </c>
      <c r="S70" s="20"/>
      <c r="T70" s="20" t="str">
        <f>VLOOKUP(A70,'Calendar ID'!$A:$C,3,false)</f>
        <v>terpperrine@gmail.com</v>
      </c>
      <c r="U70" s="19" t="b">
        <v>1</v>
      </c>
      <c r="V70" s="19" t="s">
        <v>82</v>
      </c>
      <c r="W70" s="19" t="b">
        <v>1</v>
      </c>
      <c r="X70" s="19" t="s">
        <v>82</v>
      </c>
      <c r="Y70" s="16"/>
      <c r="Z70" s="16"/>
      <c r="AA70" s="16"/>
      <c r="AB70" s="16"/>
      <c r="AC70" s="16"/>
    </row>
    <row r="71" hidden="1">
      <c r="A71" s="16" t="s">
        <v>76</v>
      </c>
      <c r="B71" s="17">
        <v>45489.0</v>
      </c>
      <c r="C71" s="16" t="s">
        <v>116</v>
      </c>
      <c r="E71" s="67">
        <v>45490.0</v>
      </c>
      <c r="G71" s="17"/>
      <c r="H71" s="10" t="s">
        <v>31</v>
      </c>
      <c r="J71" s="16" t="s">
        <v>97</v>
      </c>
      <c r="K71" s="23" t="s">
        <v>33</v>
      </c>
      <c r="L71" s="31" t="s">
        <v>56</v>
      </c>
      <c r="N71" s="55" t="s">
        <v>117</v>
      </c>
      <c r="O71" s="16"/>
      <c r="P71" s="16"/>
      <c r="Q71" s="17">
        <f t="shared" si="1"/>
        <v>45489</v>
      </c>
      <c r="S71" s="20"/>
      <c r="T71" s="68" t="str">
        <f>VLOOKUP(A71,'Calendar ID'!$A:$C,3,false)</f>
        <v>orane.baron1403@gmail.com</v>
      </c>
      <c r="U71" s="69" t="b">
        <v>1</v>
      </c>
      <c r="V71" s="70" t="s">
        <v>82</v>
      </c>
      <c r="W71" s="71" t="b">
        <v>0</v>
      </c>
      <c r="X71" s="68" t="str">
        <f>VLOOKUP($A71,'Calendar ID'!$A:$C,2,false)</f>
        <v>c_b9aea0629908ddbafe7229688ea55dc9d65b9e6b1a8ed4492c7ca84aa703d076@group.calendar.google.com</v>
      </c>
      <c r="Y71" s="20"/>
      <c r="Z71" s="20"/>
      <c r="AA71" s="20"/>
      <c r="AB71" s="20"/>
      <c r="AC71" s="20"/>
    </row>
    <row r="72" hidden="1">
      <c r="A72" s="16" t="s">
        <v>29</v>
      </c>
      <c r="B72" s="17">
        <v>45463.0</v>
      </c>
      <c r="C72" s="16" t="s">
        <v>118</v>
      </c>
      <c r="E72" s="67">
        <v>45490.0</v>
      </c>
      <c r="G72" s="66">
        <v>45497.0</v>
      </c>
      <c r="H72" s="16" t="s">
        <v>31</v>
      </c>
      <c r="J72" s="16" t="s">
        <v>43</v>
      </c>
      <c r="K72" s="16" t="s">
        <v>33</v>
      </c>
      <c r="L72" s="31">
        <v>150.0</v>
      </c>
      <c r="N72" s="55" t="s">
        <v>119</v>
      </c>
      <c r="O72" s="16"/>
      <c r="P72" s="16" t="s">
        <v>34</v>
      </c>
      <c r="Q72" s="17">
        <f t="shared" si="1"/>
        <v>45463</v>
      </c>
      <c r="R72" s="18">
        <f>L72*0.2</f>
        <v>30</v>
      </c>
      <c r="S72" s="20"/>
      <c r="T72" s="20" t="str">
        <f>VLOOKUP(A72,'Calendar ID'!$A:$C,3,false)</f>
        <v>pauline@grapperagency.com</v>
      </c>
      <c r="U72" s="19" t="b">
        <v>1</v>
      </c>
      <c r="V72" s="19" t="s">
        <v>82</v>
      </c>
      <c r="W72" s="19" t="b">
        <v>1</v>
      </c>
      <c r="X72" s="19" t="s">
        <v>82</v>
      </c>
      <c r="Y72" s="16"/>
      <c r="Z72" s="16"/>
      <c r="AA72" s="16"/>
      <c r="AB72" s="16"/>
      <c r="AC72" s="16"/>
    </row>
    <row r="73" hidden="1">
      <c r="A73" s="16" t="s">
        <v>89</v>
      </c>
      <c r="B73" s="17">
        <v>45454.0</v>
      </c>
      <c r="C73" s="29" t="s">
        <v>79</v>
      </c>
      <c r="E73" s="67">
        <v>45490.0</v>
      </c>
      <c r="G73" s="66">
        <v>45497.0</v>
      </c>
      <c r="H73" s="16" t="s">
        <v>31</v>
      </c>
      <c r="J73" s="16" t="s">
        <v>43</v>
      </c>
      <c r="K73" s="16" t="s">
        <v>33</v>
      </c>
      <c r="L73" s="31">
        <f>275/2</f>
        <v>137.5</v>
      </c>
      <c r="M73" s="18">
        <f>L73-R73</f>
        <v>96.25</v>
      </c>
      <c r="N73" s="65" t="s">
        <v>120</v>
      </c>
      <c r="O73" s="16"/>
      <c r="P73" s="16" t="s">
        <v>34</v>
      </c>
      <c r="Q73" s="17">
        <f t="shared" si="1"/>
        <v>45454</v>
      </c>
      <c r="R73" s="18">
        <f>L73*0.3</f>
        <v>41.25</v>
      </c>
      <c r="S73" s="20"/>
      <c r="T73" s="20" t="str">
        <f>VLOOKUP(A73,'Calendar ID'!$A:$C,3,false)</f>
        <v>lola140204@gmail.com</v>
      </c>
      <c r="U73" s="19" t="b">
        <v>1</v>
      </c>
      <c r="V73" s="19" t="s">
        <v>82</v>
      </c>
      <c r="W73" s="19" t="b">
        <v>0</v>
      </c>
      <c r="X73" s="20" t="str">
        <f>VLOOKUP($A73,'Calendar ID'!$A:$C,2,false)</f>
        <v>c_8f3f6ef786f2df9238426a478307dbddffb576ace587133cfa65ca553e2f967a@group.calendar.google.com</v>
      </c>
      <c r="Y73" s="16"/>
      <c r="Z73" s="16"/>
      <c r="AA73" s="16"/>
      <c r="AB73" s="16"/>
      <c r="AC73" s="16"/>
    </row>
    <row r="74" hidden="1">
      <c r="A74" s="16" t="s">
        <v>39</v>
      </c>
      <c r="B74" s="17">
        <v>45498.0</v>
      </c>
      <c r="C74" s="16" t="s">
        <v>121</v>
      </c>
      <c r="E74" s="67">
        <v>45491.0</v>
      </c>
      <c r="F74" s="67">
        <v>45492.0</v>
      </c>
      <c r="G74" s="66">
        <v>45495.0</v>
      </c>
      <c r="H74" s="16" t="s">
        <v>31</v>
      </c>
      <c r="J74" s="16" t="s">
        <v>43</v>
      </c>
      <c r="K74" s="16" t="s">
        <v>33</v>
      </c>
      <c r="L74" s="31" t="s">
        <v>56</v>
      </c>
      <c r="N74" s="55" t="s">
        <v>122</v>
      </c>
      <c r="O74" s="16"/>
      <c r="P74" s="16"/>
      <c r="Q74" s="17">
        <f t="shared" si="1"/>
        <v>45498</v>
      </c>
      <c r="S74" s="20"/>
      <c r="T74" s="20" t="str">
        <f>VLOOKUP(A74,'Calendar ID'!$A:$C,3,false)</f>
        <v>#N/A</v>
      </c>
      <c r="U74" s="19" t="b">
        <v>1</v>
      </c>
      <c r="V74" s="19" t="s">
        <v>82</v>
      </c>
      <c r="W74" s="19" t="b">
        <v>1</v>
      </c>
      <c r="X74" s="19" t="s">
        <v>82</v>
      </c>
      <c r="Y74" s="20"/>
      <c r="Z74" s="20"/>
      <c r="AA74" s="20"/>
      <c r="AB74" s="20"/>
      <c r="AC74" s="20"/>
    </row>
    <row r="75" hidden="1">
      <c r="A75" s="16" t="s">
        <v>110</v>
      </c>
      <c r="B75" s="17">
        <v>45498.0</v>
      </c>
      <c r="C75" s="16" t="s">
        <v>121</v>
      </c>
      <c r="E75" s="67">
        <v>45491.0</v>
      </c>
      <c r="F75" s="67">
        <v>45492.0</v>
      </c>
      <c r="G75" s="66">
        <v>45495.0</v>
      </c>
      <c r="H75" s="16" t="s">
        <v>31</v>
      </c>
      <c r="J75" s="16" t="s">
        <v>43</v>
      </c>
      <c r="K75" s="16" t="s">
        <v>33</v>
      </c>
      <c r="L75" s="31" t="s">
        <v>56</v>
      </c>
      <c r="N75" s="55" t="s">
        <v>123</v>
      </c>
      <c r="O75" s="16"/>
      <c r="P75" s="16"/>
      <c r="Q75" s="17">
        <f t="shared" si="1"/>
        <v>45498</v>
      </c>
      <c r="S75" s="20"/>
      <c r="T75" s="20" t="str">
        <f>VLOOKUP(A75,'Calendar ID'!$A:$C,3,false)</f>
        <v>terpperrine@gmail.com</v>
      </c>
      <c r="U75" s="19" t="b">
        <v>1</v>
      </c>
      <c r="V75" s="19" t="s">
        <v>82</v>
      </c>
      <c r="W75" s="19" t="b">
        <v>1</v>
      </c>
      <c r="X75" s="19" t="s">
        <v>82</v>
      </c>
      <c r="Y75" s="20"/>
      <c r="Z75" s="20"/>
      <c r="AA75" s="20"/>
      <c r="AB75" s="20"/>
      <c r="AC75" s="20"/>
    </row>
    <row r="76" hidden="1">
      <c r="A76" s="16" t="s">
        <v>113</v>
      </c>
      <c r="B76" s="17">
        <v>45498.0</v>
      </c>
      <c r="C76" s="16" t="s">
        <v>121</v>
      </c>
      <c r="E76" s="67">
        <v>45492.0</v>
      </c>
      <c r="F76" s="67">
        <v>45492.0</v>
      </c>
      <c r="G76" s="67">
        <v>45494.0</v>
      </c>
      <c r="H76" s="16" t="s">
        <v>31</v>
      </c>
      <c r="J76" s="16" t="s">
        <v>43</v>
      </c>
      <c r="K76" s="16" t="s">
        <v>33</v>
      </c>
      <c r="L76" s="31" t="s">
        <v>56</v>
      </c>
      <c r="N76" s="55" t="s">
        <v>124</v>
      </c>
      <c r="O76" s="16"/>
      <c r="P76" s="16"/>
      <c r="Q76" s="17">
        <f t="shared" si="1"/>
        <v>45498</v>
      </c>
      <c r="S76" s="20"/>
      <c r="T76" s="20" t="str">
        <f>VLOOKUP(A76,'Calendar ID'!$A:$C,3,false)</f>
        <v>lovelyMytb@gmail.com </v>
      </c>
      <c r="U76" s="19" t="b">
        <v>1</v>
      </c>
      <c r="V76" s="19" t="s">
        <v>82</v>
      </c>
      <c r="W76" s="19" t="b">
        <v>1</v>
      </c>
      <c r="X76" s="19" t="s">
        <v>82</v>
      </c>
      <c r="Y76" s="20"/>
      <c r="Z76" s="20"/>
      <c r="AA76" s="20"/>
      <c r="AB76" s="20"/>
      <c r="AC76" s="20"/>
    </row>
    <row r="77" hidden="1">
      <c r="A77" s="23" t="s">
        <v>29</v>
      </c>
      <c r="B77" s="17">
        <v>45467.0</v>
      </c>
      <c r="C77" s="23" t="s">
        <v>105</v>
      </c>
      <c r="E77" s="67">
        <v>45494.0</v>
      </c>
      <c r="F77" s="58">
        <v>45468.0</v>
      </c>
      <c r="G77" s="66">
        <v>45498.0</v>
      </c>
      <c r="H77" s="16" t="s">
        <v>31</v>
      </c>
      <c r="I77" s="16" t="s">
        <v>125</v>
      </c>
      <c r="J77" s="16" t="s">
        <v>43</v>
      </c>
      <c r="K77" s="16" t="s">
        <v>33</v>
      </c>
      <c r="L77" s="31" t="s">
        <v>56</v>
      </c>
      <c r="N77" s="55" t="s">
        <v>126</v>
      </c>
      <c r="O77" s="16"/>
      <c r="P77" s="16"/>
      <c r="Q77" s="17">
        <f t="shared" si="1"/>
        <v>45467</v>
      </c>
      <c r="S77" s="20"/>
      <c r="T77" s="20" t="str">
        <f>VLOOKUP(A77,'Calendar ID'!$A:$C,3,false)</f>
        <v>pauline@grapperagency.com</v>
      </c>
      <c r="U77" s="19" t="b">
        <v>1</v>
      </c>
      <c r="V77" s="19" t="s">
        <v>82</v>
      </c>
      <c r="W77" s="19" t="b">
        <v>1</v>
      </c>
      <c r="X77" s="19" t="s">
        <v>82</v>
      </c>
      <c r="Y77" s="20"/>
      <c r="Z77" s="20"/>
      <c r="AA77" s="20"/>
      <c r="AB77" s="20"/>
      <c r="AC77" s="20"/>
    </row>
    <row r="78" hidden="1">
      <c r="A78" s="16" t="s">
        <v>29</v>
      </c>
      <c r="B78" s="17">
        <v>45476.0</v>
      </c>
      <c r="C78" s="16" t="s">
        <v>127</v>
      </c>
      <c r="E78" s="67">
        <v>45494.0</v>
      </c>
      <c r="G78" s="17">
        <v>45541.0</v>
      </c>
      <c r="H78" s="10" t="s">
        <v>31</v>
      </c>
      <c r="I78" s="16" t="s">
        <v>128</v>
      </c>
      <c r="J78" s="7" t="s">
        <v>43</v>
      </c>
      <c r="K78" s="23" t="s">
        <v>33</v>
      </c>
      <c r="L78" s="31">
        <v>350.0</v>
      </c>
      <c r="N78" s="16"/>
      <c r="O78" s="16"/>
      <c r="P78" s="23" t="s">
        <v>34</v>
      </c>
      <c r="Q78" s="17">
        <f t="shared" si="1"/>
        <v>45476</v>
      </c>
      <c r="R78" s="15">
        <f>L78*0.2</f>
        <v>70</v>
      </c>
      <c r="S78" s="20"/>
      <c r="T78" s="68" t="str">
        <f>VLOOKUP(A78,'Calendar ID'!$A:$C,3,false)</f>
        <v>pauline@grapperagency.com</v>
      </c>
      <c r="U78" s="69" t="b">
        <v>1</v>
      </c>
      <c r="V78" s="70" t="s">
        <v>82</v>
      </c>
      <c r="W78" s="69" t="b">
        <v>1</v>
      </c>
      <c r="X78" s="70" t="s">
        <v>82</v>
      </c>
      <c r="Y78" s="16"/>
      <c r="Z78" s="16"/>
      <c r="AA78" s="16"/>
      <c r="AB78" s="16"/>
      <c r="AC78" s="16"/>
    </row>
    <row r="79" hidden="1">
      <c r="A79" s="16" t="s">
        <v>29</v>
      </c>
      <c r="B79" s="17">
        <v>45460.0</v>
      </c>
      <c r="C79" s="16" t="s">
        <v>54</v>
      </c>
      <c r="E79" s="66">
        <v>45495.0</v>
      </c>
      <c r="G79" s="66">
        <v>45499.0</v>
      </c>
      <c r="H79" s="16" t="s">
        <v>31</v>
      </c>
      <c r="I79" s="16" t="s">
        <v>111</v>
      </c>
      <c r="J79" s="16" t="s">
        <v>43</v>
      </c>
      <c r="K79" s="16" t="s">
        <v>33</v>
      </c>
      <c r="L79" s="31" t="s">
        <v>56</v>
      </c>
      <c r="N79" s="16"/>
      <c r="O79" s="16"/>
      <c r="P79" s="16"/>
      <c r="Q79" s="17">
        <f t="shared" si="1"/>
        <v>45460</v>
      </c>
      <c r="S79" s="20"/>
      <c r="T79" s="20" t="str">
        <f>VLOOKUP(A79,'Calendar ID'!$A:$C,3,false)</f>
        <v>pauline@grapperagency.com</v>
      </c>
      <c r="U79" s="20" t="b">
        <v>0</v>
      </c>
      <c r="V79" s="20" t="str">
        <f>VLOOKUP($A79,'Calendar ID'!$A:$C,2,false)</f>
        <v>c_a715193c206b2aa1e4b81b8a3772df33bf92c92611202a890a6bccecb2131fcb@group.calendar.google.com</v>
      </c>
      <c r="W79" s="19" t="b">
        <v>1</v>
      </c>
      <c r="X79" s="19" t="s">
        <v>82</v>
      </c>
      <c r="Y79" s="20"/>
      <c r="Z79" s="20"/>
      <c r="AA79" s="20"/>
      <c r="AB79" s="20"/>
      <c r="AC79" s="20"/>
    </row>
    <row r="80" hidden="1">
      <c r="A80" s="16" t="s">
        <v>29</v>
      </c>
      <c r="B80" s="17">
        <v>45463.0</v>
      </c>
      <c r="C80" s="16" t="s">
        <v>118</v>
      </c>
      <c r="E80" s="66">
        <v>45500.0</v>
      </c>
      <c r="G80" s="17"/>
      <c r="H80" s="16" t="s">
        <v>31</v>
      </c>
      <c r="J80" s="16" t="s">
        <v>43</v>
      </c>
      <c r="K80" s="16" t="s">
        <v>33</v>
      </c>
      <c r="L80" s="31">
        <v>150.0</v>
      </c>
      <c r="N80" s="55" t="s">
        <v>129</v>
      </c>
      <c r="O80" s="16"/>
      <c r="P80" s="16" t="s">
        <v>34</v>
      </c>
      <c r="Q80" s="17">
        <f t="shared" si="1"/>
        <v>45463</v>
      </c>
      <c r="R80" s="18">
        <f>L80*0.2</f>
        <v>30</v>
      </c>
      <c r="S80" s="20"/>
      <c r="T80" s="20" t="str">
        <f>VLOOKUP(A80,'Calendar ID'!$A:$C,3,false)</f>
        <v>pauline@grapperagency.com</v>
      </c>
      <c r="U80" s="19" t="b">
        <v>0</v>
      </c>
      <c r="V80" s="68" t="str">
        <f>VLOOKUP($A80,'Calendar ID'!$A:$C,2,false)</f>
        <v>c_a715193c206b2aa1e4b81b8a3772df33bf92c92611202a890a6bccecb2131fcb@group.calendar.google.com</v>
      </c>
      <c r="W80" s="19" t="b">
        <v>0</v>
      </c>
      <c r="X80" s="20" t="str">
        <f>VLOOKUP($A80,'Calendar ID'!$A:$C,2,false)</f>
        <v>c_a715193c206b2aa1e4b81b8a3772df33bf92c92611202a890a6bccecb2131fcb@group.calendar.google.com</v>
      </c>
      <c r="Y80" s="16"/>
      <c r="Z80" s="16"/>
      <c r="AA80" s="16"/>
      <c r="AB80" s="16"/>
      <c r="AC80" s="16"/>
    </row>
    <row r="81" hidden="1">
      <c r="A81" s="16" t="s">
        <v>89</v>
      </c>
      <c r="B81" s="17">
        <v>45454.0</v>
      </c>
      <c r="C81" s="29" t="s">
        <v>79</v>
      </c>
      <c r="E81" s="72">
        <v>45502.0</v>
      </c>
      <c r="G81" s="72">
        <v>45505.0</v>
      </c>
      <c r="H81" s="16" t="s">
        <v>31</v>
      </c>
      <c r="J81" s="16" t="s">
        <v>43</v>
      </c>
      <c r="K81" s="16" t="s">
        <v>33</v>
      </c>
      <c r="L81" s="31">
        <f>275/2</f>
        <v>137.5</v>
      </c>
      <c r="M81" s="18">
        <f t="shared" ref="M81:M82" si="9">L81-R81</f>
        <v>96.25</v>
      </c>
      <c r="N81" s="65" t="s">
        <v>130</v>
      </c>
      <c r="O81" s="16"/>
      <c r="P81" s="16" t="s">
        <v>34</v>
      </c>
      <c r="Q81" s="17">
        <f t="shared" si="1"/>
        <v>45454</v>
      </c>
      <c r="R81" s="18">
        <f t="shared" ref="R81:R86" si="10">L81*0.3</f>
        <v>41.25</v>
      </c>
      <c r="S81" s="20"/>
      <c r="T81" s="20" t="str">
        <f>VLOOKUP(A81,'Calendar ID'!$A:$C,3,false)</f>
        <v>lola140204@gmail.com</v>
      </c>
      <c r="U81" s="19" t="b">
        <v>1</v>
      </c>
      <c r="V81" s="19" t="s">
        <v>82</v>
      </c>
      <c r="W81" s="19" t="b">
        <v>0</v>
      </c>
      <c r="X81" s="20" t="str">
        <f>VLOOKUP($A81,'Calendar ID'!$A:$C,2,false)</f>
        <v>c_8f3f6ef786f2df9238426a478307dbddffb576ace587133cfa65ca553e2f967a@group.calendar.google.com</v>
      </c>
      <c r="Y81" s="16"/>
      <c r="Z81" s="16"/>
      <c r="AA81" s="16"/>
      <c r="AB81" s="16"/>
      <c r="AC81" s="16"/>
    </row>
    <row r="82" hidden="1">
      <c r="A82" s="16" t="s">
        <v>89</v>
      </c>
      <c r="B82" s="17">
        <v>45476.0</v>
      </c>
      <c r="C82" s="16" t="s">
        <v>127</v>
      </c>
      <c r="E82" s="66">
        <v>45501.0</v>
      </c>
      <c r="G82" s="17">
        <v>45543.0</v>
      </c>
      <c r="H82" s="10" t="s">
        <v>31</v>
      </c>
      <c r="I82" s="16" t="s">
        <v>131</v>
      </c>
      <c r="J82" s="7" t="s">
        <v>43</v>
      </c>
      <c r="K82" s="23" t="s">
        <v>33</v>
      </c>
      <c r="L82" s="31">
        <v>400.0</v>
      </c>
      <c r="M82" s="18">
        <f t="shared" si="9"/>
        <v>280</v>
      </c>
      <c r="N82" s="16"/>
      <c r="O82" s="16"/>
      <c r="P82" s="23" t="s">
        <v>34</v>
      </c>
      <c r="Q82" s="17">
        <f t="shared" si="1"/>
        <v>45476</v>
      </c>
      <c r="R82" s="15">
        <f t="shared" si="10"/>
        <v>120</v>
      </c>
      <c r="S82" s="20"/>
      <c r="T82" s="68" t="str">
        <f>VLOOKUP(A82,'Calendar ID'!$A:$C,3,false)</f>
        <v>lola140204@gmail.com</v>
      </c>
      <c r="U82" s="69" t="b">
        <v>1</v>
      </c>
      <c r="V82" s="70" t="s">
        <v>82</v>
      </c>
      <c r="W82" s="69" t="b">
        <v>1</v>
      </c>
      <c r="X82" s="70" t="s">
        <v>82</v>
      </c>
      <c r="Y82" s="16"/>
      <c r="Z82" s="16"/>
      <c r="AA82" s="16"/>
      <c r="AB82" s="16"/>
      <c r="AC82" s="16"/>
    </row>
    <row r="83" hidden="1">
      <c r="A83" s="16" t="s">
        <v>110</v>
      </c>
      <c r="B83" s="17">
        <v>45454.0</v>
      </c>
      <c r="C83" s="29" t="s">
        <v>79</v>
      </c>
      <c r="E83" s="72">
        <v>45503.0</v>
      </c>
      <c r="G83" s="73">
        <v>45510.0</v>
      </c>
      <c r="H83" s="16" t="s">
        <v>31</v>
      </c>
      <c r="J83" s="16" t="s">
        <v>43</v>
      </c>
      <c r="K83" s="16" t="s">
        <v>33</v>
      </c>
      <c r="L83" s="31">
        <f>550/2</f>
        <v>275</v>
      </c>
      <c r="N83" s="16"/>
      <c r="O83" s="16"/>
      <c r="P83" s="16" t="s">
        <v>34</v>
      </c>
      <c r="Q83" s="17">
        <f t="shared" si="1"/>
        <v>45454</v>
      </c>
      <c r="R83" s="18">
        <f t="shared" si="10"/>
        <v>82.5</v>
      </c>
      <c r="S83" s="20"/>
      <c r="T83" s="20" t="str">
        <f>VLOOKUP(A83,'Calendar ID'!$A:$C,3,false)</f>
        <v>terpperrine@gmail.com</v>
      </c>
      <c r="U83" s="19" t="b">
        <v>1</v>
      </c>
      <c r="V83" s="70" t="s">
        <v>82</v>
      </c>
      <c r="W83" s="19" t="b">
        <v>1</v>
      </c>
      <c r="X83" s="70" t="s">
        <v>82</v>
      </c>
      <c r="Y83" s="16"/>
      <c r="Z83" s="16"/>
      <c r="AA83" s="16"/>
      <c r="AB83" s="16"/>
      <c r="AC83" s="16"/>
    </row>
    <row r="84" hidden="1">
      <c r="A84" s="16" t="s">
        <v>89</v>
      </c>
      <c r="B84" s="17">
        <v>45470.0</v>
      </c>
      <c r="C84" s="16" t="s">
        <v>68</v>
      </c>
      <c r="E84" s="72">
        <v>45503.0</v>
      </c>
      <c r="G84" s="72">
        <v>45507.0</v>
      </c>
      <c r="H84" s="16" t="s">
        <v>31</v>
      </c>
      <c r="J84" s="16" t="s">
        <v>43</v>
      </c>
      <c r="K84" s="16" t="s">
        <v>33</v>
      </c>
      <c r="L84" s="31">
        <v>200.0</v>
      </c>
      <c r="M84" s="18">
        <f>L84-R84</f>
        <v>140</v>
      </c>
      <c r="N84" s="16"/>
      <c r="O84" s="16"/>
      <c r="P84" s="16" t="s">
        <v>34</v>
      </c>
      <c r="Q84" s="17">
        <f t="shared" si="1"/>
        <v>45470</v>
      </c>
      <c r="R84" s="18">
        <f t="shared" si="10"/>
        <v>60</v>
      </c>
      <c r="S84" s="20"/>
      <c r="T84" s="20" t="str">
        <f>VLOOKUP(A84,'Calendar ID'!$A:$C,3,false)</f>
        <v>lola140204@gmail.com</v>
      </c>
      <c r="U84" s="19" t="b">
        <v>1</v>
      </c>
      <c r="V84" s="19" t="s">
        <v>82</v>
      </c>
      <c r="W84" s="19" t="b">
        <v>1</v>
      </c>
      <c r="X84" s="19" t="s">
        <v>82</v>
      </c>
      <c r="Y84" s="16"/>
      <c r="Z84" s="16"/>
      <c r="AA84" s="16"/>
      <c r="AB84" s="16"/>
      <c r="AC84" s="16"/>
    </row>
    <row r="85" hidden="1">
      <c r="A85" s="23" t="s">
        <v>76</v>
      </c>
      <c r="B85" s="17">
        <v>45479.0</v>
      </c>
      <c r="C85" s="16" t="s">
        <v>118</v>
      </c>
      <c r="E85" s="72">
        <v>45503.0</v>
      </c>
      <c r="G85" s="72">
        <v>45506.0</v>
      </c>
      <c r="H85" s="10" t="s">
        <v>31</v>
      </c>
      <c r="I85" s="16" t="s">
        <v>132</v>
      </c>
      <c r="J85" s="7" t="s">
        <v>43</v>
      </c>
      <c r="K85" s="23" t="s">
        <v>33</v>
      </c>
      <c r="L85" s="31">
        <v>600.0</v>
      </c>
      <c r="N85" s="55" t="s">
        <v>133</v>
      </c>
      <c r="O85" s="16"/>
      <c r="P85" s="23" t="s">
        <v>34</v>
      </c>
      <c r="Q85" s="17">
        <f t="shared" si="1"/>
        <v>45479</v>
      </c>
      <c r="R85" s="15">
        <f t="shared" si="10"/>
        <v>180</v>
      </c>
      <c r="S85" s="20"/>
      <c r="T85" s="68" t="str">
        <f>VLOOKUP(A85,'Calendar ID'!$A:$C,3,false)</f>
        <v>orane.baron1403@gmail.com</v>
      </c>
      <c r="U85" s="69" t="b">
        <v>1</v>
      </c>
      <c r="V85" s="70" t="s">
        <v>82</v>
      </c>
      <c r="W85" s="69" t="b">
        <v>1</v>
      </c>
      <c r="X85" s="70" t="s">
        <v>82</v>
      </c>
      <c r="Y85" s="16"/>
      <c r="Z85" s="16"/>
      <c r="AA85" s="16"/>
      <c r="AB85" s="16"/>
      <c r="AC85" s="16"/>
    </row>
    <row r="86" hidden="1">
      <c r="A86" s="16" t="s">
        <v>113</v>
      </c>
      <c r="B86" s="17">
        <v>45454.0</v>
      </c>
      <c r="C86" s="29" t="s">
        <v>79</v>
      </c>
      <c r="G86" s="67">
        <v>45493.0</v>
      </c>
      <c r="H86" s="16" t="s">
        <v>31</v>
      </c>
      <c r="J86" s="16" t="s">
        <v>43</v>
      </c>
      <c r="K86" s="16" t="s">
        <v>33</v>
      </c>
      <c r="L86" s="31">
        <f>150/2</f>
        <v>75</v>
      </c>
      <c r="N86" s="65" t="s">
        <v>134</v>
      </c>
      <c r="O86" s="16"/>
      <c r="P86" s="16" t="s">
        <v>34</v>
      </c>
      <c r="Q86" s="17">
        <f t="shared" si="1"/>
        <v>45454</v>
      </c>
      <c r="R86" s="18">
        <f t="shared" si="10"/>
        <v>22.5</v>
      </c>
      <c r="S86" s="20"/>
      <c r="T86" s="20" t="str">
        <f>VLOOKUP(A86,'Calendar ID'!$A:$C,3,false)</f>
        <v>lovelyMytb@gmail.com </v>
      </c>
      <c r="U86" s="19" t="b">
        <v>1</v>
      </c>
      <c r="V86" s="19" t="s">
        <v>82</v>
      </c>
      <c r="W86" s="19" t="b">
        <v>1</v>
      </c>
      <c r="X86" s="19" t="s">
        <v>82</v>
      </c>
      <c r="Y86" s="16"/>
      <c r="Z86" s="16"/>
      <c r="AA86" s="16"/>
      <c r="AB86" s="16"/>
      <c r="AC86" s="16"/>
    </row>
    <row r="87" hidden="1">
      <c r="A87" s="16" t="s">
        <v>39</v>
      </c>
      <c r="B87" s="17">
        <v>45476.0</v>
      </c>
      <c r="C87" s="16" t="s">
        <v>127</v>
      </c>
      <c r="E87" s="72">
        <v>45506.0</v>
      </c>
      <c r="G87" s="17">
        <v>45543.0</v>
      </c>
      <c r="H87" s="10" t="s">
        <v>31</v>
      </c>
      <c r="I87" s="16" t="s">
        <v>135</v>
      </c>
      <c r="J87" s="7" t="s">
        <v>43</v>
      </c>
      <c r="K87" s="23" t="s">
        <v>33</v>
      </c>
      <c r="L87" s="31">
        <v>400.0</v>
      </c>
      <c r="N87" s="16"/>
      <c r="O87" s="16"/>
      <c r="P87" s="23" t="s">
        <v>34</v>
      </c>
      <c r="Q87" s="17">
        <f t="shared" si="1"/>
        <v>45476</v>
      </c>
      <c r="R87" s="15">
        <f>L87*0.2</f>
        <v>80</v>
      </c>
      <c r="S87" s="20"/>
      <c r="T87" s="68" t="str">
        <f>VLOOKUP(A87,'Calendar ID'!$A:$C,3,false)</f>
        <v>#N/A</v>
      </c>
      <c r="U87" s="69" t="b">
        <v>1</v>
      </c>
      <c r="V87" s="70" t="s">
        <v>82</v>
      </c>
      <c r="W87" s="69" t="b">
        <v>1</v>
      </c>
      <c r="X87" s="70" t="s">
        <v>82</v>
      </c>
      <c r="Y87" s="16"/>
      <c r="Z87" s="16"/>
      <c r="AA87" s="16"/>
      <c r="AB87" s="16"/>
      <c r="AC87" s="16"/>
    </row>
    <row r="88" hidden="1">
      <c r="A88" s="16" t="s">
        <v>136</v>
      </c>
      <c r="B88" s="17">
        <v>45457.0</v>
      </c>
      <c r="C88" s="29" t="s">
        <v>79</v>
      </c>
      <c r="E88" s="66">
        <v>45500.0</v>
      </c>
      <c r="G88" s="72">
        <v>45503.0</v>
      </c>
      <c r="H88" s="16" t="s">
        <v>31</v>
      </c>
      <c r="J88" s="16" t="s">
        <v>43</v>
      </c>
      <c r="K88" s="16" t="s">
        <v>33</v>
      </c>
      <c r="L88" s="31">
        <v>250.0</v>
      </c>
      <c r="N88" s="55" t="s">
        <v>137</v>
      </c>
      <c r="O88" s="16"/>
      <c r="P88" s="16" t="s">
        <v>34</v>
      </c>
      <c r="Q88" s="17">
        <f t="shared" si="1"/>
        <v>45457</v>
      </c>
      <c r="R88" s="18">
        <f t="shared" ref="R88:R89" si="11">L88*0.3</f>
        <v>75</v>
      </c>
      <c r="S88" s="20"/>
      <c r="T88" s="20" t="str">
        <f>VLOOKUP(A88,'Calendar ID'!$A:$C,3,false)</f>
        <v>liserdg.pro@gmail.com </v>
      </c>
      <c r="U88" s="19" t="b">
        <v>1</v>
      </c>
      <c r="V88" s="19" t="s">
        <v>82</v>
      </c>
      <c r="W88" s="19" t="b">
        <v>1</v>
      </c>
      <c r="X88" s="19" t="s">
        <v>82</v>
      </c>
      <c r="Y88" s="16"/>
      <c r="Z88" s="16"/>
      <c r="AA88" s="16"/>
      <c r="AB88" s="16"/>
      <c r="AC88" s="16"/>
    </row>
    <row r="89" hidden="1">
      <c r="A89" s="16" t="s">
        <v>136</v>
      </c>
      <c r="B89" s="17">
        <v>45457.0</v>
      </c>
      <c r="C89" s="29" t="s">
        <v>79</v>
      </c>
      <c r="D89" s="16" t="s">
        <v>138</v>
      </c>
      <c r="E89" s="73">
        <v>45511.0</v>
      </c>
      <c r="G89" s="73">
        <v>45513.0</v>
      </c>
      <c r="H89" s="16" t="s">
        <v>31</v>
      </c>
      <c r="J89" s="16" t="s">
        <v>43</v>
      </c>
      <c r="K89" s="16" t="s">
        <v>33</v>
      </c>
      <c r="L89" s="31">
        <v>250.0</v>
      </c>
      <c r="N89" s="55" t="s">
        <v>139</v>
      </c>
      <c r="O89" s="16"/>
      <c r="P89" s="16" t="s">
        <v>34</v>
      </c>
      <c r="Q89" s="17">
        <f t="shared" si="1"/>
        <v>45457</v>
      </c>
      <c r="R89" s="18">
        <f t="shared" si="11"/>
        <v>75</v>
      </c>
      <c r="S89" s="20"/>
      <c r="T89" s="20" t="str">
        <f>VLOOKUP(A89,'Calendar ID'!$A:$C,3,false)</f>
        <v>liserdg.pro@gmail.com </v>
      </c>
      <c r="U89" s="19" t="b">
        <v>0</v>
      </c>
      <c r="V89" s="19" t="s">
        <v>82</v>
      </c>
      <c r="W89" s="19" t="b">
        <v>1</v>
      </c>
      <c r="X89" s="19" t="s">
        <v>82</v>
      </c>
      <c r="Y89" s="16"/>
      <c r="Z89" s="16"/>
      <c r="AA89" s="16"/>
      <c r="AB89" s="16"/>
      <c r="AC89" s="16"/>
    </row>
    <row r="90" hidden="1">
      <c r="A90" s="16" t="s">
        <v>45</v>
      </c>
      <c r="B90" s="17">
        <v>45497.0</v>
      </c>
      <c r="C90" s="16" t="s">
        <v>140</v>
      </c>
      <c r="E90" s="73">
        <v>45512.0</v>
      </c>
      <c r="G90" s="17">
        <v>45520.0</v>
      </c>
      <c r="H90" s="10" t="s">
        <v>31</v>
      </c>
      <c r="I90" s="16" t="s">
        <v>141</v>
      </c>
      <c r="J90" s="16" t="s">
        <v>43</v>
      </c>
      <c r="K90" s="23" t="s">
        <v>33</v>
      </c>
      <c r="L90" s="31">
        <v>1000.0</v>
      </c>
      <c r="N90" s="55" t="s">
        <v>142</v>
      </c>
      <c r="O90" s="16"/>
      <c r="P90" s="23" t="s">
        <v>34</v>
      </c>
      <c r="Q90" s="17">
        <f t="shared" si="1"/>
        <v>45497</v>
      </c>
      <c r="R90" s="18">
        <f t="shared" ref="R90:R91" si="12">L90*0.25</f>
        <v>250</v>
      </c>
      <c r="S90" s="20"/>
      <c r="T90" s="68" t="str">
        <f>VLOOKUP(A90,'Calendar ID'!$A:$C,3,false)</f>
        <v>lilyy.nl@grapperagency.com</v>
      </c>
      <c r="U90" s="71" t="b">
        <v>0</v>
      </c>
      <c r="V90" s="68" t="str">
        <f>VLOOKUP($A90,'Calendar ID'!$A:$C,2,false)</f>
        <v>c_665764ca21c8e4b3814e25bf24bc7074fa55890dce5d4073abb0fdddc70649d4@group.calendar.google.com</v>
      </c>
      <c r="W90" s="71" t="b">
        <v>0</v>
      </c>
      <c r="X90" s="68" t="str">
        <f>VLOOKUP($A90,'Calendar ID'!$A:$C,2,false)</f>
        <v>c_665764ca21c8e4b3814e25bf24bc7074fa55890dce5d4073abb0fdddc70649d4@group.calendar.google.com</v>
      </c>
      <c r="Y90" s="16"/>
      <c r="Z90" s="16"/>
      <c r="AA90" s="16"/>
      <c r="AB90" s="16"/>
      <c r="AC90" s="16"/>
    </row>
    <row r="91" hidden="1">
      <c r="A91" s="23" t="s">
        <v>65</v>
      </c>
      <c r="B91" s="17">
        <v>45483.0</v>
      </c>
      <c r="C91" s="29" t="s">
        <v>79</v>
      </c>
      <c r="E91" s="73">
        <v>45511.0</v>
      </c>
      <c r="G91" s="73">
        <v>45512.0</v>
      </c>
      <c r="H91" s="10" t="s">
        <v>31</v>
      </c>
      <c r="I91" s="16" t="s">
        <v>143</v>
      </c>
      <c r="J91" s="7" t="s">
        <v>43</v>
      </c>
      <c r="K91" s="23" t="s">
        <v>33</v>
      </c>
      <c r="L91" s="31">
        <v>200.0</v>
      </c>
      <c r="N91" s="16"/>
      <c r="O91" s="16"/>
      <c r="P91" s="23" t="s">
        <v>34</v>
      </c>
      <c r="Q91" s="17">
        <f t="shared" si="1"/>
        <v>45483</v>
      </c>
      <c r="R91" s="18">
        <f t="shared" si="12"/>
        <v>50</v>
      </c>
      <c r="S91" s="20"/>
      <c r="T91" s="68" t="str">
        <f>VLOOKUP(A91,'Calendar ID'!$A:$C,3,false)</f>
        <v>imlolytahproacc@gmail.com</v>
      </c>
      <c r="U91" s="69" t="b">
        <v>1</v>
      </c>
      <c r="V91" s="70" t="s">
        <v>82</v>
      </c>
      <c r="W91" s="71" t="b">
        <v>0</v>
      </c>
      <c r="X91" s="68" t="str">
        <f>VLOOKUP($A91,'Calendar ID'!$A:$C,2,false)</f>
        <v>c_007bb5dfd61adc34e7d7f1093213e03f31b2abfb546bee3afc00b412de414680@group.calendar.google.com</v>
      </c>
      <c r="Y91" s="16"/>
      <c r="Z91" s="16"/>
      <c r="AA91" s="16"/>
      <c r="AB91" s="16"/>
      <c r="AC91" s="16"/>
    </row>
    <row r="92" hidden="1">
      <c r="A92" s="16" t="s">
        <v>39</v>
      </c>
      <c r="B92" s="17">
        <v>45483.0</v>
      </c>
      <c r="C92" s="29" t="s">
        <v>79</v>
      </c>
      <c r="D92" s="16" t="s">
        <v>144</v>
      </c>
      <c r="E92" s="73">
        <v>45512.0</v>
      </c>
      <c r="G92" s="17">
        <v>45519.0</v>
      </c>
      <c r="H92" s="16" t="s">
        <v>31</v>
      </c>
      <c r="J92" s="7" t="s">
        <v>43</v>
      </c>
      <c r="K92" s="23" t="s">
        <v>33</v>
      </c>
      <c r="L92" s="31">
        <v>150.0</v>
      </c>
      <c r="P92" s="23" t="s">
        <v>34</v>
      </c>
      <c r="Q92" s="17">
        <f t="shared" si="1"/>
        <v>45483</v>
      </c>
      <c r="R92" s="18">
        <f t="shared" ref="R92:R93" si="13">L92*0.2</f>
        <v>30</v>
      </c>
      <c r="S92" s="20"/>
      <c r="T92" s="68" t="str">
        <f>VLOOKUP(A92,'Calendar ID'!$A:$C,3,false)</f>
        <v>#N/A</v>
      </c>
      <c r="U92" s="69" t="b">
        <v>1</v>
      </c>
      <c r="V92" s="70" t="s">
        <v>82</v>
      </c>
      <c r="W92" s="69" t="b">
        <v>1</v>
      </c>
      <c r="X92" s="70" t="s">
        <v>82</v>
      </c>
      <c r="Y92" s="16"/>
      <c r="Z92" s="16"/>
      <c r="AA92" s="16"/>
      <c r="AB92" s="16"/>
      <c r="AC92" s="16"/>
    </row>
    <row r="93" hidden="1">
      <c r="A93" s="16" t="s">
        <v>39</v>
      </c>
      <c r="B93" s="17">
        <v>45483.0</v>
      </c>
      <c r="C93" s="29" t="s">
        <v>79</v>
      </c>
      <c r="E93" s="73">
        <v>45512.0</v>
      </c>
      <c r="G93" s="17"/>
      <c r="H93" s="16" t="s">
        <v>31</v>
      </c>
      <c r="J93" s="7" t="s">
        <v>43</v>
      </c>
      <c r="K93" s="23" t="s">
        <v>33</v>
      </c>
      <c r="L93" s="31">
        <v>150.0</v>
      </c>
      <c r="P93" s="23" t="s">
        <v>34</v>
      </c>
      <c r="Q93" s="17">
        <f t="shared" si="1"/>
        <v>45483</v>
      </c>
      <c r="R93" s="18">
        <f t="shared" si="13"/>
        <v>30</v>
      </c>
      <c r="S93" s="20"/>
      <c r="T93" s="68" t="str">
        <f>VLOOKUP(A93,'Calendar ID'!$A:$C,3,false)</f>
        <v>#N/A</v>
      </c>
      <c r="U93" s="69" t="b">
        <v>1</v>
      </c>
      <c r="V93" s="70" t="s">
        <v>82</v>
      </c>
      <c r="W93" s="71" t="b">
        <v>0</v>
      </c>
      <c r="X93" s="68" t="str">
        <f>VLOOKUP($A93,'Calendar ID'!$A:$C,2,false)</f>
        <v>#N/A</v>
      </c>
      <c r="Y93" s="16"/>
      <c r="Z93" s="16"/>
      <c r="AA93" s="16"/>
      <c r="AB93" s="16"/>
      <c r="AC93" s="16"/>
    </row>
    <row r="94" hidden="1">
      <c r="A94" s="16" t="s">
        <v>113</v>
      </c>
      <c r="B94" s="17">
        <v>45476.0</v>
      </c>
      <c r="C94" s="16" t="s">
        <v>127</v>
      </c>
      <c r="E94" s="73">
        <v>45515.0</v>
      </c>
      <c r="G94" s="17">
        <v>45542.0</v>
      </c>
      <c r="H94" s="10" t="s">
        <v>31</v>
      </c>
      <c r="I94" s="16" t="s">
        <v>145</v>
      </c>
      <c r="J94" s="7" t="s">
        <v>43</v>
      </c>
      <c r="K94" s="23" t="s">
        <v>33</v>
      </c>
      <c r="L94" s="31">
        <v>350.0</v>
      </c>
      <c r="N94" s="55" t="s">
        <v>146</v>
      </c>
      <c r="O94" s="16"/>
      <c r="P94" s="23" t="s">
        <v>34</v>
      </c>
      <c r="Q94" s="17">
        <f t="shared" si="1"/>
        <v>45476</v>
      </c>
      <c r="R94" s="15">
        <f t="shared" ref="R94:R95" si="14">L94*0.3</f>
        <v>105</v>
      </c>
      <c r="S94" s="20"/>
      <c r="T94" s="68" t="str">
        <f>VLOOKUP(A94,'Calendar ID'!$A:$C,3,false)</f>
        <v>lovelyMytb@gmail.com </v>
      </c>
      <c r="U94" s="69" t="b">
        <v>1</v>
      </c>
      <c r="V94" s="70" t="s">
        <v>82</v>
      </c>
      <c r="W94" s="69" t="b">
        <v>1</v>
      </c>
      <c r="X94" s="70" t="s">
        <v>82</v>
      </c>
      <c r="Y94" s="16"/>
      <c r="Z94" s="16"/>
      <c r="AA94" s="16"/>
      <c r="AB94" s="16"/>
      <c r="AC94" s="16"/>
    </row>
    <row r="95" hidden="1">
      <c r="A95" s="16" t="s">
        <v>76</v>
      </c>
      <c r="B95" s="17">
        <v>45505.0</v>
      </c>
      <c r="C95" s="29" t="s">
        <v>86</v>
      </c>
      <c r="E95" s="73">
        <v>45515.0</v>
      </c>
      <c r="G95" s="17"/>
      <c r="H95" s="10" t="s">
        <v>31</v>
      </c>
      <c r="I95" s="16" t="s">
        <v>147</v>
      </c>
      <c r="J95" s="16" t="s">
        <v>43</v>
      </c>
      <c r="K95" s="23" t="s">
        <v>33</v>
      </c>
      <c r="L95" s="59">
        <v>526.48</v>
      </c>
      <c r="N95" s="55" t="s">
        <v>148</v>
      </c>
      <c r="O95" s="16"/>
      <c r="P95" s="16" t="s">
        <v>34</v>
      </c>
      <c r="Q95" s="17">
        <f t="shared" si="1"/>
        <v>45505</v>
      </c>
      <c r="R95" s="60">
        <f t="shared" si="14"/>
        <v>157.944</v>
      </c>
      <c r="S95" s="20"/>
      <c r="T95" s="68" t="str">
        <f>VLOOKUP(A95,'Calendar ID'!$A:$C,3,false)</f>
        <v>orane.baron1403@gmail.com</v>
      </c>
      <c r="U95" s="69" t="b">
        <v>0</v>
      </c>
      <c r="V95" s="68" t="str">
        <f>VLOOKUP($A95,'Calendar ID'!$A:$C,2,false)</f>
        <v>c_b9aea0629908ddbafe7229688ea55dc9d65b9e6b1a8ed4492c7ca84aa703d076@group.calendar.google.com</v>
      </c>
      <c r="W95" s="69" t="b">
        <v>0</v>
      </c>
      <c r="X95" s="68" t="str">
        <f>VLOOKUP($A95,'Calendar ID'!$A:$C,2,false)</f>
        <v>c_b9aea0629908ddbafe7229688ea55dc9d65b9e6b1a8ed4492c7ca84aa703d076@group.calendar.google.com</v>
      </c>
      <c r="Y95" s="16"/>
      <c r="Z95" s="16"/>
      <c r="AA95" s="16"/>
      <c r="AB95" s="16"/>
      <c r="AC95" s="16"/>
    </row>
    <row r="96" hidden="1">
      <c r="A96" s="16" t="s">
        <v>42</v>
      </c>
      <c r="B96" s="17">
        <v>45483.0</v>
      </c>
      <c r="C96" s="29" t="s">
        <v>79</v>
      </c>
      <c r="E96" s="73">
        <v>45515.0</v>
      </c>
      <c r="G96" s="17">
        <v>45526.0</v>
      </c>
      <c r="H96" s="10" t="s">
        <v>31</v>
      </c>
      <c r="J96" s="7" t="s">
        <v>43</v>
      </c>
      <c r="K96" s="23" t="s">
        <v>33</v>
      </c>
      <c r="L96" s="31">
        <v>400.0</v>
      </c>
      <c r="N96" s="55" t="s">
        <v>149</v>
      </c>
      <c r="O96" s="16"/>
      <c r="P96" s="23" t="s">
        <v>34</v>
      </c>
      <c r="Q96" s="17">
        <f t="shared" si="1"/>
        <v>45483</v>
      </c>
      <c r="R96" s="18">
        <f t="shared" ref="R96:R98" si="15">L96*0.25</f>
        <v>100</v>
      </c>
      <c r="S96" s="20"/>
      <c r="T96" s="68" t="str">
        <f>VLOOKUP(A96,'Calendar ID'!$A:$C,3,false)</f>
        <v>cmepls.pro@gmail.com</v>
      </c>
      <c r="U96" s="69" t="b">
        <v>1</v>
      </c>
      <c r="V96" s="70" t="s">
        <v>82</v>
      </c>
      <c r="W96" s="69" t="b">
        <v>1</v>
      </c>
      <c r="X96" s="70" t="s">
        <v>82</v>
      </c>
      <c r="Y96" s="16"/>
      <c r="Z96" s="16"/>
      <c r="AA96" s="16"/>
      <c r="AB96" s="16"/>
      <c r="AC96" s="16"/>
    </row>
    <row r="97" hidden="1">
      <c r="A97" s="16" t="s">
        <v>42</v>
      </c>
      <c r="B97" s="17">
        <v>45483.0</v>
      </c>
      <c r="C97" s="74" t="s">
        <v>118</v>
      </c>
      <c r="E97" s="17">
        <v>45517.0</v>
      </c>
      <c r="F97" s="17">
        <v>45522.0</v>
      </c>
      <c r="G97" s="17"/>
      <c r="H97" s="10" t="s">
        <v>31</v>
      </c>
      <c r="I97" s="16" t="s">
        <v>132</v>
      </c>
      <c r="J97" s="7" t="s">
        <v>43</v>
      </c>
      <c r="K97" s="23" t="s">
        <v>33</v>
      </c>
      <c r="L97" s="31">
        <v>400.0</v>
      </c>
      <c r="P97" s="23" t="s">
        <v>34</v>
      </c>
      <c r="Q97" s="17">
        <f t="shared" si="1"/>
        <v>45483</v>
      </c>
      <c r="R97" s="18">
        <f t="shared" si="15"/>
        <v>100</v>
      </c>
      <c r="S97" s="20"/>
      <c r="T97" s="68" t="str">
        <f>VLOOKUP(A97,'Calendar ID'!$A:$C,3,false)</f>
        <v>cmepls.pro@gmail.com</v>
      </c>
      <c r="U97" s="69" t="b">
        <v>1</v>
      </c>
      <c r="V97" s="70" t="s">
        <v>82</v>
      </c>
      <c r="W97" s="71" t="b">
        <v>0</v>
      </c>
      <c r="X97" s="68" t="str">
        <f>VLOOKUP($A97,'Calendar ID'!$A:$C,2,false)</f>
        <v>c_15e3504fd6fde5b88106b6d99934e830e051067bbd4af855bfd432d30fc2f262@group.calendar.google.com</v>
      </c>
      <c r="Y97" s="16"/>
      <c r="Z97" s="16"/>
      <c r="AA97" s="16"/>
      <c r="AB97" s="16"/>
      <c r="AC97" s="16"/>
    </row>
    <row r="98" hidden="1">
      <c r="A98" s="16" t="s">
        <v>45</v>
      </c>
      <c r="B98" s="17">
        <v>45483.0</v>
      </c>
      <c r="C98" s="29" t="s">
        <v>79</v>
      </c>
      <c r="E98" s="73">
        <v>45515.0</v>
      </c>
      <c r="G98" s="17">
        <v>45529.0</v>
      </c>
      <c r="H98" s="16" t="s">
        <v>31</v>
      </c>
      <c r="I98" s="16" t="s">
        <v>73</v>
      </c>
      <c r="J98" s="7" t="s">
        <v>43</v>
      </c>
      <c r="K98" s="23" t="s">
        <v>33</v>
      </c>
      <c r="L98" s="31">
        <v>350.0</v>
      </c>
      <c r="N98" s="55" t="s">
        <v>150</v>
      </c>
      <c r="O98" s="16"/>
      <c r="P98" s="23" t="s">
        <v>34</v>
      </c>
      <c r="Q98" s="17">
        <f t="shared" si="1"/>
        <v>45483</v>
      </c>
      <c r="R98" s="18">
        <f t="shared" si="15"/>
        <v>87.5</v>
      </c>
      <c r="S98" s="20"/>
      <c r="T98" s="68" t="str">
        <f>VLOOKUP(A98,'Calendar ID'!$A:$C,3,false)</f>
        <v>lilyy.nl@grapperagency.com</v>
      </c>
      <c r="U98" s="69" t="b">
        <v>1</v>
      </c>
      <c r="V98" s="70" t="s">
        <v>82</v>
      </c>
      <c r="W98" s="69" t="b">
        <v>1</v>
      </c>
      <c r="X98" s="70" t="s">
        <v>82</v>
      </c>
      <c r="Y98" s="16"/>
      <c r="Z98" s="16"/>
      <c r="AA98" s="16"/>
      <c r="AB98" s="16"/>
      <c r="AC98" s="16"/>
    </row>
    <row r="99" hidden="1">
      <c r="A99" s="16" t="s">
        <v>29</v>
      </c>
      <c r="B99" s="17">
        <v>45497.0</v>
      </c>
      <c r="C99" s="16" t="s">
        <v>140</v>
      </c>
      <c r="E99" s="17">
        <v>45518.0</v>
      </c>
      <c r="G99" s="17"/>
      <c r="H99" s="10" t="s">
        <v>31</v>
      </c>
      <c r="J99" s="16" t="s">
        <v>43</v>
      </c>
      <c r="K99" s="23" t="s">
        <v>33</v>
      </c>
      <c r="L99" s="31">
        <v>200.0</v>
      </c>
      <c r="N99" s="55" t="s">
        <v>151</v>
      </c>
      <c r="O99" s="16"/>
      <c r="P99" s="23" t="s">
        <v>34</v>
      </c>
      <c r="Q99" s="17">
        <f t="shared" si="1"/>
        <v>45497</v>
      </c>
      <c r="R99" s="18">
        <f>L99*0.2</f>
        <v>40</v>
      </c>
      <c r="S99" s="20"/>
      <c r="T99" s="68" t="str">
        <f>VLOOKUP(A99,'Calendar ID'!$A:$C,3,false)</f>
        <v>pauline@grapperagency.com</v>
      </c>
      <c r="U99" s="71" t="b">
        <v>0</v>
      </c>
      <c r="V99" s="68" t="str">
        <f>VLOOKUP($A99,'Calendar ID'!$A:$C,2,false)</f>
        <v>c_a715193c206b2aa1e4b81b8a3772df33bf92c92611202a890a6bccecb2131fcb@group.calendar.google.com</v>
      </c>
      <c r="W99" s="69" t="b">
        <v>0</v>
      </c>
      <c r="X99" s="70" t="s">
        <v>152</v>
      </c>
      <c r="Y99" s="16"/>
      <c r="Z99" s="16"/>
      <c r="AA99" s="16"/>
      <c r="AB99" s="16"/>
      <c r="AC99" s="16"/>
    </row>
    <row r="100" hidden="1">
      <c r="A100" s="16" t="s">
        <v>110</v>
      </c>
      <c r="B100" s="17">
        <v>45477.0</v>
      </c>
      <c r="C100" s="16" t="s">
        <v>127</v>
      </c>
      <c r="E100" s="17">
        <v>45518.0</v>
      </c>
      <c r="G100" s="17">
        <v>45542.0</v>
      </c>
      <c r="H100" s="10" t="s">
        <v>31</v>
      </c>
      <c r="I100" s="16" t="s">
        <v>153</v>
      </c>
      <c r="J100" s="7" t="s">
        <v>43</v>
      </c>
      <c r="K100" s="23" t="s">
        <v>33</v>
      </c>
      <c r="L100" s="31">
        <v>500.0</v>
      </c>
      <c r="N100" s="65" t="s">
        <v>154</v>
      </c>
      <c r="O100" s="16"/>
      <c r="P100" s="23" t="s">
        <v>34</v>
      </c>
      <c r="Q100" s="17">
        <f t="shared" si="1"/>
        <v>45477</v>
      </c>
      <c r="R100" s="15">
        <f>L100*0.3</f>
        <v>150</v>
      </c>
      <c r="S100" s="20"/>
      <c r="T100" s="68" t="str">
        <f>VLOOKUP(A100,'Calendar ID'!$A:$C,3,false)</f>
        <v>terpperrine@gmail.com</v>
      </c>
      <c r="U100" s="69" t="b">
        <v>1</v>
      </c>
      <c r="V100" s="70" t="s">
        <v>82</v>
      </c>
      <c r="W100" s="69" t="b">
        <v>1</v>
      </c>
      <c r="X100" s="70" t="s">
        <v>82</v>
      </c>
      <c r="Y100" s="16"/>
      <c r="Z100" s="16"/>
      <c r="AA100" s="16"/>
      <c r="AB100" s="16"/>
      <c r="AC100" s="16"/>
    </row>
    <row r="101" hidden="1">
      <c r="A101" s="16" t="s">
        <v>42</v>
      </c>
      <c r="B101" s="17">
        <v>45496.0</v>
      </c>
      <c r="C101" s="16" t="s">
        <v>101</v>
      </c>
      <c r="E101" s="17">
        <v>45520.0</v>
      </c>
      <c r="F101" s="17"/>
      <c r="G101" s="17">
        <v>45522.0</v>
      </c>
      <c r="H101" s="10" t="s">
        <v>31</v>
      </c>
      <c r="I101" s="16" t="s">
        <v>155</v>
      </c>
      <c r="J101" s="7" t="s">
        <v>43</v>
      </c>
      <c r="K101" s="23" t="s">
        <v>33</v>
      </c>
      <c r="L101" s="31">
        <v>1000.0</v>
      </c>
      <c r="N101" s="16"/>
      <c r="O101" s="16"/>
      <c r="P101" s="23" t="s">
        <v>34</v>
      </c>
      <c r="Q101" s="17">
        <f t="shared" si="1"/>
        <v>45496</v>
      </c>
      <c r="R101" s="18">
        <f t="shared" ref="R101:R104" si="16">L101*0.25</f>
        <v>250</v>
      </c>
      <c r="S101" s="20"/>
      <c r="T101" s="68" t="str">
        <f>VLOOKUP(A101,'Calendar ID'!$A:$C,3,false)</f>
        <v>cmepls.pro@gmail.com</v>
      </c>
      <c r="U101" s="69" t="b">
        <v>1</v>
      </c>
      <c r="V101" s="70" t="s">
        <v>82</v>
      </c>
      <c r="W101" s="69" t="b">
        <v>1</v>
      </c>
      <c r="X101" s="70" t="s">
        <v>82</v>
      </c>
      <c r="Y101" s="16"/>
      <c r="Z101" s="16"/>
      <c r="AA101" s="16"/>
      <c r="AB101" s="16"/>
      <c r="AC101" s="16"/>
    </row>
    <row r="102" hidden="1">
      <c r="A102" s="16" t="s">
        <v>45</v>
      </c>
      <c r="B102" s="17">
        <v>45483.0</v>
      </c>
      <c r="C102" s="74" t="s">
        <v>118</v>
      </c>
      <c r="E102" s="17">
        <v>45522.0</v>
      </c>
      <c r="F102" s="17"/>
      <c r="G102" s="17"/>
      <c r="H102" s="10" t="s">
        <v>31</v>
      </c>
      <c r="I102" s="16" t="s">
        <v>156</v>
      </c>
      <c r="J102" s="7" t="s">
        <v>43</v>
      </c>
      <c r="K102" s="23" t="s">
        <v>33</v>
      </c>
      <c r="L102" s="31">
        <v>450.0</v>
      </c>
      <c r="N102" s="75"/>
      <c r="O102" s="60"/>
      <c r="P102" s="23" t="s">
        <v>34</v>
      </c>
      <c r="Q102" s="17">
        <f t="shared" si="1"/>
        <v>45483</v>
      </c>
      <c r="R102" s="18">
        <f t="shared" si="16"/>
        <v>112.5</v>
      </c>
      <c r="S102" s="20"/>
      <c r="T102" s="68" t="str">
        <f>VLOOKUP(A102,'Calendar ID'!$A:$C,3,false)</f>
        <v>lilyy.nl@grapperagency.com</v>
      </c>
      <c r="U102" s="69" t="b">
        <v>1</v>
      </c>
      <c r="V102" s="70" t="s">
        <v>82</v>
      </c>
      <c r="W102" s="71" t="b">
        <v>0</v>
      </c>
      <c r="X102" s="68" t="str">
        <f>VLOOKUP($A102,'Calendar ID'!$A:$C,2,false)</f>
        <v>c_665764ca21c8e4b3814e25bf24bc7074fa55890dce5d4073abb0fdddc70649d4@group.calendar.google.com</v>
      </c>
      <c r="Y102" s="16"/>
      <c r="Z102" s="16"/>
      <c r="AA102" s="16"/>
      <c r="AB102" s="16"/>
      <c r="AC102" s="16"/>
    </row>
    <row r="103" hidden="1">
      <c r="A103" s="16" t="s">
        <v>42</v>
      </c>
      <c r="B103" s="17">
        <v>45457.0</v>
      </c>
      <c r="C103" s="16" t="s">
        <v>52</v>
      </c>
      <c r="E103" s="17">
        <v>45523.0</v>
      </c>
      <c r="G103" s="17">
        <v>45525.0</v>
      </c>
      <c r="H103" s="16" t="s">
        <v>31</v>
      </c>
      <c r="J103" s="16" t="s">
        <v>43</v>
      </c>
      <c r="K103" s="16" t="s">
        <v>33</v>
      </c>
      <c r="L103" s="31">
        <v>200.0</v>
      </c>
      <c r="N103" s="16"/>
      <c r="O103" s="16"/>
      <c r="P103" s="16" t="s">
        <v>34</v>
      </c>
      <c r="Q103" s="17">
        <f t="shared" si="1"/>
        <v>45457</v>
      </c>
      <c r="R103" s="18">
        <f t="shared" si="16"/>
        <v>50</v>
      </c>
      <c r="S103" s="20"/>
      <c r="T103" s="20" t="str">
        <f>VLOOKUP(A103,'Calendar ID'!$A:$C,3,false)</f>
        <v>cmepls.pro@gmail.com</v>
      </c>
      <c r="U103" s="19" t="b">
        <v>1</v>
      </c>
      <c r="V103" s="70" t="s">
        <v>82</v>
      </c>
      <c r="W103" s="19" t="b">
        <v>1</v>
      </c>
      <c r="X103" s="19" t="s">
        <v>82</v>
      </c>
      <c r="Y103" s="16"/>
      <c r="Z103" s="16"/>
      <c r="AA103" s="16"/>
      <c r="AB103" s="16"/>
      <c r="AC103" s="16"/>
    </row>
    <row r="104" hidden="1">
      <c r="A104" s="16" t="s">
        <v>157</v>
      </c>
      <c r="B104" s="17">
        <v>45494.0</v>
      </c>
      <c r="C104" s="16" t="s">
        <v>52</v>
      </c>
      <c r="E104" s="17">
        <v>45523.0</v>
      </c>
      <c r="G104" s="17">
        <v>45524.0</v>
      </c>
      <c r="H104" s="10" t="s">
        <v>31</v>
      </c>
      <c r="J104" s="7" t="s">
        <v>43</v>
      </c>
      <c r="K104" s="23" t="s">
        <v>33</v>
      </c>
      <c r="L104" s="31">
        <v>350.0</v>
      </c>
      <c r="P104" s="23" t="s">
        <v>34</v>
      </c>
      <c r="Q104" s="17">
        <f t="shared" si="1"/>
        <v>45494</v>
      </c>
      <c r="R104" s="18">
        <f t="shared" si="16"/>
        <v>87.5</v>
      </c>
      <c r="S104" s="20"/>
      <c r="T104" s="68" t="str">
        <f>VLOOKUP(A104,'Calendar ID'!$A:$C,3,false)</f>
        <v>jeannebayart@gmail.com</v>
      </c>
      <c r="U104" s="69" t="b">
        <v>1</v>
      </c>
      <c r="V104" s="70" t="s">
        <v>82</v>
      </c>
      <c r="W104" s="69" t="b">
        <v>1</v>
      </c>
      <c r="X104" s="70" t="s">
        <v>82</v>
      </c>
      <c r="Y104" s="16"/>
      <c r="Z104" s="16"/>
      <c r="AA104" s="16" t="s">
        <v>158</v>
      </c>
      <c r="AB104" s="16"/>
      <c r="AC104" s="20" t="str">
        <f>VLOOKUP($A104,'Calendar ID'!$A:$D,4,FALSE)</f>
        <v>1F40mnL3JpqXpe0o5qrbDG4GuV9h68eR7gA-3pUAyNHM</v>
      </c>
    </row>
    <row r="105" hidden="1">
      <c r="A105" s="16" t="s">
        <v>39</v>
      </c>
      <c r="B105" s="17">
        <v>45510.0</v>
      </c>
      <c r="C105" s="16" t="s">
        <v>101</v>
      </c>
      <c r="E105" s="17">
        <v>45523.0</v>
      </c>
      <c r="G105" s="17">
        <v>45527.0</v>
      </c>
      <c r="H105" s="10" t="s">
        <v>31</v>
      </c>
      <c r="I105" s="16" t="s">
        <v>159</v>
      </c>
      <c r="J105" s="16" t="s">
        <v>43</v>
      </c>
      <c r="K105" s="23" t="s">
        <v>33</v>
      </c>
      <c r="L105" s="31">
        <v>625.0</v>
      </c>
      <c r="N105" s="16"/>
      <c r="O105" s="16"/>
      <c r="P105" s="16" t="s">
        <v>34</v>
      </c>
      <c r="Q105" s="17">
        <f t="shared" si="1"/>
        <v>45510</v>
      </c>
      <c r="R105" s="18">
        <f>L105*0.2</f>
        <v>125</v>
      </c>
      <c r="S105" s="20"/>
      <c r="T105" s="68" t="str">
        <f>VLOOKUP(A105,'Calendar ID'!$A:$C,3,false)</f>
        <v>#N/A</v>
      </c>
      <c r="U105" s="69" t="b">
        <v>1</v>
      </c>
      <c r="V105" s="70" t="s">
        <v>82</v>
      </c>
      <c r="W105" s="69" t="b">
        <v>1</v>
      </c>
      <c r="X105" s="70" t="s">
        <v>82</v>
      </c>
      <c r="AA105" s="29"/>
    </row>
    <row r="106" hidden="1">
      <c r="A106" s="16" t="s">
        <v>42</v>
      </c>
      <c r="B106" s="17">
        <v>45497.0</v>
      </c>
      <c r="C106" s="16" t="s">
        <v>160</v>
      </c>
      <c r="E106" s="17">
        <v>45524.0</v>
      </c>
      <c r="G106" s="17">
        <v>45537.0</v>
      </c>
      <c r="H106" s="10" t="s">
        <v>31</v>
      </c>
      <c r="I106" s="16" t="s">
        <v>161</v>
      </c>
      <c r="J106" s="16" t="s">
        <v>43</v>
      </c>
      <c r="K106" s="23" t="s">
        <v>33</v>
      </c>
      <c r="L106" s="31">
        <v>1250.0</v>
      </c>
      <c r="N106" s="16"/>
      <c r="O106" s="16"/>
      <c r="P106" s="23" t="s">
        <v>34</v>
      </c>
      <c r="Q106" s="17">
        <f t="shared" si="1"/>
        <v>45497</v>
      </c>
      <c r="R106" s="18">
        <f t="shared" ref="R106:R107" si="17">L106*0.25</f>
        <v>312.5</v>
      </c>
      <c r="S106" s="20"/>
      <c r="T106" s="68" t="str">
        <f>VLOOKUP(A106,'Calendar ID'!$A:$C,3,false)</f>
        <v>cmepls.pro@gmail.com</v>
      </c>
      <c r="U106" s="69" t="b">
        <v>1</v>
      </c>
      <c r="V106" s="70" t="s">
        <v>82</v>
      </c>
      <c r="W106" s="69" t="b">
        <v>1</v>
      </c>
      <c r="X106" s="70" t="s">
        <v>82</v>
      </c>
      <c r="Y106" s="16"/>
      <c r="Z106" s="16"/>
      <c r="AA106" s="16"/>
      <c r="AB106" s="16"/>
      <c r="AC106" s="16"/>
    </row>
    <row r="107" hidden="1">
      <c r="A107" s="16" t="s">
        <v>42</v>
      </c>
      <c r="B107" s="17">
        <v>45457.0</v>
      </c>
      <c r="C107" s="16" t="s">
        <v>52</v>
      </c>
      <c r="E107" s="17">
        <v>45525.0</v>
      </c>
      <c r="G107" s="17"/>
      <c r="H107" s="16" t="s">
        <v>31</v>
      </c>
      <c r="J107" s="16" t="s">
        <v>43</v>
      </c>
      <c r="K107" s="16" t="s">
        <v>33</v>
      </c>
      <c r="L107" s="31">
        <v>200.0</v>
      </c>
      <c r="N107" s="55" t="s">
        <v>162</v>
      </c>
      <c r="O107" s="16"/>
      <c r="P107" s="16" t="s">
        <v>34</v>
      </c>
      <c r="Q107" s="17">
        <f t="shared" si="1"/>
        <v>45457</v>
      </c>
      <c r="R107" s="18">
        <f t="shared" si="17"/>
        <v>50</v>
      </c>
      <c r="S107" s="20"/>
      <c r="T107" s="20" t="str">
        <f>VLOOKUP(A107,'Calendar ID'!$A:$C,3,false)</f>
        <v>cmepls.pro@gmail.com</v>
      </c>
      <c r="U107" s="19" t="b">
        <v>0</v>
      </c>
      <c r="V107" s="68" t="str">
        <f>VLOOKUP($A107,'Calendar ID'!$A:$C,2,false)</f>
        <v>c_15e3504fd6fde5b88106b6d99934e830e051067bbd4af855bfd432d30fc2f262@group.calendar.google.com</v>
      </c>
      <c r="W107" s="19" t="b">
        <v>0</v>
      </c>
      <c r="X107" s="20" t="str">
        <f>VLOOKUP($A107,'Calendar ID'!$A:$C,2,false)</f>
        <v>c_15e3504fd6fde5b88106b6d99934e830e051067bbd4af855bfd432d30fc2f262@group.calendar.google.com</v>
      </c>
      <c r="Y107" s="16"/>
      <c r="Z107" s="16"/>
      <c r="AA107" s="16"/>
      <c r="AB107" s="16"/>
      <c r="AC107" s="16"/>
    </row>
    <row r="108" hidden="1">
      <c r="A108" s="16" t="s">
        <v>39</v>
      </c>
      <c r="B108" s="17">
        <v>45502.0</v>
      </c>
      <c r="C108" s="16" t="s">
        <v>163</v>
      </c>
      <c r="E108" s="17">
        <v>45525.0</v>
      </c>
      <c r="G108" s="17">
        <v>45532.0</v>
      </c>
      <c r="H108" s="10" t="s">
        <v>31</v>
      </c>
      <c r="I108" s="16" t="s">
        <v>164</v>
      </c>
      <c r="J108" s="16" t="s">
        <v>97</v>
      </c>
      <c r="K108" s="23" t="s">
        <v>33</v>
      </c>
      <c r="L108" s="31" t="s">
        <v>56</v>
      </c>
      <c r="N108" s="55" t="s">
        <v>165</v>
      </c>
      <c r="O108" s="16"/>
      <c r="P108" s="16"/>
      <c r="Q108" s="17">
        <f t="shared" si="1"/>
        <v>45502</v>
      </c>
      <c r="S108" s="20"/>
      <c r="T108" s="68" t="str">
        <f>VLOOKUP(A108,'Calendar ID'!$A:$C,3,false)</f>
        <v>#N/A</v>
      </c>
      <c r="U108" s="69" t="b">
        <v>1</v>
      </c>
      <c r="V108" s="70" t="s">
        <v>82</v>
      </c>
      <c r="W108" s="69" t="b">
        <v>1</v>
      </c>
      <c r="X108" s="70" t="s">
        <v>82</v>
      </c>
      <c r="Y108" s="20"/>
      <c r="Z108" s="20"/>
      <c r="AA108" s="20"/>
      <c r="AB108" s="20"/>
      <c r="AC108" s="20"/>
    </row>
    <row r="109" hidden="1">
      <c r="A109" s="16" t="s">
        <v>42</v>
      </c>
      <c r="B109" s="17">
        <v>45503.0</v>
      </c>
      <c r="C109" s="16" t="s">
        <v>163</v>
      </c>
      <c r="E109" s="17">
        <v>45526.0</v>
      </c>
      <c r="G109" s="17">
        <v>45528.0</v>
      </c>
      <c r="H109" s="10" t="s">
        <v>31</v>
      </c>
      <c r="J109" s="16" t="s">
        <v>97</v>
      </c>
      <c r="K109" s="23" t="s">
        <v>33</v>
      </c>
      <c r="L109" s="31" t="s">
        <v>56</v>
      </c>
      <c r="N109" s="55" t="s">
        <v>166</v>
      </c>
      <c r="O109" s="16"/>
      <c r="P109" s="16"/>
      <c r="Q109" s="17">
        <f t="shared" si="1"/>
        <v>45503</v>
      </c>
      <c r="S109" s="20"/>
      <c r="T109" s="68" t="str">
        <f>VLOOKUP(A109,'Calendar ID'!$A:$C,3,false)</f>
        <v>cmepls.pro@gmail.com</v>
      </c>
      <c r="U109" s="69" t="b">
        <v>1</v>
      </c>
      <c r="V109" s="70" t="s">
        <v>82</v>
      </c>
      <c r="W109" s="69" t="b">
        <v>1</v>
      </c>
      <c r="X109" s="70" t="s">
        <v>82</v>
      </c>
      <c r="Y109" s="20"/>
      <c r="Z109" s="20"/>
      <c r="AA109" s="20"/>
      <c r="AB109" s="20"/>
      <c r="AC109" s="20"/>
    </row>
    <row r="110" hidden="1">
      <c r="A110" s="16" t="s">
        <v>42</v>
      </c>
      <c r="B110" s="17">
        <v>45490.0</v>
      </c>
      <c r="C110" s="16" t="s">
        <v>167</v>
      </c>
      <c r="E110" s="17">
        <v>45526.0</v>
      </c>
      <c r="G110" s="17">
        <v>45541.0</v>
      </c>
      <c r="H110" s="10" t="s">
        <v>31</v>
      </c>
      <c r="I110" s="16" t="s">
        <v>168</v>
      </c>
      <c r="J110" s="7" t="s">
        <v>43</v>
      </c>
      <c r="K110" s="23" t="s">
        <v>33</v>
      </c>
      <c r="L110" s="31">
        <v>800.0</v>
      </c>
      <c r="N110" s="55" t="s">
        <v>169</v>
      </c>
      <c r="O110" s="16"/>
      <c r="P110" s="23" t="s">
        <v>34</v>
      </c>
      <c r="Q110" s="17">
        <f t="shared" si="1"/>
        <v>45490</v>
      </c>
      <c r="R110" s="18">
        <f>L110*0.25</f>
        <v>200</v>
      </c>
      <c r="S110" s="20"/>
      <c r="T110" s="68" t="str">
        <f>VLOOKUP(A110,'Calendar ID'!$A:$C,3,false)</f>
        <v>cmepls.pro@gmail.com</v>
      </c>
      <c r="U110" s="69" t="b">
        <v>1</v>
      </c>
      <c r="V110" s="70" t="s">
        <v>82</v>
      </c>
      <c r="W110" s="69" t="b">
        <v>1</v>
      </c>
      <c r="X110" s="70" t="s">
        <v>82</v>
      </c>
      <c r="Y110" s="16"/>
      <c r="Z110" s="16"/>
      <c r="AA110" s="16"/>
      <c r="AB110" s="16"/>
      <c r="AC110" s="16"/>
    </row>
    <row r="111" hidden="1">
      <c r="A111" s="16" t="s">
        <v>36</v>
      </c>
      <c r="B111" s="17">
        <v>45503.0</v>
      </c>
      <c r="C111" s="16" t="s">
        <v>163</v>
      </c>
      <c r="E111" s="17">
        <v>45526.0</v>
      </c>
      <c r="G111" s="17">
        <v>45528.0</v>
      </c>
      <c r="H111" s="10" t="s">
        <v>31</v>
      </c>
      <c r="J111" s="16" t="s">
        <v>97</v>
      </c>
      <c r="K111" s="23" t="s">
        <v>33</v>
      </c>
      <c r="L111" s="31" t="s">
        <v>56</v>
      </c>
      <c r="N111" s="16"/>
      <c r="O111" s="16"/>
      <c r="P111" s="16"/>
      <c r="Q111" s="17">
        <f t="shared" si="1"/>
        <v>45503</v>
      </c>
      <c r="S111" s="20"/>
      <c r="T111" s="68" t="str">
        <f>VLOOKUP(A111,'Calendar ID'!$A:$C,3,false)</f>
        <v>chiara@grapperagency.com</v>
      </c>
      <c r="U111" s="69" t="b">
        <v>1</v>
      </c>
      <c r="V111" s="70" t="s">
        <v>82</v>
      </c>
      <c r="W111" s="69" t="b">
        <v>1</v>
      </c>
      <c r="X111" s="70" t="s">
        <v>82</v>
      </c>
      <c r="Y111" s="20"/>
      <c r="Z111" s="20"/>
      <c r="AA111" s="20"/>
      <c r="AB111" s="20"/>
      <c r="AC111" s="20"/>
    </row>
    <row r="112" hidden="1">
      <c r="A112" s="16" t="s">
        <v>113</v>
      </c>
      <c r="B112" s="17">
        <v>45502.0</v>
      </c>
      <c r="C112" s="16" t="s">
        <v>163</v>
      </c>
      <c r="E112" s="17">
        <v>45526.0</v>
      </c>
      <c r="G112" s="17">
        <v>45528.0</v>
      </c>
      <c r="H112" s="10" t="s">
        <v>31</v>
      </c>
      <c r="J112" s="16" t="s">
        <v>97</v>
      </c>
      <c r="K112" s="23" t="s">
        <v>33</v>
      </c>
      <c r="L112" s="31" t="s">
        <v>56</v>
      </c>
      <c r="N112" s="55" t="s">
        <v>170</v>
      </c>
      <c r="O112" s="16"/>
      <c r="P112" s="16"/>
      <c r="Q112" s="17">
        <f t="shared" si="1"/>
        <v>45502</v>
      </c>
      <c r="S112" s="20"/>
      <c r="T112" s="68" t="str">
        <f>VLOOKUP(A112,'Calendar ID'!$A:$C,3,false)</f>
        <v>lovelyMytb@gmail.com </v>
      </c>
      <c r="U112" s="69" t="b">
        <v>1</v>
      </c>
      <c r="V112" s="70" t="s">
        <v>82</v>
      </c>
      <c r="W112" s="69" t="b">
        <v>1</v>
      </c>
      <c r="X112" s="70" t="s">
        <v>82</v>
      </c>
      <c r="Y112" s="20"/>
      <c r="Z112" s="20"/>
      <c r="AA112" s="20"/>
      <c r="AB112" s="20"/>
      <c r="AC112" s="20"/>
    </row>
    <row r="113" hidden="1">
      <c r="A113" s="16" t="s">
        <v>45</v>
      </c>
      <c r="B113" s="17">
        <v>45483.0</v>
      </c>
      <c r="C113" s="29" t="s">
        <v>79</v>
      </c>
      <c r="E113" s="17">
        <v>45517.0</v>
      </c>
      <c r="G113" s="17">
        <v>45542.0</v>
      </c>
      <c r="H113" s="16" t="s">
        <v>31</v>
      </c>
      <c r="I113" s="16" t="s">
        <v>171</v>
      </c>
      <c r="J113" s="7" t="s">
        <v>43</v>
      </c>
      <c r="K113" s="23" t="s">
        <v>33</v>
      </c>
      <c r="L113" s="31">
        <v>350.0</v>
      </c>
      <c r="N113" s="55" t="s">
        <v>172</v>
      </c>
      <c r="O113" s="16"/>
      <c r="P113" s="23" t="s">
        <v>34</v>
      </c>
      <c r="Q113" s="17">
        <f t="shared" si="1"/>
        <v>45483</v>
      </c>
      <c r="R113" s="18">
        <f>L113*0.25</f>
        <v>87.5</v>
      </c>
      <c r="S113" s="20"/>
      <c r="T113" s="68" t="str">
        <f>VLOOKUP(A113,'Calendar ID'!$A:$C,3,false)</f>
        <v>lilyy.nl@grapperagency.com</v>
      </c>
      <c r="U113" s="69" t="b">
        <v>1</v>
      </c>
      <c r="V113" s="70" t="s">
        <v>82</v>
      </c>
      <c r="W113" s="69" t="b">
        <v>1</v>
      </c>
      <c r="X113" s="70" t="s">
        <v>82</v>
      </c>
      <c r="Y113" s="16"/>
      <c r="Z113" s="16"/>
      <c r="AA113" s="16"/>
      <c r="AB113" s="16"/>
      <c r="AC113" s="16"/>
    </row>
    <row r="114" hidden="1">
      <c r="A114" s="16" t="s">
        <v>89</v>
      </c>
      <c r="B114" s="17">
        <v>45506.0</v>
      </c>
      <c r="C114" s="16" t="s">
        <v>173</v>
      </c>
      <c r="E114" s="17">
        <v>45529.0</v>
      </c>
      <c r="G114" s="17"/>
      <c r="H114" s="10" t="s">
        <v>31</v>
      </c>
      <c r="J114" s="16" t="s">
        <v>43</v>
      </c>
      <c r="K114" s="23" t="s">
        <v>33</v>
      </c>
      <c r="L114" s="31">
        <v>500.0</v>
      </c>
      <c r="M114" s="76">
        <f>L114-R114</f>
        <v>350</v>
      </c>
      <c r="N114" s="16"/>
      <c r="O114" s="31">
        <f t="shared" ref="O114:O116" si="18">L114-R114</f>
        <v>350</v>
      </c>
      <c r="P114" s="16" t="s">
        <v>34</v>
      </c>
      <c r="Q114" s="17">
        <f t="shared" si="1"/>
        <v>45506</v>
      </c>
      <c r="R114" s="18">
        <f t="shared" ref="R114:R115" si="19">L114*0.3</f>
        <v>150</v>
      </c>
      <c r="S114" s="20"/>
      <c r="T114" s="68" t="str">
        <f>VLOOKUP(A114,'Calendar ID'!$A:$C,3,false)</f>
        <v>lola140204@gmail.com</v>
      </c>
      <c r="U114" s="69" t="b">
        <v>1</v>
      </c>
      <c r="V114" s="70" t="s">
        <v>82</v>
      </c>
      <c r="W114" s="69" t="b">
        <v>0</v>
      </c>
      <c r="X114" s="68" t="str">
        <f>VLOOKUP($A114,'Calendar ID'!$A:$C,2,false)</f>
        <v>c_8f3f6ef786f2df9238426a478307dbddffb576ace587133cfa65ca553e2f967a@group.calendar.google.com</v>
      </c>
      <c r="Y114" s="16"/>
      <c r="Z114" s="16"/>
      <c r="AA114" s="16"/>
      <c r="AB114" s="16"/>
      <c r="AC114" s="16"/>
    </row>
    <row r="115" hidden="1">
      <c r="A115" s="16" t="s">
        <v>113</v>
      </c>
      <c r="B115" s="17">
        <v>45506.0</v>
      </c>
      <c r="C115" s="16" t="s">
        <v>173</v>
      </c>
      <c r="E115" s="17">
        <v>45529.0</v>
      </c>
      <c r="G115" s="17">
        <v>45537.0</v>
      </c>
      <c r="H115" s="10" t="s">
        <v>31</v>
      </c>
      <c r="J115" s="16" t="s">
        <v>43</v>
      </c>
      <c r="K115" s="23" t="s">
        <v>33</v>
      </c>
      <c r="L115" s="31">
        <v>600.0</v>
      </c>
      <c r="N115" s="16"/>
      <c r="O115" s="31">
        <f t="shared" si="18"/>
        <v>420</v>
      </c>
      <c r="P115" s="16" t="s">
        <v>34</v>
      </c>
      <c r="Q115" s="17">
        <f t="shared" si="1"/>
        <v>45506</v>
      </c>
      <c r="R115" s="18">
        <f t="shared" si="19"/>
        <v>180</v>
      </c>
      <c r="S115" s="20"/>
      <c r="T115" s="68" t="str">
        <f>VLOOKUP(A115,'Calendar ID'!$A:$C,3,false)</f>
        <v>lovelyMytb@gmail.com </v>
      </c>
      <c r="U115" s="69" t="b">
        <v>1</v>
      </c>
      <c r="V115" s="70" t="s">
        <v>82</v>
      </c>
      <c r="W115" s="69" t="b">
        <v>1</v>
      </c>
      <c r="X115" s="70" t="s">
        <v>82</v>
      </c>
      <c r="Y115" s="16"/>
      <c r="Z115" s="16"/>
      <c r="AA115" s="16"/>
      <c r="AB115" s="16"/>
      <c r="AC115" s="16"/>
    </row>
    <row r="116" hidden="1">
      <c r="A116" s="16" t="s">
        <v>29</v>
      </c>
      <c r="B116" s="17">
        <v>45504.0</v>
      </c>
      <c r="C116" s="16" t="s">
        <v>173</v>
      </c>
      <c r="E116" s="17">
        <v>45529.0</v>
      </c>
      <c r="G116" s="17">
        <v>45532.0</v>
      </c>
      <c r="H116" s="10" t="s">
        <v>31</v>
      </c>
      <c r="J116" s="16" t="s">
        <v>43</v>
      </c>
      <c r="K116" s="23" t="s">
        <v>33</v>
      </c>
      <c r="L116" s="31">
        <v>400.0</v>
      </c>
      <c r="N116" s="16"/>
      <c r="O116" s="31">
        <f t="shared" si="18"/>
        <v>320</v>
      </c>
      <c r="P116" s="23" t="s">
        <v>34</v>
      </c>
      <c r="Q116" s="17">
        <f t="shared" si="1"/>
        <v>45504</v>
      </c>
      <c r="R116" s="18">
        <f>L116*0.2</f>
        <v>80</v>
      </c>
      <c r="S116" s="20"/>
      <c r="T116" s="68" t="str">
        <f>VLOOKUP(A116,'Calendar ID'!$A:$C,3,false)</f>
        <v>pauline@grapperagency.com</v>
      </c>
      <c r="U116" s="71" t="b">
        <v>0</v>
      </c>
      <c r="V116" s="68" t="str">
        <f>VLOOKUP($A116,'Calendar ID'!$A:$C,2,false)</f>
        <v>c_a715193c206b2aa1e4b81b8a3772df33bf92c92611202a890a6bccecb2131fcb@group.calendar.google.com</v>
      </c>
      <c r="W116" s="69" t="b">
        <v>1</v>
      </c>
      <c r="X116" s="70" t="s">
        <v>82</v>
      </c>
      <c r="Y116" s="16"/>
      <c r="Z116" s="16"/>
      <c r="AA116" s="16"/>
      <c r="AB116" s="16"/>
      <c r="AC116" s="16"/>
    </row>
    <row r="117" hidden="1">
      <c r="A117" s="16" t="s">
        <v>113</v>
      </c>
      <c r="B117" s="17">
        <v>45525.0</v>
      </c>
      <c r="C117" s="16" t="s">
        <v>174</v>
      </c>
      <c r="D117" s="23" t="s">
        <v>175</v>
      </c>
      <c r="E117" s="17">
        <v>45532.0</v>
      </c>
      <c r="G117" s="17">
        <v>45534.0</v>
      </c>
      <c r="H117" s="10" t="s">
        <v>31</v>
      </c>
      <c r="I117" s="16" t="s">
        <v>176</v>
      </c>
      <c r="J117" s="16" t="s">
        <v>43</v>
      </c>
      <c r="K117" s="23" t="s">
        <v>33</v>
      </c>
      <c r="L117" s="31">
        <v>400.0</v>
      </c>
      <c r="N117" s="16"/>
      <c r="O117" s="16"/>
      <c r="P117" s="23" t="s">
        <v>34</v>
      </c>
      <c r="Q117" s="17">
        <f t="shared" si="1"/>
        <v>45525</v>
      </c>
      <c r="R117" s="15">
        <f t="shared" ref="R117:R118" si="20">L117*0.3</f>
        <v>120</v>
      </c>
      <c r="S117" s="20"/>
      <c r="T117" s="68" t="str">
        <f>VLOOKUP(A117,'Calendar ID'!$A:$C,3,false)</f>
        <v>lovelyMytb@gmail.com </v>
      </c>
      <c r="U117" s="77" t="b">
        <v>1</v>
      </c>
      <c r="V117" s="70" t="s">
        <v>82</v>
      </c>
      <c r="W117" s="69" t="b">
        <v>1</v>
      </c>
      <c r="X117" s="70" t="s">
        <v>82</v>
      </c>
      <c r="AA117" s="16"/>
    </row>
    <row r="118" hidden="1">
      <c r="A118" s="16" t="s">
        <v>89</v>
      </c>
      <c r="B118" s="17">
        <v>45504.0</v>
      </c>
      <c r="C118" s="16" t="s">
        <v>177</v>
      </c>
      <c r="E118" s="17">
        <v>45533.0</v>
      </c>
      <c r="G118" s="17">
        <v>45548.0</v>
      </c>
      <c r="H118" s="10" t="s">
        <v>31</v>
      </c>
      <c r="I118" s="16" t="s">
        <v>178</v>
      </c>
      <c r="J118" s="16" t="s">
        <v>43</v>
      </c>
      <c r="K118" s="23" t="s">
        <v>33</v>
      </c>
      <c r="L118" s="31">
        <v>400.0</v>
      </c>
      <c r="M118" s="76">
        <f>L118-R118</f>
        <v>280</v>
      </c>
      <c r="N118" s="16"/>
      <c r="O118" s="16"/>
      <c r="P118" s="16" t="s">
        <v>34</v>
      </c>
      <c r="Q118" s="17">
        <f t="shared" si="1"/>
        <v>45504</v>
      </c>
      <c r="R118" s="18">
        <f t="shared" si="20"/>
        <v>120</v>
      </c>
      <c r="S118" s="20"/>
      <c r="T118" s="68" t="str">
        <f>VLOOKUP(A118,'Calendar ID'!$A:$C,3,false)</f>
        <v>lola140204@gmail.com</v>
      </c>
      <c r="U118" s="69" t="b">
        <v>1</v>
      </c>
      <c r="V118" s="70" t="s">
        <v>82</v>
      </c>
      <c r="W118" s="69" t="b">
        <v>1</v>
      </c>
      <c r="X118" s="70" t="s">
        <v>82</v>
      </c>
      <c r="Y118" s="16"/>
      <c r="Z118" s="16"/>
      <c r="AA118" s="16"/>
      <c r="AB118" s="16"/>
      <c r="AC118" s="16"/>
    </row>
    <row r="119" hidden="1">
      <c r="A119" s="16" t="s">
        <v>36</v>
      </c>
      <c r="B119" s="17">
        <v>45502.0</v>
      </c>
      <c r="C119" s="16" t="s">
        <v>179</v>
      </c>
      <c r="E119" s="17">
        <v>45534.0</v>
      </c>
      <c r="G119" s="17">
        <v>45537.0</v>
      </c>
      <c r="H119" s="10" t="s">
        <v>31</v>
      </c>
      <c r="I119" s="16" t="s">
        <v>180</v>
      </c>
      <c r="J119" s="16" t="s">
        <v>43</v>
      </c>
      <c r="K119" s="23" t="s">
        <v>33</v>
      </c>
      <c r="L119" s="31" t="s">
        <v>56</v>
      </c>
      <c r="N119" s="16"/>
      <c r="O119" s="16"/>
      <c r="P119" s="16"/>
      <c r="Q119" s="17">
        <f t="shared" si="1"/>
        <v>45502</v>
      </c>
      <c r="S119" s="20"/>
      <c r="T119" s="68" t="str">
        <f>VLOOKUP(A119,'Calendar ID'!$A:$C,3,false)</f>
        <v>chiara@grapperagency.com</v>
      </c>
      <c r="U119" s="69" t="b">
        <v>1</v>
      </c>
      <c r="V119" s="70" t="s">
        <v>82</v>
      </c>
      <c r="W119" s="71" t="b">
        <v>0</v>
      </c>
      <c r="X119" s="68" t="str">
        <f>VLOOKUP($A119,'Calendar ID'!$A:$C,2,false)</f>
        <v>c_6fd5f3c25278bd569c413814d6452fc4f9cb936bb38174e89b1cb54f9ec7c89d@group.calendar.google.com</v>
      </c>
      <c r="Y119" s="20"/>
      <c r="Z119" s="20"/>
      <c r="AA119" s="20"/>
      <c r="AB119" s="20"/>
      <c r="AC119" s="20"/>
    </row>
    <row r="120" hidden="1">
      <c r="A120" s="16" t="s">
        <v>57</v>
      </c>
      <c r="B120" s="17">
        <v>45504.0</v>
      </c>
      <c r="C120" s="16" t="s">
        <v>179</v>
      </c>
      <c r="E120" s="17">
        <v>45536.0</v>
      </c>
      <c r="G120" s="17">
        <v>45537.0</v>
      </c>
      <c r="H120" s="10" t="s">
        <v>31</v>
      </c>
      <c r="I120" s="16" t="s">
        <v>180</v>
      </c>
      <c r="J120" s="16" t="s">
        <v>43</v>
      </c>
      <c r="K120" s="23" t="s">
        <v>33</v>
      </c>
      <c r="L120" s="31" t="s">
        <v>56</v>
      </c>
      <c r="N120" s="16"/>
      <c r="O120" s="16"/>
      <c r="P120" s="16"/>
      <c r="Q120" s="17">
        <f t="shared" si="1"/>
        <v>45504</v>
      </c>
      <c r="S120" s="20"/>
      <c r="T120" s="68" t="str">
        <f>VLOOKUP(A120,'Calendar ID'!$A:$C,3,false)</f>
        <v>fgirault3@gmail.com</v>
      </c>
      <c r="U120" s="69" t="b">
        <v>1</v>
      </c>
      <c r="V120" s="70" t="s">
        <v>82</v>
      </c>
      <c r="W120" s="69" t="b">
        <v>0</v>
      </c>
      <c r="X120" s="68" t="str">
        <f>VLOOKUP($A120,'Calendar ID'!$A:$C,2,false)</f>
        <v>c_b412638d97e7dcffa392ccd62e6d5e2eccb052c0c08de7e1e7d547811d81c44c@group.calendar.google.com</v>
      </c>
      <c r="Y120" s="20"/>
      <c r="Z120" s="20"/>
      <c r="AA120" s="20"/>
      <c r="AB120" s="20"/>
      <c r="AC120" s="20"/>
    </row>
    <row r="121" hidden="1">
      <c r="A121" s="16" t="s">
        <v>99</v>
      </c>
      <c r="B121" s="17">
        <v>45525.0</v>
      </c>
      <c r="C121" s="16" t="s">
        <v>181</v>
      </c>
      <c r="D121" s="16">
        <v>2.0</v>
      </c>
      <c r="E121" s="17">
        <v>45537.0</v>
      </c>
      <c r="F121" s="17"/>
      <c r="G121" s="17">
        <v>45553.0</v>
      </c>
      <c r="H121" s="10" t="s">
        <v>31</v>
      </c>
      <c r="J121" s="16" t="s">
        <v>43</v>
      </c>
      <c r="K121" s="23" t="s">
        <v>33</v>
      </c>
      <c r="L121" s="31" t="s">
        <v>56</v>
      </c>
      <c r="N121" s="16"/>
      <c r="O121" s="16"/>
      <c r="P121" s="16"/>
      <c r="Q121" s="17">
        <f t="shared" si="1"/>
        <v>45525</v>
      </c>
      <c r="S121" s="20"/>
      <c r="T121" s="68" t="str">
        <f>VLOOKUP(A121,'Calendar ID'!$A:$C,3,false)</f>
        <v>alicemauguin.l@gmail.com</v>
      </c>
      <c r="U121" s="78" t="b">
        <v>0</v>
      </c>
      <c r="V121" s="68" t="str">
        <f>VLOOKUP($A121,'Calendar ID'!$A:$C,2,false)</f>
        <v>c_569af196f9b5e28fc536ca0422e6405e6d4e402300b9504eaa944f45c672daff@group.calendar.google.com</v>
      </c>
      <c r="W121" s="69" t="b">
        <v>1</v>
      </c>
      <c r="X121" s="70" t="s">
        <v>82</v>
      </c>
    </row>
    <row r="122" hidden="1">
      <c r="A122" s="16" t="s">
        <v>91</v>
      </c>
      <c r="B122" s="17">
        <v>45497.0</v>
      </c>
      <c r="C122" s="16" t="s">
        <v>140</v>
      </c>
      <c r="E122" s="17">
        <v>45539.0</v>
      </c>
      <c r="G122" s="17">
        <v>45553.0</v>
      </c>
      <c r="H122" s="10" t="s">
        <v>31</v>
      </c>
      <c r="I122" s="16" t="s">
        <v>182</v>
      </c>
      <c r="J122" s="16" t="s">
        <v>43</v>
      </c>
      <c r="K122" s="23" t="s">
        <v>33</v>
      </c>
      <c r="L122" s="31">
        <v>500.0</v>
      </c>
      <c r="N122" s="65" t="s">
        <v>183</v>
      </c>
      <c r="O122" s="16"/>
      <c r="P122" s="23" t="s">
        <v>34</v>
      </c>
      <c r="Q122" s="17">
        <f t="shared" si="1"/>
        <v>45497</v>
      </c>
      <c r="R122" s="18">
        <f t="shared" ref="R122:R123" si="21">L122*0.3</f>
        <v>150</v>
      </c>
      <c r="S122" s="20"/>
      <c r="T122" s="68" t="str">
        <f>VLOOKUP(A122,'Calendar ID'!$A:$C,3,false)</f>
        <v>juliane.bernard57@icloud.com</v>
      </c>
      <c r="U122" s="69" t="b">
        <v>1</v>
      </c>
      <c r="V122" s="70" t="s">
        <v>82</v>
      </c>
      <c r="W122" s="69" t="b">
        <v>1</v>
      </c>
      <c r="X122" s="70" t="s">
        <v>82</v>
      </c>
      <c r="Y122" s="16"/>
      <c r="Z122" s="16"/>
      <c r="AA122" s="16"/>
      <c r="AB122" s="16"/>
      <c r="AC122" s="16"/>
    </row>
    <row r="123" hidden="1">
      <c r="A123" s="16" t="s">
        <v>157</v>
      </c>
      <c r="B123" s="17">
        <v>45505.0</v>
      </c>
      <c r="C123" s="29" t="s">
        <v>86</v>
      </c>
      <c r="E123" s="17">
        <v>45543.0</v>
      </c>
      <c r="G123" s="17">
        <v>45554.0</v>
      </c>
      <c r="H123" s="10" t="s">
        <v>31</v>
      </c>
      <c r="I123" s="16" t="s">
        <v>184</v>
      </c>
      <c r="J123" s="16" t="s">
        <v>43</v>
      </c>
      <c r="K123" s="23" t="s">
        <v>33</v>
      </c>
      <c r="L123" s="39">
        <v>699.2</v>
      </c>
      <c r="N123" s="16"/>
      <c r="O123" s="16"/>
      <c r="P123" s="16" t="s">
        <v>34</v>
      </c>
      <c r="Q123" s="17">
        <f t="shared" si="1"/>
        <v>45505</v>
      </c>
      <c r="R123" s="40">
        <f t="shared" si="21"/>
        <v>209.76</v>
      </c>
      <c r="S123" s="20"/>
      <c r="T123" s="68" t="str">
        <f>VLOOKUP(A123,'Calendar ID'!$A:$C,3,false)</f>
        <v>jeannebayart@gmail.com</v>
      </c>
      <c r="U123" s="69" t="b">
        <v>1</v>
      </c>
      <c r="V123" s="70" t="s">
        <v>82</v>
      </c>
      <c r="W123" s="69" t="b">
        <v>1</v>
      </c>
      <c r="X123" s="70" t="s">
        <v>82</v>
      </c>
      <c r="Y123" s="16"/>
      <c r="Z123" s="16"/>
      <c r="AA123" s="16" t="s">
        <v>158</v>
      </c>
      <c r="AB123" s="16"/>
      <c r="AC123" s="20" t="str">
        <f>VLOOKUP($A123,'Calendar ID'!$A:$D,4,FALSE)</f>
        <v>1F40mnL3JpqXpe0o5qrbDG4GuV9h68eR7gA-3pUAyNHM</v>
      </c>
    </row>
    <row r="124" hidden="1">
      <c r="A124" s="16" t="s">
        <v>45</v>
      </c>
      <c r="B124" s="17">
        <v>45523.0</v>
      </c>
      <c r="C124" s="16" t="s">
        <v>48</v>
      </c>
      <c r="E124" s="17">
        <v>45543.0</v>
      </c>
      <c r="G124" s="17">
        <v>45544.0</v>
      </c>
      <c r="H124" s="10" t="s">
        <v>31</v>
      </c>
      <c r="I124" s="16" t="s">
        <v>185</v>
      </c>
      <c r="J124" s="16" t="s">
        <v>43</v>
      </c>
      <c r="K124" s="23" t="s">
        <v>33</v>
      </c>
      <c r="L124" s="31">
        <v>300.0</v>
      </c>
      <c r="N124" s="55" t="s">
        <v>186</v>
      </c>
      <c r="O124" s="16"/>
      <c r="P124" s="23" t="s">
        <v>34</v>
      </c>
      <c r="Q124" s="17">
        <f t="shared" si="1"/>
        <v>45523</v>
      </c>
      <c r="R124" s="15">
        <f>L124*0.25</f>
        <v>75</v>
      </c>
      <c r="S124" s="20"/>
      <c r="T124" s="68" t="str">
        <f>VLOOKUP(A124,'Calendar ID'!$A:$C,3,false)</f>
        <v>lilyy.nl@grapperagency.com</v>
      </c>
      <c r="U124" s="77" t="b">
        <v>1</v>
      </c>
      <c r="V124" s="70" t="s">
        <v>82</v>
      </c>
      <c r="W124" s="69" t="b">
        <v>1</v>
      </c>
      <c r="X124" s="70" t="s">
        <v>82</v>
      </c>
      <c r="AA124" s="16" t="s">
        <v>158</v>
      </c>
    </row>
    <row r="125" hidden="1">
      <c r="A125" s="16" t="s">
        <v>39</v>
      </c>
      <c r="B125" s="17">
        <v>45483.0</v>
      </c>
      <c r="C125" s="74" t="s">
        <v>118</v>
      </c>
      <c r="E125" s="17">
        <v>45545.0</v>
      </c>
      <c r="G125" s="17">
        <v>45567.0</v>
      </c>
      <c r="H125" s="10" t="s">
        <v>31</v>
      </c>
      <c r="J125" s="7" t="s">
        <v>43</v>
      </c>
      <c r="K125" s="23" t="s">
        <v>33</v>
      </c>
      <c r="L125" s="31">
        <v>225.0</v>
      </c>
      <c r="N125" s="79" t="s">
        <v>187</v>
      </c>
      <c r="O125" s="60"/>
      <c r="P125" s="23" t="s">
        <v>34</v>
      </c>
      <c r="Q125" s="17">
        <f t="shared" si="1"/>
        <v>45483</v>
      </c>
      <c r="R125" s="18">
        <f>L125*0.2</f>
        <v>45</v>
      </c>
      <c r="S125" s="20"/>
      <c r="T125" s="68" t="str">
        <f>VLOOKUP(A125,'Calendar ID'!$A:$C,3,false)</f>
        <v>#N/A</v>
      </c>
      <c r="U125" s="69" t="b">
        <v>1</v>
      </c>
      <c r="V125" s="70" t="s">
        <v>82</v>
      </c>
      <c r="W125" s="69" t="b">
        <v>1</v>
      </c>
      <c r="X125" s="70" t="s">
        <v>82</v>
      </c>
      <c r="Y125" s="16"/>
      <c r="Z125" s="16"/>
      <c r="AA125" s="16"/>
      <c r="AB125" s="16"/>
      <c r="AC125" s="16"/>
    </row>
    <row r="126" hidden="1">
      <c r="A126" s="16" t="s">
        <v>42</v>
      </c>
      <c r="B126" s="17">
        <v>45381.0</v>
      </c>
      <c r="C126" s="16" t="s">
        <v>188</v>
      </c>
      <c r="E126" s="17">
        <v>45547.0</v>
      </c>
      <c r="F126" s="17"/>
      <c r="G126" s="17">
        <v>45576.0</v>
      </c>
      <c r="H126" s="16" t="s">
        <v>31</v>
      </c>
      <c r="I126" s="80" t="s">
        <v>189</v>
      </c>
      <c r="J126" s="16" t="s">
        <v>43</v>
      </c>
      <c r="K126" s="14" t="s">
        <v>33</v>
      </c>
      <c r="L126" s="31">
        <v>1500.0</v>
      </c>
      <c r="N126" s="16"/>
      <c r="O126" s="16"/>
      <c r="P126" s="16" t="s">
        <v>35</v>
      </c>
      <c r="Q126" s="17">
        <f t="shared" si="1"/>
        <v>45381</v>
      </c>
      <c r="S126" s="20" t="b">
        <v>0</v>
      </c>
      <c r="T126" s="20" t="str">
        <f>VLOOKUP(A126,'Calendar ID'!$A:$C,3,false)</f>
        <v>cmepls.pro@gmail.com</v>
      </c>
      <c r="U126" s="19" t="b">
        <v>1</v>
      </c>
      <c r="V126" s="70" t="s">
        <v>82</v>
      </c>
      <c r="W126" s="19" t="b">
        <v>1</v>
      </c>
      <c r="X126" s="70" t="s">
        <v>82</v>
      </c>
      <c r="Y126" s="16"/>
      <c r="Z126" s="16"/>
      <c r="AA126" s="16"/>
      <c r="AB126" s="16"/>
      <c r="AC126" s="16"/>
    </row>
    <row r="127" hidden="1">
      <c r="A127" s="16" t="s">
        <v>42</v>
      </c>
      <c r="B127" s="17">
        <v>45483.0</v>
      </c>
      <c r="C127" s="29" t="s">
        <v>79</v>
      </c>
      <c r="E127" s="17">
        <v>45527.0</v>
      </c>
      <c r="G127" s="17">
        <v>45532.0</v>
      </c>
      <c r="H127" s="10" t="s">
        <v>31</v>
      </c>
      <c r="J127" s="7" t="s">
        <v>43</v>
      </c>
      <c r="K127" s="23" t="s">
        <v>33</v>
      </c>
      <c r="L127" s="31">
        <v>400.0</v>
      </c>
      <c r="N127" s="16"/>
      <c r="O127" s="16"/>
      <c r="P127" s="23" t="s">
        <v>34</v>
      </c>
      <c r="Q127" s="17">
        <f t="shared" si="1"/>
        <v>45483</v>
      </c>
      <c r="R127" s="18">
        <f>L127*0.25</f>
        <v>100</v>
      </c>
      <c r="S127" s="20"/>
      <c r="T127" s="68" t="str">
        <f>VLOOKUP(A127,'Calendar ID'!$A:$C,3,false)</f>
        <v>cmepls.pro@gmail.com</v>
      </c>
      <c r="U127" s="69" t="b">
        <v>1</v>
      </c>
      <c r="V127" s="70" t="s">
        <v>82</v>
      </c>
      <c r="W127" s="69" t="b">
        <v>1</v>
      </c>
      <c r="X127" s="70" t="s">
        <v>82</v>
      </c>
      <c r="Y127" s="16"/>
      <c r="Z127" s="16"/>
      <c r="AA127" s="16"/>
      <c r="AB127" s="16"/>
      <c r="AC127" s="16"/>
    </row>
    <row r="128" hidden="1">
      <c r="A128" s="16" t="s">
        <v>29</v>
      </c>
      <c r="B128" s="17">
        <v>45517.0</v>
      </c>
      <c r="C128" s="16" t="s">
        <v>190</v>
      </c>
      <c r="E128" s="17">
        <v>45548.0</v>
      </c>
      <c r="G128" s="17"/>
      <c r="H128" s="10" t="s">
        <v>31</v>
      </c>
      <c r="J128" s="16" t="s">
        <v>43</v>
      </c>
      <c r="K128" s="16" t="s">
        <v>74</v>
      </c>
      <c r="L128" s="31">
        <v>200.0</v>
      </c>
      <c r="N128" s="16"/>
      <c r="O128" s="16"/>
      <c r="P128" s="23" t="s">
        <v>34</v>
      </c>
      <c r="Q128" s="17">
        <f t="shared" si="1"/>
        <v>45517</v>
      </c>
      <c r="R128" s="15">
        <f>L128*0.2</f>
        <v>40</v>
      </c>
      <c r="S128" s="20"/>
      <c r="T128" s="68" t="str">
        <f>VLOOKUP(A128,'Calendar ID'!$A:$C,3,false)</f>
        <v>pauline@grapperagency.com</v>
      </c>
      <c r="U128" s="77" t="b">
        <v>1</v>
      </c>
      <c r="V128" s="19" t="s">
        <v>82</v>
      </c>
      <c r="W128" s="71" t="b">
        <v>0</v>
      </c>
      <c r="X128" s="68" t="str">
        <f>VLOOKUP($A128,'Calendar ID'!$A:$C,2,false)</f>
        <v>c_a715193c206b2aa1e4b81b8a3772df33bf92c92611202a890a6bccecb2131fcb@group.calendar.google.com</v>
      </c>
      <c r="AA128" s="16" t="s">
        <v>158</v>
      </c>
    </row>
    <row r="129" hidden="1">
      <c r="A129" s="16" t="s">
        <v>42</v>
      </c>
      <c r="B129" s="17">
        <v>45546.0</v>
      </c>
      <c r="C129" s="16" t="s">
        <v>191</v>
      </c>
      <c r="E129" s="17">
        <v>45549.0</v>
      </c>
      <c r="G129" s="17">
        <v>45558.0</v>
      </c>
      <c r="H129" s="10" t="s">
        <v>31</v>
      </c>
      <c r="I129" s="16" t="s">
        <v>192</v>
      </c>
      <c r="J129" s="16" t="s">
        <v>43</v>
      </c>
      <c r="K129" s="23" t="s">
        <v>33</v>
      </c>
      <c r="L129" s="31">
        <v>800.0</v>
      </c>
      <c r="N129" s="16"/>
      <c r="O129" s="16"/>
      <c r="P129" s="23" t="s">
        <v>34</v>
      </c>
      <c r="Q129" s="17">
        <f t="shared" si="1"/>
        <v>45546</v>
      </c>
      <c r="R129" s="15">
        <f>L129*0.25</f>
        <v>200</v>
      </c>
      <c r="S129" s="20"/>
      <c r="T129" s="68" t="str">
        <f>VLOOKUP(A129,'Calendar ID'!$A:$C,3,false)</f>
        <v>cmepls.pro@gmail.com</v>
      </c>
      <c r="U129" s="77" t="b">
        <v>1</v>
      </c>
      <c r="V129" s="70" t="s">
        <v>82</v>
      </c>
      <c r="W129" s="69" t="b">
        <v>1</v>
      </c>
      <c r="X129" s="70" t="s">
        <v>82</v>
      </c>
    </row>
    <row r="130" hidden="1">
      <c r="A130" s="16" t="s">
        <v>39</v>
      </c>
      <c r="B130" s="17">
        <v>45520.0</v>
      </c>
      <c r="C130" s="16" t="s">
        <v>193</v>
      </c>
      <c r="D130" s="16" t="s">
        <v>194</v>
      </c>
      <c r="E130" s="17">
        <v>45551.0</v>
      </c>
      <c r="G130" s="17">
        <v>45556.0</v>
      </c>
      <c r="H130" s="10" t="s">
        <v>31</v>
      </c>
      <c r="J130" s="16" t="s">
        <v>43</v>
      </c>
      <c r="K130" s="23" t="s">
        <v>33</v>
      </c>
      <c r="L130" s="31">
        <f t="shared" ref="L130:L131" si="22">715.87/2</f>
        <v>357.935</v>
      </c>
      <c r="N130" s="65" t="s">
        <v>195</v>
      </c>
      <c r="O130" s="16"/>
      <c r="P130" s="23" t="s">
        <v>34</v>
      </c>
      <c r="Q130" s="17">
        <f t="shared" si="1"/>
        <v>45520</v>
      </c>
      <c r="R130" s="18">
        <f t="shared" ref="R130:R131" si="23">L130*0.2</f>
        <v>71.587</v>
      </c>
      <c r="S130" s="20"/>
      <c r="T130" s="68" t="str">
        <f>VLOOKUP(A130,'Calendar ID'!$A:$C,3,false)</f>
        <v>#N/A</v>
      </c>
      <c r="U130" s="69" t="b">
        <v>1</v>
      </c>
      <c r="V130" s="70" t="s">
        <v>82</v>
      </c>
      <c r="W130" s="69" t="b">
        <v>1</v>
      </c>
      <c r="X130" s="70" t="s">
        <v>82</v>
      </c>
      <c r="AA130" s="16"/>
    </row>
    <row r="131" hidden="1">
      <c r="A131" s="16" t="s">
        <v>39</v>
      </c>
      <c r="B131" s="17">
        <v>45520.0</v>
      </c>
      <c r="C131" s="16" t="s">
        <v>193</v>
      </c>
      <c r="D131" s="16" t="s">
        <v>196</v>
      </c>
      <c r="E131" s="17">
        <v>45551.0</v>
      </c>
      <c r="G131" s="17">
        <v>45571.0</v>
      </c>
      <c r="H131" s="10" t="s">
        <v>31</v>
      </c>
      <c r="I131" s="16" t="s">
        <v>197</v>
      </c>
      <c r="J131" s="16" t="s">
        <v>43</v>
      </c>
      <c r="K131" s="23" t="s">
        <v>33</v>
      </c>
      <c r="L131" s="31">
        <f t="shared" si="22"/>
        <v>357.935</v>
      </c>
      <c r="N131" s="65" t="s">
        <v>198</v>
      </c>
      <c r="O131" s="16"/>
      <c r="P131" s="23" t="s">
        <v>34</v>
      </c>
      <c r="Q131" s="17">
        <f t="shared" si="1"/>
        <v>45520</v>
      </c>
      <c r="R131" s="18">
        <f t="shared" si="23"/>
        <v>71.587</v>
      </c>
      <c r="S131" s="20"/>
      <c r="T131" s="68" t="str">
        <f>VLOOKUP(A131,'Calendar ID'!$A:$C,3,false)</f>
        <v>#N/A</v>
      </c>
      <c r="U131" s="69" t="b">
        <v>1</v>
      </c>
      <c r="V131" s="70" t="s">
        <v>82</v>
      </c>
      <c r="W131" s="69" t="b">
        <v>1</v>
      </c>
      <c r="X131" s="70" t="s">
        <v>82</v>
      </c>
      <c r="AA131" s="16"/>
    </row>
    <row r="132" hidden="1">
      <c r="A132" s="16" t="s">
        <v>76</v>
      </c>
      <c r="B132" s="17">
        <v>45547.0</v>
      </c>
      <c r="C132" s="16" t="s">
        <v>199</v>
      </c>
      <c r="E132" s="17">
        <v>45554.0</v>
      </c>
      <c r="F132" s="17">
        <v>45537.0</v>
      </c>
      <c r="G132" s="17">
        <v>45555.0</v>
      </c>
      <c r="H132" s="10" t="s">
        <v>31</v>
      </c>
      <c r="J132" s="16" t="s">
        <v>43</v>
      </c>
      <c r="K132" s="23" t="s">
        <v>33</v>
      </c>
      <c r="L132" s="31">
        <v>450.0</v>
      </c>
      <c r="N132" s="16"/>
      <c r="O132" s="16"/>
      <c r="P132" s="23" t="s">
        <v>34</v>
      </c>
      <c r="Q132" s="17">
        <f t="shared" si="1"/>
        <v>45547</v>
      </c>
      <c r="R132" s="15">
        <f>L132*0.3</f>
        <v>135</v>
      </c>
      <c r="S132" s="20"/>
      <c r="T132" s="68" t="str">
        <f>VLOOKUP(A132,'Calendar ID'!$A:$C,3,false)</f>
        <v>orane.baron1403@gmail.com</v>
      </c>
      <c r="U132" s="77" t="b">
        <v>1</v>
      </c>
      <c r="V132" s="70" t="s">
        <v>82</v>
      </c>
      <c r="W132" s="69" t="b">
        <v>1</v>
      </c>
      <c r="X132" s="70" t="s">
        <v>82</v>
      </c>
    </row>
    <row r="133" hidden="1">
      <c r="A133" s="16" t="s">
        <v>29</v>
      </c>
      <c r="B133" s="17">
        <v>45527.0</v>
      </c>
      <c r="C133" s="16" t="s">
        <v>200</v>
      </c>
      <c r="D133" s="16">
        <v>1.0</v>
      </c>
      <c r="E133" s="17">
        <v>45554.0</v>
      </c>
      <c r="G133" s="17">
        <v>45555.0</v>
      </c>
      <c r="H133" s="10" t="s">
        <v>31</v>
      </c>
      <c r="J133" s="16" t="s">
        <v>43</v>
      </c>
      <c r="K133" s="23" t="s">
        <v>33</v>
      </c>
      <c r="L133" s="31">
        <v>173.0</v>
      </c>
      <c r="N133" s="55" t="s">
        <v>201</v>
      </c>
      <c r="O133" s="16"/>
      <c r="P133" s="23" t="s">
        <v>34</v>
      </c>
      <c r="Q133" s="17">
        <f t="shared" si="1"/>
        <v>45527</v>
      </c>
      <c r="R133" s="15">
        <f>L133*0.2</f>
        <v>34.6</v>
      </c>
      <c r="S133" s="20"/>
      <c r="T133" s="68" t="str">
        <f>VLOOKUP(A133,'Calendar ID'!$A:$C,3,false)</f>
        <v>pauline@grapperagency.com</v>
      </c>
      <c r="U133" s="77" t="b">
        <v>1</v>
      </c>
      <c r="V133" s="16" t="s">
        <v>82</v>
      </c>
      <c r="W133" s="69" t="b">
        <v>1</v>
      </c>
      <c r="X133" s="16" t="s">
        <v>82</v>
      </c>
    </row>
    <row r="134" hidden="1">
      <c r="A134" s="23" t="s">
        <v>65</v>
      </c>
      <c r="B134" s="17">
        <v>45483.0</v>
      </c>
      <c r="C134" s="29" t="s">
        <v>79</v>
      </c>
      <c r="D134" s="16"/>
      <c r="E134" s="17"/>
      <c r="G134" s="73">
        <v>45514.0</v>
      </c>
      <c r="H134" s="10" t="s">
        <v>31</v>
      </c>
      <c r="I134" s="16" t="s">
        <v>202</v>
      </c>
      <c r="J134" s="7" t="s">
        <v>43</v>
      </c>
      <c r="K134" s="23" t="s">
        <v>33</v>
      </c>
      <c r="L134" s="31">
        <v>200.0</v>
      </c>
      <c r="N134" s="55" t="s">
        <v>203</v>
      </c>
      <c r="O134" s="16"/>
      <c r="P134" s="23" t="s">
        <v>34</v>
      </c>
      <c r="Q134" s="17">
        <f t="shared" si="1"/>
        <v>45483</v>
      </c>
      <c r="R134" s="18">
        <f>L134*0.25</f>
        <v>50</v>
      </c>
      <c r="S134" s="20"/>
      <c r="T134" s="68" t="str">
        <f>VLOOKUP(A134,'Calendar ID'!$A:$C,3,false)</f>
        <v>imlolytahproacc@gmail.com</v>
      </c>
      <c r="U134" s="71" t="b">
        <v>0</v>
      </c>
      <c r="V134" s="68" t="str">
        <f>VLOOKUP($A134,'Calendar ID'!$A:$C,2,false)</f>
        <v>c_007bb5dfd61adc34e7d7f1093213e03f31b2abfb546bee3afc00b412de414680@group.calendar.google.com</v>
      </c>
      <c r="W134" s="69" t="b">
        <v>1</v>
      </c>
      <c r="X134" s="70" t="s">
        <v>82</v>
      </c>
      <c r="Y134" s="16"/>
      <c r="Z134" s="16"/>
      <c r="AA134" s="16"/>
      <c r="AB134" s="16"/>
      <c r="AC134" s="16"/>
    </row>
    <row r="135" hidden="1">
      <c r="A135" s="16" t="s">
        <v>204</v>
      </c>
      <c r="B135" s="17">
        <v>45496.0</v>
      </c>
      <c r="C135" s="29" t="s">
        <v>79</v>
      </c>
      <c r="E135" s="17">
        <v>45547.0</v>
      </c>
      <c r="G135" s="17">
        <v>45555.0</v>
      </c>
      <c r="H135" s="10" t="s">
        <v>31</v>
      </c>
      <c r="J135" s="7" t="s">
        <v>43</v>
      </c>
      <c r="K135" s="23" t="s">
        <v>33</v>
      </c>
      <c r="L135" s="31">
        <v>1200.0</v>
      </c>
      <c r="N135" s="55" t="s">
        <v>205</v>
      </c>
      <c r="O135" s="16"/>
      <c r="P135" s="23" t="s">
        <v>34</v>
      </c>
      <c r="Q135" s="17">
        <f t="shared" si="1"/>
        <v>45496</v>
      </c>
      <c r="R135" s="18">
        <f>L135*0.3</f>
        <v>360</v>
      </c>
      <c r="S135" s="20"/>
      <c r="T135" s="68" t="str">
        <f>VLOOKUP(A135,'Calendar ID'!$A:$C,3,false)</f>
        <v>marylinezh@gmail.com </v>
      </c>
      <c r="U135" s="69" t="b">
        <v>1</v>
      </c>
      <c r="V135" s="70" t="s">
        <v>82</v>
      </c>
      <c r="W135" s="71" t="b">
        <v>0</v>
      </c>
      <c r="X135" s="68" t="str">
        <f>VLOOKUP($A135,'Calendar ID'!$A:$C,2,false)</f>
        <v>c_3d8e6f3013c2064d1cf20c38ef5246d33ef6635ebbbd3c9abb7c506fa9eefde3@group.calendar.google.com</v>
      </c>
      <c r="Y135" s="16"/>
      <c r="Z135" s="16"/>
      <c r="AA135" s="16"/>
      <c r="AB135" s="16"/>
      <c r="AC135" s="16"/>
    </row>
    <row r="136" hidden="1">
      <c r="A136" s="16" t="s">
        <v>36</v>
      </c>
      <c r="B136" s="17">
        <v>45539.0</v>
      </c>
      <c r="C136" s="16" t="s">
        <v>206</v>
      </c>
      <c r="E136" s="17">
        <v>45557.0</v>
      </c>
      <c r="F136" s="17">
        <v>45551.0</v>
      </c>
      <c r="G136" s="17">
        <v>45560.0</v>
      </c>
      <c r="H136" s="10" t="s">
        <v>31</v>
      </c>
      <c r="J136" s="16" t="s">
        <v>43</v>
      </c>
      <c r="K136" s="23" t="s">
        <v>33</v>
      </c>
      <c r="L136" s="31" t="s">
        <v>56</v>
      </c>
      <c r="N136" s="65" t="s">
        <v>207</v>
      </c>
      <c r="O136" s="16"/>
      <c r="P136" s="16"/>
      <c r="Q136" s="17">
        <f t="shared" si="1"/>
        <v>45539</v>
      </c>
      <c r="S136" s="20"/>
      <c r="T136" s="68" t="str">
        <f>VLOOKUP(A136,'Calendar ID'!$A:$C,3,false)</f>
        <v>chiara@grapperagency.com</v>
      </c>
      <c r="U136" s="77" t="b">
        <v>1</v>
      </c>
      <c r="V136" s="70" t="s">
        <v>82</v>
      </c>
      <c r="W136" s="69" t="b">
        <v>1</v>
      </c>
      <c r="X136" s="70" t="s">
        <v>82</v>
      </c>
    </row>
    <row r="137">
      <c r="A137" s="16" t="s">
        <v>208</v>
      </c>
      <c r="B137" s="17">
        <v>45797.0</v>
      </c>
      <c r="C137" s="16" t="s">
        <v>209</v>
      </c>
      <c r="E137" s="52">
        <v>45818.0</v>
      </c>
      <c r="F137" s="17"/>
      <c r="G137" s="52">
        <v>45823.0</v>
      </c>
      <c r="H137" s="10" t="s">
        <v>210</v>
      </c>
      <c r="J137" s="16" t="s">
        <v>43</v>
      </c>
      <c r="K137" s="16" t="s">
        <v>33</v>
      </c>
      <c r="L137" s="31">
        <f>700/3</f>
        <v>233.3333333</v>
      </c>
      <c r="N137" s="16"/>
      <c r="O137" s="16"/>
      <c r="P137" s="10" t="s">
        <v>34</v>
      </c>
      <c r="Q137" s="17">
        <f t="shared" si="1"/>
        <v>45797</v>
      </c>
      <c r="R137" s="18">
        <f>L137*0.3</f>
        <v>70</v>
      </c>
      <c r="S137" s="20"/>
      <c r="T137" s="68" t="str">
        <f>VLOOKUP(A137,'Calendar ID'!$A:$C,3,false)</f>
        <v>#N/A</v>
      </c>
      <c r="U137" s="71" t="b">
        <v>0</v>
      </c>
      <c r="V137" s="68" t="str">
        <f>VLOOKUP($A137,'Calendar ID'!$A:$C,2,false)</f>
        <v>#N/A</v>
      </c>
      <c r="W137" s="71" t="b">
        <v>0</v>
      </c>
      <c r="X137" s="68" t="str">
        <f>VLOOKUP($A137,'Calendar ID'!$A:$C,2,false)</f>
        <v>#N/A</v>
      </c>
    </row>
    <row r="138" hidden="1">
      <c r="A138" s="16" t="s">
        <v>45</v>
      </c>
      <c r="B138" s="17">
        <v>45544.0</v>
      </c>
      <c r="C138" s="16" t="s">
        <v>211</v>
      </c>
      <c r="E138" s="17">
        <v>45558.0</v>
      </c>
      <c r="G138" s="17">
        <v>45558.0</v>
      </c>
      <c r="H138" s="10" t="s">
        <v>31</v>
      </c>
      <c r="J138" s="16" t="s">
        <v>43</v>
      </c>
      <c r="K138" s="23" t="s">
        <v>33</v>
      </c>
      <c r="L138" s="31">
        <v>750.0</v>
      </c>
      <c r="N138" s="16"/>
      <c r="O138" s="16"/>
      <c r="P138" s="23" t="s">
        <v>34</v>
      </c>
      <c r="Q138" s="17">
        <f t="shared" si="1"/>
        <v>45544</v>
      </c>
      <c r="R138" s="15">
        <f>L138*0.25</f>
        <v>187.5</v>
      </c>
      <c r="S138" s="15"/>
      <c r="T138" s="68" t="str">
        <f>VLOOKUP(A138,'Calendar ID'!$A:$C,3,false)</f>
        <v>lilyy.nl@grapperagency.com</v>
      </c>
      <c r="U138" s="78" t="b">
        <v>0</v>
      </c>
      <c r="V138" s="68" t="str">
        <f>VLOOKUP($A138,'Calendar ID'!$A:$C,2,false)</f>
        <v>c_665764ca21c8e4b3814e25bf24bc7074fa55890dce5d4073abb0fdddc70649d4@group.calendar.google.com</v>
      </c>
      <c r="W138" s="71" t="b">
        <v>0</v>
      </c>
      <c r="X138" s="68" t="str">
        <f>VLOOKUP($A138,'Calendar ID'!$A:$C,2,false)</f>
        <v>c_665764ca21c8e4b3814e25bf24bc7074fa55890dce5d4073abb0fdddc70649d4@group.calendar.google.com</v>
      </c>
    </row>
    <row r="139" hidden="1">
      <c r="A139" s="16" t="s">
        <v>113</v>
      </c>
      <c r="B139" s="17">
        <v>45544.0</v>
      </c>
      <c r="C139" s="16" t="s">
        <v>211</v>
      </c>
      <c r="E139" s="17">
        <v>45558.0</v>
      </c>
      <c r="G139" s="17">
        <v>45558.0</v>
      </c>
      <c r="H139" s="10" t="s">
        <v>31</v>
      </c>
      <c r="J139" s="16" t="s">
        <v>43</v>
      </c>
      <c r="K139" s="23" t="s">
        <v>33</v>
      </c>
      <c r="L139" s="31">
        <v>700.0</v>
      </c>
      <c r="N139" s="16"/>
      <c r="O139" s="16"/>
      <c r="P139" s="23" t="s">
        <v>34</v>
      </c>
      <c r="Q139" s="17">
        <f t="shared" si="1"/>
        <v>45544</v>
      </c>
      <c r="R139" s="15">
        <f t="shared" ref="R139:R142" si="24">L139*0.3</f>
        <v>210</v>
      </c>
      <c r="S139" s="15"/>
      <c r="T139" s="68" t="str">
        <f>VLOOKUP(A139,'Calendar ID'!$A:$C,3,false)</f>
        <v>lovelyMytb@gmail.com </v>
      </c>
      <c r="U139" s="78" t="b">
        <v>0</v>
      </c>
      <c r="V139" s="68" t="str">
        <f>VLOOKUP($A139,'Calendar ID'!$A:$C,2,false)</f>
        <v>c_68f94d9ebfae6399f09ec01b19d2012d5d2b7c5efbd47328c79c373cbeec7a5b@group.calendar.google.com</v>
      </c>
      <c r="W139" s="71" t="b">
        <v>0</v>
      </c>
      <c r="X139" s="68" t="str">
        <f>VLOOKUP($A139,'Calendar ID'!$A:$C,2,false)</f>
        <v>c_68f94d9ebfae6399f09ec01b19d2012d5d2b7c5efbd47328c79c373cbeec7a5b@group.calendar.google.com</v>
      </c>
    </row>
    <row r="140" hidden="1">
      <c r="A140" s="16" t="s">
        <v>110</v>
      </c>
      <c r="B140" s="17">
        <v>45544.0</v>
      </c>
      <c r="C140" s="16" t="s">
        <v>211</v>
      </c>
      <c r="E140" s="17">
        <v>45558.0</v>
      </c>
      <c r="G140" s="17">
        <v>45565.0</v>
      </c>
      <c r="H140" s="10" t="s">
        <v>31</v>
      </c>
      <c r="J140" s="16" t="s">
        <v>43</v>
      </c>
      <c r="K140" s="23" t="s">
        <v>33</v>
      </c>
      <c r="L140" s="31">
        <v>600.0</v>
      </c>
      <c r="N140" s="55" t="s">
        <v>212</v>
      </c>
      <c r="O140" s="16"/>
      <c r="P140" s="23" t="s">
        <v>34</v>
      </c>
      <c r="Q140" s="17">
        <f t="shared" si="1"/>
        <v>45544</v>
      </c>
      <c r="R140" s="15">
        <f t="shared" si="24"/>
        <v>180</v>
      </c>
      <c r="S140" s="20"/>
      <c r="T140" s="68" t="str">
        <f>VLOOKUP(A140,'Calendar ID'!$A:$C,3,false)</f>
        <v>terpperrine@gmail.com</v>
      </c>
      <c r="U140" s="78" t="b">
        <v>0</v>
      </c>
      <c r="V140" s="68" t="str">
        <f>VLOOKUP($A140,'Calendar ID'!$A:$C,2,false)</f>
        <v>c_3454aaede6db5cd8de24b4c70b8c6f3570b98e436e1f71e91d12b7a673ab3f97@group.calendar.google.com</v>
      </c>
      <c r="W140" s="71" t="b">
        <v>0</v>
      </c>
      <c r="X140" s="68" t="str">
        <f>VLOOKUP($A140,'Calendar ID'!$A:$C,2,false)</f>
        <v>c_3454aaede6db5cd8de24b4c70b8c6f3570b98e436e1f71e91d12b7a673ab3f97@group.calendar.google.com</v>
      </c>
    </row>
    <row r="141" hidden="1">
      <c r="A141" s="16" t="s">
        <v>213</v>
      </c>
      <c r="B141" s="17">
        <v>45544.0</v>
      </c>
      <c r="C141" s="16" t="s">
        <v>211</v>
      </c>
      <c r="E141" s="17">
        <v>45558.0</v>
      </c>
      <c r="G141" s="17">
        <v>45560.0</v>
      </c>
      <c r="H141" s="10" t="s">
        <v>31</v>
      </c>
      <c r="J141" s="16" t="s">
        <v>43</v>
      </c>
      <c r="K141" s="23" t="s">
        <v>33</v>
      </c>
      <c r="L141" s="31">
        <v>500.0</v>
      </c>
      <c r="N141" s="16"/>
      <c r="O141" s="16"/>
      <c r="P141" s="23" t="s">
        <v>34</v>
      </c>
      <c r="Q141" s="17">
        <f t="shared" si="1"/>
        <v>45544</v>
      </c>
      <c r="R141" s="15">
        <f t="shared" si="24"/>
        <v>150</v>
      </c>
      <c r="S141" s="20"/>
      <c r="T141" s="68" t="str">
        <f>VLOOKUP(A141,'Calendar ID'!$A:$C,3,false)</f>
        <v>anaiswry@yahoo.fr</v>
      </c>
      <c r="U141" s="78" t="b">
        <v>0</v>
      </c>
      <c r="V141" s="68" t="str">
        <f>VLOOKUP($A141,'Calendar ID'!$A:$C,2,false)</f>
        <v>c_2754856c5047affc6767bb85fb787591389bf7d14d3afd368efdff9979492ab5@group.calendar.google.com</v>
      </c>
      <c r="W141" s="71" t="b">
        <v>0</v>
      </c>
      <c r="X141" s="68" t="str">
        <f>VLOOKUP($A141,'Calendar ID'!$A:$C,2,false)</f>
        <v>c_2754856c5047affc6767bb85fb787591389bf7d14d3afd368efdff9979492ab5@group.calendar.google.com</v>
      </c>
    </row>
    <row r="142" hidden="1">
      <c r="A142" s="16" t="s">
        <v>39</v>
      </c>
      <c r="B142" s="17">
        <v>45544.0</v>
      </c>
      <c r="C142" s="16" t="s">
        <v>211</v>
      </c>
      <c r="E142" s="17">
        <v>45559.0</v>
      </c>
      <c r="G142" s="17">
        <v>45561.0</v>
      </c>
      <c r="H142" s="10" t="s">
        <v>31</v>
      </c>
      <c r="J142" s="16" t="s">
        <v>43</v>
      </c>
      <c r="K142" s="23" t="s">
        <v>33</v>
      </c>
      <c r="L142" s="31">
        <v>450.0</v>
      </c>
      <c r="N142" s="16"/>
      <c r="O142" s="16"/>
      <c r="P142" s="23" t="s">
        <v>34</v>
      </c>
      <c r="Q142" s="17">
        <f t="shared" si="1"/>
        <v>45544</v>
      </c>
      <c r="R142" s="15">
        <f t="shared" si="24"/>
        <v>135</v>
      </c>
      <c r="S142" s="20"/>
      <c r="T142" s="68" t="str">
        <f>VLOOKUP(A142,'Calendar ID'!$A:$C,3,false)</f>
        <v>#N/A</v>
      </c>
      <c r="U142" s="77" t="b">
        <v>0</v>
      </c>
      <c r="V142" s="68" t="str">
        <f>VLOOKUP($A142,'Calendar ID'!$A:$C,2,false)</f>
        <v>#N/A</v>
      </c>
      <c r="W142" s="69" t="b">
        <v>1</v>
      </c>
      <c r="X142" s="70" t="s">
        <v>82</v>
      </c>
    </row>
    <row r="143" hidden="1">
      <c r="A143" s="16" t="s">
        <v>29</v>
      </c>
      <c r="B143" s="17">
        <v>45527.0</v>
      </c>
      <c r="C143" s="16" t="s">
        <v>200</v>
      </c>
      <c r="D143" s="16">
        <v>2.0</v>
      </c>
      <c r="E143" s="17">
        <v>45559.0</v>
      </c>
      <c r="G143" s="17">
        <v>45567.0</v>
      </c>
      <c r="H143" s="10" t="s">
        <v>31</v>
      </c>
      <c r="J143" s="16" t="s">
        <v>43</v>
      </c>
      <c r="K143" s="23" t="s">
        <v>33</v>
      </c>
      <c r="L143" s="31">
        <v>173.0</v>
      </c>
      <c r="N143" s="55" t="s">
        <v>214</v>
      </c>
      <c r="O143" s="16"/>
      <c r="P143" s="23" t="s">
        <v>34</v>
      </c>
      <c r="Q143" s="17">
        <f t="shared" si="1"/>
        <v>45527</v>
      </c>
      <c r="R143" s="15">
        <f>L143*0.2</f>
        <v>34.6</v>
      </c>
      <c r="S143" s="20"/>
      <c r="T143" s="68" t="str">
        <f>VLOOKUP(A143,'Calendar ID'!$A:$C,3,false)</f>
        <v>pauline@grapperagency.com</v>
      </c>
      <c r="U143" s="77" t="b">
        <v>1</v>
      </c>
      <c r="V143" s="70" t="s">
        <v>82</v>
      </c>
      <c r="W143" s="69" t="b">
        <v>1</v>
      </c>
      <c r="X143" s="16" t="s">
        <v>82</v>
      </c>
    </row>
    <row r="144" hidden="1">
      <c r="A144" s="16" t="s">
        <v>215</v>
      </c>
      <c r="B144" s="17">
        <v>45505.0</v>
      </c>
      <c r="C144" s="29" t="s">
        <v>86</v>
      </c>
      <c r="D144" s="16">
        <v>1.0</v>
      </c>
      <c r="E144" s="17">
        <v>45559.0</v>
      </c>
      <c r="G144" s="17">
        <v>45561.0</v>
      </c>
      <c r="H144" s="10" t="s">
        <v>31</v>
      </c>
      <c r="I144" s="16" t="s">
        <v>184</v>
      </c>
      <c r="J144" s="16" t="s">
        <v>43</v>
      </c>
      <c r="K144" s="23" t="s">
        <v>33</v>
      </c>
      <c r="L144" s="39">
        <v>393.3</v>
      </c>
      <c r="N144" s="16"/>
      <c r="O144" s="16"/>
      <c r="P144" s="16" t="s">
        <v>34</v>
      </c>
      <c r="Q144" s="17">
        <f t="shared" si="1"/>
        <v>45505</v>
      </c>
      <c r="R144" s="40">
        <f t="shared" ref="R144:R146" si="25">L144*0.3</f>
        <v>117.99</v>
      </c>
      <c r="S144" s="20"/>
      <c r="T144" s="68" t="str">
        <f>VLOOKUP(A144,'Calendar ID'!$A:$C,3,false)</f>
        <v>iimslmapro@outlook.fr</v>
      </c>
      <c r="U144" s="69" t="b">
        <v>1</v>
      </c>
      <c r="V144" s="70" t="s">
        <v>82</v>
      </c>
      <c r="W144" s="69" t="b">
        <v>1</v>
      </c>
      <c r="X144" s="70" t="s">
        <v>82</v>
      </c>
      <c r="Y144" s="16"/>
      <c r="Z144" s="16"/>
      <c r="AA144" s="16"/>
      <c r="AB144" s="16"/>
      <c r="AC144" s="16"/>
    </row>
    <row r="145" hidden="1">
      <c r="A145" s="16" t="s">
        <v>157</v>
      </c>
      <c r="B145" s="17">
        <v>45532.0</v>
      </c>
      <c r="C145" s="16" t="s">
        <v>216</v>
      </c>
      <c r="E145" s="17">
        <v>45563.0</v>
      </c>
      <c r="G145" s="17">
        <v>45568.0</v>
      </c>
      <c r="H145" s="10" t="s">
        <v>31</v>
      </c>
      <c r="I145" s="16" t="s">
        <v>217</v>
      </c>
      <c r="J145" s="16" t="s">
        <v>43</v>
      </c>
      <c r="K145" s="23" t="s">
        <v>33</v>
      </c>
      <c r="L145" s="31">
        <v>1800.0</v>
      </c>
      <c r="N145" s="16"/>
      <c r="O145" s="16"/>
      <c r="P145" s="23" t="s">
        <v>34</v>
      </c>
      <c r="Q145" s="17">
        <f t="shared" si="1"/>
        <v>45532</v>
      </c>
      <c r="R145" s="15">
        <f t="shared" si="25"/>
        <v>540</v>
      </c>
      <c r="S145" s="20"/>
      <c r="T145" s="68" t="str">
        <f>VLOOKUP(A145,'Calendar ID'!$A:$C,3,false)</f>
        <v>jeannebayart@gmail.com</v>
      </c>
      <c r="U145" s="77" t="b">
        <v>1</v>
      </c>
      <c r="V145" s="70" t="s">
        <v>82</v>
      </c>
      <c r="W145" s="69" t="b">
        <v>1</v>
      </c>
      <c r="X145" s="70" t="s">
        <v>82</v>
      </c>
    </row>
    <row r="146" hidden="1">
      <c r="A146" s="16" t="s">
        <v>157</v>
      </c>
      <c r="B146" s="17">
        <v>45549.0</v>
      </c>
      <c r="C146" s="16" t="s">
        <v>199</v>
      </c>
      <c r="E146" s="17">
        <v>45564.0</v>
      </c>
      <c r="F146" s="17">
        <v>45537.0</v>
      </c>
      <c r="G146" s="17">
        <v>45598.0</v>
      </c>
      <c r="H146" s="10" t="s">
        <v>31</v>
      </c>
      <c r="I146" s="16" t="s">
        <v>218</v>
      </c>
      <c r="J146" s="16" t="s">
        <v>43</v>
      </c>
      <c r="K146" s="23" t="s">
        <v>33</v>
      </c>
      <c r="L146" s="31">
        <v>350.0</v>
      </c>
      <c r="N146" s="65" t="s">
        <v>219</v>
      </c>
      <c r="O146" s="16"/>
      <c r="P146" s="23" t="s">
        <v>34</v>
      </c>
      <c r="Q146" s="17">
        <f t="shared" si="1"/>
        <v>45549</v>
      </c>
      <c r="R146" s="15">
        <f t="shared" si="25"/>
        <v>105</v>
      </c>
      <c r="S146" s="20"/>
      <c r="T146" s="68" t="str">
        <f>VLOOKUP(A146,'Calendar ID'!$A:$C,3,false)</f>
        <v>jeannebayart@gmail.com</v>
      </c>
      <c r="U146" s="77" t="b">
        <v>1</v>
      </c>
      <c r="V146" s="70" t="s">
        <v>82</v>
      </c>
      <c r="W146" s="69" t="b">
        <v>1</v>
      </c>
      <c r="X146" s="70" t="s">
        <v>82</v>
      </c>
    </row>
    <row r="147" hidden="1">
      <c r="A147" s="16" t="s">
        <v>45</v>
      </c>
      <c r="B147" s="17">
        <v>45548.0</v>
      </c>
      <c r="C147" s="16" t="s">
        <v>199</v>
      </c>
      <c r="E147" s="17">
        <v>45564.0</v>
      </c>
      <c r="F147" s="17">
        <v>45537.0</v>
      </c>
      <c r="G147" s="17">
        <v>45576.0</v>
      </c>
      <c r="H147" s="10" t="s">
        <v>31</v>
      </c>
      <c r="J147" s="16" t="s">
        <v>43</v>
      </c>
      <c r="K147" s="23" t="s">
        <v>33</v>
      </c>
      <c r="L147" s="31">
        <v>450.0</v>
      </c>
      <c r="N147" s="16"/>
      <c r="O147" s="16"/>
      <c r="P147" s="23" t="s">
        <v>34</v>
      </c>
      <c r="Q147" s="17">
        <f t="shared" si="1"/>
        <v>45548</v>
      </c>
      <c r="R147" s="15">
        <f>L147*0.25</f>
        <v>112.5</v>
      </c>
      <c r="S147" s="20"/>
      <c r="T147" s="68" t="str">
        <f>VLOOKUP(A147,'Calendar ID'!$A:$C,3,false)</f>
        <v>lilyy.nl@grapperagency.com</v>
      </c>
      <c r="U147" s="77" t="b">
        <v>1</v>
      </c>
      <c r="V147" s="70" t="s">
        <v>82</v>
      </c>
      <c r="W147" s="69" t="b">
        <v>1</v>
      </c>
      <c r="X147" s="70" t="s">
        <v>82</v>
      </c>
    </row>
    <row r="148" hidden="1">
      <c r="A148" s="16" t="s">
        <v>45</v>
      </c>
      <c r="B148" s="17">
        <v>45524.0</v>
      </c>
      <c r="C148" s="16" t="s">
        <v>220</v>
      </c>
      <c r="D148" s="16" t="s">
        <v>221</v>
      </c>
      <c r="E148" s="17">
        <v>45571.0</v>
      </c>
      <c r="F148" s="17"/>
      <c r="G148" s="17"/>
      <c r="H148" s="10" t="s">
        <v>31</v>
      </c>
      <c r="I148" s="16" t="s">
        <v>221</v>
      </c>
      <c r="J148" s="16" t="s">
        <v>43</v>
      </c>
      <c r="K148" s="23" t="s">
        <v>33</v>
      </c>
      <c r="L148" s="31" t="s">
        <v>56</v>
      </c>
      <c r="N148" s="16"/>
      <c r="O148" s="16"/>
      <c r="P148" s="16"/>
      <c r="Q148" s="17">
        <f t="shared" si="1"/>
        <v>45524</v>
      </c>
      <c r="S148" s="20"/>
      <c r="T148" s="68" t="str">
        <f>VLOOKUP(A148,'Calendar ID'!$A:$C,3,false)</f>
        <v>lilyy.nl@grapperagency.com</v>
      </c>
      <c r="U148" s="77" t="b">
        <v>1</v>
      </c>
      <c r="V148" s="70" t="s">
        <v>82</v>
      </c>
      <c r="W148" s="69" t="b">
        <v>0</v>
      </c>
      <c r="X148" s="68" t="str">
        <f>VLOOKUP($A148,'Calendar ID'!$A:$C,2,false)</f>
        <v>c_665764ca21c8e4b3814e25bf24bc7074fa55890dce5d4073abb0fdddc70649d4@group.calendar.google.com</v>
      </c>
    </row>
    <row r="149" hidden="1">
      <c r="A149" s="16" t="s">
        <v>157</v>
      </c>
      <c r="B149" s="17">
        <v>45544.0</v>
      </c>
      <c r="C149" s="16" t="s">
        <v>222</v>
      </c>
      <c r="E149" s="17">
        <v>45574.0</v>
      </c>
      <c r="G149" s="17">
        <v>45611.0</v>
      </c>
      <c r="H149" s="10" t="s">
        <v>31</v>
      </c>
      <c r="I149" s="16" t="s">
        <v>223</v>
      </c>
      <c r="J149" s="16" t="s">
        <v>43</v>
      </c>
      <c r="K149" s="23" t="s">
        <v>33</v>
      </c>
      <c r="L149" s="31">
        <v>500.0</v>
      </c>
      <c r="N149" s="65" t="s">
        <v>224</v>
      </c>
      <c r="O149" s="16"/>
      <c r="P149" s="23" t="s">
        <v>34</v>
      </c>
      <c r="Q149" s="17">
        <f t="shared" si="1"/>
        <v>45544</v>
      </c>
      <c r="R149" s="15">
        <f>L149*0.3</f>
        <v>150</v>
      </c>
      <c r="S149" s="20"/>
      <c r="T149" s="68" t="str">
        <f>VLOOKUP(A149,'Calendar ID'!$A:$C,3,false)</f>
        <v>jeannebayart@gmail.com</v>
      </c>
      <c r="U149" s="77" t="b">
        <v>1</v>
      </c>
      <c r="V149" s="70" t="s">
        <v>82</v>
      </c>
      <c r="W149" s="69" t="b">
        <v>1</v>
      </c>
      <c r="X149" s="70" t="s">
        <v>82</v>
      </c>
    </row>
    <row r="150" hidden="1">
      <c r="A150" s="16" t="s">
        <v>29</v>
      </c>
      <c r="B150" s="17">
        <v>45561.0</v>
      </c>
      <c r="C150" s="16" t="s">
        <v>127</v>
      </c>
      <c r="E150" s="17">
        <v>45572.0</v>
      </c>
      <c r="G150" s="17"/>
      <c r="H150" s="10" t="s">
        <v>31</v>
      </c>
      <c r="J150" s="16" t="s">
        <v>43</v>
      </c>
      <c r="K150" s="23" t="s">
        <v>33</v>
      </c>
      <c r="L150" s="51">
        <v>400.0</v>
      </c>
      <c r="N150" s="16"/>
      <c r="O150" s="16"/>
      <c r="P150" s="16" t="s">
        <v>34</v>
      </c>
      <c r="Q150" s="17">
        <f t="shared" si="1"/>
        <v>45561</v>
      </c>
      <c r="R150" s="81">
        <f>L150*0.2</f>
        <v>80</v>
      </c>
      <c r="S150" s="20"/>
      <c r="T150" s="68" t="str">
        <f>VLOOKUP(A150,'Calendar ID'!$A:$C,3,false)</f>
        <v>pauline@grapperagency.com</v>
      </c>
      <c r="U150" s="77" t="b">
        <v>1</v>
      </c>
      <c r="V150" s="70" t="s">
        <v>82</v>
      </c>
      <c r="W150" s="71" t="b">
        <v>0</v>
      </c>
      <c r="X150" s="68" t="str">
        <f>VLOOKUP($A150,'Calendar ID'!$A:$C,2,false)</f>
        <v>c_a715193c206b2aa1e4b81b8a3772df33bf92c92611202a890a6bccecb2131fcb@group.calendar.google.com</v>
      </c>
    </row>
    <row r="151" hidden="1">
      <c r="A151" s="23" t="s">
        <v>42</v>
      </c>
      <c r="B151" s="11">
        <v>45381.0</v>
      </c>
      <c r="C151" s="7" t="s">
        <v>188</v>
      </c>
      <c r="D151" s="7"/>
      <c r="E151" s="54">
        <v>45576.0</v>
      </c>
      <c r="F151" s="26"/>
      <c r="G151" s="8">
        <v>45597.0</v>
      </c>
      <c r="H151" s="10" t="s">
        <v>31</v>
      </c>
      <c r="I151" s="10"/>
      <c r="J151" s="23" t="s">
        <v>43</v>
      </c>
      <c r="K151" s="14" t="s">
        <v>33</v>
      </c>
      <c r="L151" s="14" t="s">
        <v>50</v>
      </c>
      <c r="M151" s="7"/>
      <c r="N151" s="23"/>
      <c r="O151" s="23"/>
      <c r="P151" s="7"/>
      <c r="Q151" s="17">
        <f t="shared" si="1"/>
        <v>45381</v>
      </c>
      <c r="R151" s="7"/>
      <c r="S151" s="68"/>
      <c r="T151" s="68" t="str">
        <f>VLOOKUP(A151,'Calendar ID'!$A:$C,3,false)</f>
        <v>cmepls.pro@gmail.com</v>
      </c>
      <c r="U151" s="69" t="b">
        <v>1</v>
      </c>
      <c r="V151" s="70" t="s">
        <v>82</v>
      </c>
      <c r="W151" s="69" t="b">
        <v>1</v>
      </c>
      <c r="X151" s="70" t="s">
        <v>82</v>
      </c>
      <c r="Y151" s="23"/>
      <c r="Z151" s="23"/>
      <c r="AA151" s="23"/>
      <c r="AB151" s="23"/>
      <c r="AC151" s="23"/>
    </row>
    <row r="152" hidden="1">
      <c r="A152" s="16" t="s">
        <v>76</v>
      </c>
      <c r="B152" s="17">
        <v>45544.0</v>
      </c>
      <c r="C152" s="16" t="s">
        <v>222</v>
      </c>
      <c r="E152" s="17">
        <v>45581.0</v>
      </c>
      <c r="G152" s="17">
        <v>45604.0</v>
      </c>
      <c r="H152" s="10" t="s">
        <v>31</v>
      </c>
      <c r="I152" s="16" t="s">
        <v>223</v>
      </c>
      <c r="J152" s="16" t="s">
        <v>43</v>
      </c>
      <c r="K152" s="23" t="s">
        <v>33</v>
      </c>
      <c r="L152" s="31">
        <v>400.0</v>
      </c>
      <c r="N152" s="55" t="s">
        <v>225</v>
      </c>
      <c r="O152" s="16"/>
      <c r="P152" s="23" t="s">
        <v>34</v>
      </c>
      <c r="Q152" s="17">
        <f t="shared" si="1"/>
        <v>45544</v>
      </c>
      <c r="R152" s="15">
        <f t="shared" ref="R152:R156" si="26">L152*0.3</f>
        <v>120</v>
      </c>
      <c r="S152" s="20"/>
      <c r="T152" s="68" t="str">
        <f>VLOOKUP(A152,'Calendar ID'!$A:$C,3,false)</f>
        <v>orane.baron1403@gmail.com</v>
      </c>
      <c r="U152" s="77" t="b">
        <v>1</v>
      </c>
      <c r="V152" s="70" t="s">
        <v>82</v>
      </c>
      <c r="W152" s="69" t="b">
        <v>1</v>
      </c>
      <c r="X152" s="70" t="s">
        <v>82</v>
      </c>
    </row>
    <row r="153" hidden="1">
      <c r="A153" s="16" t="s">
        <v>39</v>
      </c>
      <c r="B153" s="17">
        <v>45561.0</v>
      </c>
      <c r="C153" s="16" t="s">
        <v>226</v>
      </c>
      <c r="D153" s="16" t="s">
        <v>227</v>
      </c>
      <c r="E153" s="17">
        <v>45580.0</v>
      </c>
      <c r="F153" s="82">
        <v>45585.0</v>
      </c>
      <c r="G153" s="82">
        <v>45592.0</v>
      </c>
      <c r="H153" s="10" t="s">
        <v>31</v>
      </c>
      <c r="J153" s="16" t="s">
        <v>43</v>
      </c>
      <c r="K153" s="23" t="s">
        <v>33</v>
      </c>
      <c r="L153" s="83">
        <v>500.0</v>
      </c>
      <c r="N153" s="65" t="s">
        <v>228</v>
      </c>
      <c r="O153" s="16"/>
      <c r="P153" s="16" t="s">
        <v>34</v>
      </c>
      <c r="Q153" s="17">
        <f t="shared" si="1"/>
        <v>45561</v>
      </c>
      <c r="R153" s="18">
        <f t="shared" si="26"/>
        <v>150</v>
      </c>
      <c r="S153" s="20"/>
      <c r="T153" s="68" t="str">
        <f>VLOOKUP(A153,'Calendar ID'!$A:$C,3,false)</f>
        <v>#N/A</v>
      </c>
      <c r="U153" s="77" t="b">
        <v>0</v>
      </c>
      <c r="V153" s="68" t="str">
        <f>VLOOKUP($A153,'Calendar ID'!$A:$C,2,false)</f>
        <v>#N/A</v>
      </c>
      <c r="W153" s="69" t="b">
        <v>1</v>
      </c>
      <c r="X153" s="70" t="s">
        <v>82</v>
      </c>
    </row>
    <row r="154" hidden="1">
      <c r="A154" s="16" t="s">
        <v>76</v>
      </c>
      <c r="B154" s="17">
        <v>45533.0</v>
      </c>
      <c r="C154" s="29" t="s">
        <v>79</v>
      </c>
      <c r="E154" s="17">
        <v>45556.0</v>
      </c>
      <c r="G154" s="17">
        <v>45558.0</v>
      </c>
      <c r="H154" s="10" t="s">
        <v>31</v>
      </c>
      <c r="J154" s="16" t="s">
        <v>43</v>
      </c>
      <c r="K154" s="23" t="s">
        <v>33</v>
      </c>
      <c r="L154" s="31">
        <v>500.0</v>
      </c>
      <c r="N154" s="16"/>
      <c r="O154" s="16"/>
      <c r="P154" s="23" t="s">
        <v>34</v>
      </c>
      <c r="Q154" s="17">
        <f t="shared" si="1"/>
        <v>45533</v>
      </c>
      <c r="R154" s="15">
        <f t="shared" si="26"/>
        <v>150</v>
      </c>
      <c r="S154" s="20"/>
      <c r="T154" s="68" t="str">
        <f>VLOOKUP(A154,'Calendar ID'!$A:$C,3,false)</f>
        <v>orane.baron1403@gmail.com</v>
      </c>
      <c r="U154" s="77" t="b">
        <v>1</v>
      </c>
      <c r="V154" s="70" t="s">
        <v>82</v>
      </c>
      <c r="W154" s="69" t="b">
        <v>1</v>
      </c>
      <c r="X154" s="70" t="s">
        <v>82</v>
      </c>
    </row>
    <row r="155" hidden="1">
      <c r="A155" s="16" t="s">
        <v>136</v>
      </c>
      <c r="B155" s="17">
        <v>45561.0</v>
      </c>
      <c r="C155" s="16" t="s">
        <v>229</v>
      </c>
      <c r="E155" s="17">
        <v>45582.0</v>
      </c>
      <c r="G155" s="17">
        <v>45591.0</v>
      </c>
      <c r="H155" s="10" t="s">
        <v>31</v>
      </c>
      <c r="I155" s="84" t="s">
        <v>230</v>
      </c>
      <c r="J155" s="16" t="s">
        <v>43</v>
      </c>
      <c r="K155" s="23" t="s">
        <v>33</v>
      </c>
      <c r="L155" s="31">
        <f t="shared" ref="L155:L156" si="27">1250/2</f>
        <v>625</v>
      </c>
      <c r="N155" s="65" t="s">
        <v>231</v>
      </c>
      <c r="O155" s="16"/>
      <c r="P155" s="23" t="s">
        <v>34</v>
      </c>
      <c r="Q155" s="17">
        <f t="shared" si="1"/>
        <v>45561</v>
      </c>
      <c r="R155" s="15">
        <f t="shared" si="26"/>
        <v>187.5</v>
      </c>
      <c r="S155" s="20"/>
      <c r="T155" s="68" t="str">
        <f>VLOOKUP(A155,'Calendar ID'!$A:$C,3,false)</f>
        <v>liserdg.pro@gmail.com </v>
      </c>
      <c r="U155" s="77" t="b">
        <v>1</v>
      </c>
      <c r="V155" s="70" t="s">
        <v>82</v>
      </c>
      <c r="W155" s="69" t="b">
        <v>1</v>
      </c>
      <c r="X155" s="70" t="s">
        <v>82</v>
      </c>
    </row>
    <row r="156" hidden="1">
      <c r="A156" s="16" t="s">
        <v>136</v>
      </c>
      <c r="B156" s="17">
        <v>45561.0</v>
      </c>
      <c r="C156" s="16" t="s">
        <v>229</v>
      </c>
      <c r="E156" s="17">
        <v>45582.0</v>
      </c>
      <c r="F156" s="85">
        <f>G156+(30*6)</f>
        <v>45778</v>
      </c>
      <c r="G156" s="17">
        <v>45598.0</v>
      </c>
      <c r="H156" s="10" t="s">
        <v>31</v>
      </c>
      <c r="I156" s="84" t="s">
        <v>232</v>
      </c>
      <c r="J156" s="16" t="s">
        <v>43</v>
      </c>
      <c r="K156" s="23" t="s">
        <v>33</v>
      </c>
      <c r="L156" s="31">
        <f t="shared" si="27"/>
        <v>625</v>
      </c>
      <c r="N156" s="65" t="s">
        <v>233</v>
      </c>
      <c r="O156" s="16"/>
      <c r="P156" s="23" t="s">
        <v>34</v>
      </c>
      <c r="Q156" s="17">
        <f t="shared" si="1"/>
        <v>45561</v>
      </c>
      <c r="R156" s="15">
        <f t="shared" si="26"/>
        <v>187.5</v>
      </c>
      <c r="S156" s="20"/>
      <c r="T156" s="68" t="str">
        <f>VLOOKUP(A156,'Calendar ID'!$A:$C,3,false)</f>
        <v>liserdg.pro@gmail.com </v>
      </c>
      <c r="U156" s="77" t="b">
        <v>1</v>
      </c>
      <c r="V156" s="70" t="s">
        <v>82</v>
      </c>
      <c r="W156" s="69" t="b">
        <v>1</v>
      </c>
      <c r="X156" s="70" t="s">
        <v>82</v>
      </c>
    </row>
    <row r="157" hidden="1">
      <c r="A157" s="16" t="s">
        <v>36</v>
      </c>
      <c r="B157" s="17">
        <v>45561.0</v>
      </c>
      <c r="C157" s="16" t="s">
        <v>229</v>
      </c>
      <c r="E157" s="17">
        <v>45583.0</v>
      </c>
      <c r="G157" s="17"/>
      <c r="H157" s="10" t="s">
        <v>31</v>
      </c>
      <c r="I157" s="16" t="s">
        <v>234</v>
      </c>
      <c r="J157" s="16" t="s">
        <v>43</v>
      </c>
      <c r="K157" s="23" t="s">
        <v>33</v>
      </c>
      <c r="L157" s="31">
        <f>1500/2</f>
        <v>750</v>
      </c>
      <c r="N157" s="16"/>
      <c r="O157" s="16"/>
      <c r="P157" s="23" t="s">
        <v>34</v>
      </c>
      <c r="Q157" s="17">
        <f t="shared" si="1"/>
        <v>45561</v>
      </c>
      <c r="R157" s="15">
        <f>L157*0.2</f>
        <v>150</v>
      </c>
      <c r="S157" s="20"/>
      <c r="T157" s="68" t="str">
        <f>VLOOKUP(A157,'Calendar ID'!$A:$C,3,false)</f>
        <v>chiara@grapperagency.com</v>
      </c>
      <c r="U157" s="77" t="b">
        <v>1</v>
      </c>
      <c r="V157" s="70" t="s">
        <v>82</v>
      </c>
      <c r="W157" s="71" t="b">
        <v>0</v>
      </c>
      <c r="X157" s="68" t="str">
        <f>VLOOKUP($A157,'Calendar ID'!$A:$C,2,false)</f>
        <v>c_6fd5f3c25278bd569c413814d6452fc4f9cb936bb38174e89b1cb54f9ec7c89d@group.calendar.google.com</v>
      </c>
    </row>
    <row r="158" hidden="1">
      <c r="A158" s="16" t="s">
        <v>113</v>
      </c>
      <c r="B158" s="17">
        <v>45489.0</v>
      </c>
      <c r="C158" s="16" t="s">
        <v>235</v>
      </c>
      <c r="E158" s="17">
        <v>45588.0</v>
      </c>
      <c r="F158" s="17"/>
      <c r="G158" s="17">
        <v>45593.0</v>
      </c>
      <c r="H158" s="10" t="s">
        <v>31</v>
      </c>
      <c r="I158" s="84"/>
      <c r="J158" s="7" t="s">
        <v>43</v>
      </c>
      <c r="K158" s="23" t="s">
        <v>33</v>
      </c>
      <c r="L158" s="31">
        <v>700.0</v>
      </c>
      <c r="N158" s="65" t="s">
        <v>236</v>
      </c>
      <c r="O158" s="16"/>
      <c r="P158" s="23" t="s">
        <v>34</v>
      </c>
      <c r="Q158" s="17">
        <f t="shared" si="1"/>
        <v>45489</v>
      </c>
      <c r="R158" s="18">
        <f t="shared" ref="R158:R161" si="28">L158*0.3</f>
        <v>210</v>
      </c>
      <c r="S158" s="20"/>
      <c r="T158" s="68" t="str">
        <f>VLOOKUP(A158,'Calendar ID'!$A:$C,3,false)</f>
        <v>lovelyMytb@gmail.com </v>
      </c>
      <c r="U158" s="69" t="b">
        <v>1</v>
      </c>
      <c r="V158" s="70" t="s">
        <v>82</v>
      </c>
      <c r="W158" s="69" t="b">
        <v>1</v>
      </c>
      <c r="X158" s="70" t="s">
        <v>82</v>
      </c>
      <c r="Y158" s="16"/>
      <c r="Z158" s="16"/>
      <c r="AA158" s="16"/>
      <c r="AB158" s="16"/>
      <c r="AC158" s="16"/>
    </row>
    <row r="159" hidden="1">
      <c r="A159" s="16" t="s">
        <v>237</v>
      </c>
      <c r="B159" s="17">
        <v>45790.0</v>
      </c>
      <c r="C159" s="16" t="s">
        <v>48</v>
      </c>
      <c r="D159" s="16" t="s">
        <v>238</v>
      </c>
      <c r="E159" s="52">
        <v>45819.0</v>
      </c>
      <c r="F159" s="17"/>
      <c r="G159" s="52">
        <v>45822.0</v>
      </c>
      <c r="H159" s="10" t="s">
        <v>31</v>
      </c>
      <c r="J159" s="7" t="s">
        <v>43</v>
      </c>
      <c r="K159" s="7" t="s">
        <v>33</v>
      </c>
      <c r="L159" s="31">
        <f>500/4</f>
        <v>125</v>
      </c>
      <c r="N159" s="65" t="s">
        <v>239</v>
      </c>
      <c r="O159" s="16"/>
      <c r="P159" s="23" t="s">
        <v>34</v>
      </c>
      <c r="Q159" s="17">
        <f t="shared" si="1"/>
        <v>45790</v>
      </c>
      <c r="R159" s="18">
        <f t="shared" si="28"/>
        <v>37.5</v>
      </c>
      <c r="S159" s="20"/>
      <c r="T159" s="68" t="str">
        <f>VLOOKUP(A159,'Calendar ID'!$A:$C,3,false)</f>
        <v>shaaadl.pro@gmail.com</v>
      </c>
      <c r="U159" s="71" t="b">
        <v>0</v>
      </c>
      <c r="V159" s="68" t="str">
        <f>VLOOKUP($A159,'Calendar ID'!$A:$C,2,false)</f>
        <v>c_9384058245a0bc66157c09691047ea8f88622323c6761b8606c18d9b08ee0bf8@group.calendar.google.com</v>
      </c>
      <c r="W159" s="71" t="b">
        <v>0</v>
      </c>
      <c r="X159" s="68" t="str">
        <f>VLOOKUP($A159,'Calendar ID'!$A:$C,2,false)</f>
        <v>c_9384058245a0bc66157c09691047ea8f88622323c6761b8606c18d9b08ee0bf8@group.calendar.google.com</v>
      </c>
    </row>
    <row r="160" hidden="1">
      <c r="A160" s="16" t="s">
        <v>76</v>
      </c>
      <c r="B160" s="17">
        <v>45533.0</v>
      </c>
      <c r="C160" s="29" t="s">
        <v>79</v>
      </c>
      <c r="E160" s="17">
        <v>45556.0</v>
      </c>
      <c r="G160" s="17">
        <v>45561.0</v>
      </c>
      <c r="H160" s="10" t="s">
        <v>31</v>
      </c>
      <c r="J160" s="16" t="s">
        <v>43</v>
      </c>
      <c r="K160" s="23" t="s">
        <v>33</v>
      </c>
      <c r="L160" s="31">
        <v>500.0</v>
      </c>
      <c r="N160" s="55" t="s">
        <v>240</v>
      </c>
      <c r="O160" s="16"/>
      <c r="P160" s="23" t="s">
        <v>34</v>
      </c>
      <c r="Q160" s="17">
        <f t="shared" si="1"/>
        <v>45533</v>
      </c>
      <c r="R160" s="15">
        <f t="shared" si="28"/>
        <v>150</v>
      </c>
      <c r="S160" s="20"/>
      <c r="T160" s="68" t="str">
        <f>VLOOKUP(A160,'Calendar ID'!$A:$C,3,false)</f>
        <v>orane.baron1403@gmail.com</v>
      </c>
      <c r="U160" s="77" t="b">
        <v>1</v>
      </c>
      <c r="V160" s="70" t="s">
        <v>82</v>
      </c>
      <c r="W160" s="69" t="b">
        <v>1</v>
      </c>
      <c r="X160" s="70" t="s">
        <v>82</v>
      </c>
    </row>
    <row r="161" hidden="1">
      <c r="A161" s="16" t="s">
        <v>213</v>
      </c>
      <c r="B161" s="17">
        <v>45538.0</v>
      </c>
      <c r="C161" s="16" t="s">
        <v>86</v>
      </c>
      <c r="E161" s="17">
        <v>45590.0</v>
      </c>
      <c r="G161" s="17">
        <v>45601.0</v>
      </c>
      <c r="H161" s="10" t="s">
        <v>31</v>
      </c>
      <c r="I161" s="16" t="s">
        <v>241</v>
      </c>
      <c r="J161" s="16" t="s">
        <v>43</v>
      </c>
      <c r="K161" s="23" t="s">
        <v>33</v>
      </c>
      <c r="L161" s="31">
        <f>765/2</f>
        <v>382.5</v>
      </c>
      <c r="N161" s="65" t="s">
        <v>242</v>
      </c>
      <c r="O161" s="16"/>
      <c r="P161" s="16" t="s">
        <v>34</v>
      </c>
      <c r="Q161" s="17">
        <f t="shared" si="1"/>
        <v>45538</v>
      </c>
      <c r="R161" s="18">
        <f t="shared" si="28"/>
        <v>114.75</v>
      </c>
      <c r="S161" s="20"/>
      <c r="T161" s="68" t="str">
        <f>VLOOKUP(A161,'Calendar ID'!$A:$C,3,false)</f>
        <v>anaiswry@yahoo.fr</v>
      </c>
      <c r="U161" s="77" t="b">
        <v>1</v>
      </c>
      <c r="V161" s="70" t="s">
        <v>82</v>
      </c>
      <c r="W161" s="69" t="b">
        <v>1</v>
      </c>
      <c r="X161" s="70" t="s">
        <v>82</v>
      </c>
    </row>
    <row r="162" hidden="1">
      <c r="A162" s="16" t="s">
        <v>36</v>
      </c>
      <c r="B162" s="17">
        <v>45561.0</v>
      </c>
      <c r="C162" s="16" t="s">
        <v>229</v>
      </c>
      <c r="E162" s="17">
        <v>45592.0</v>
      </c>
      <c r="G162" s="17">
        <v>45612.0</v>
      </c>
      <c r="H162" s="10" t="s">
        <v>31</v>
      </c>
      <c r="I162" s="16" t="s">
        <v>234</v>
      </c>
      <c r="J162" s="16" t="s">
        <v>43</v>
      </c>
      <c r="K162" s="23" t="s">
        <v>33</v>
      </c>
      <c r="L162" s="31">
        <f>1500/2</f>
        <v>750</v>
      </c>
      <c r="N162" s="55" t="s">
        <v>243</v>
      </c>
      <c r="O162" s="16"/>
      <c r="P162" s="23" t="s">
        <v>34</v>
      </c>
      <c r="Q162" s="17">
        <f t="shared" si="1"/>
        <v>45561</v>
      </c>
      <c r="R162" s="15">
        <f>L162*0.2</f>
        <v>150</v>
      </c>
      <c r="S162" s="20"/>
      <c r="T162" s="68" t="str">
        <f>VLOOKUP(A162,'Calendar ID'!$A:$C,3,false)</f>
        <v>chiara@grapperagency.com</v>
      </c>
      <c r="U162" s="77" t="b">
        <v>1</v>
      </c>
      <c r="V162" s="70" t="s">
        <v>82</v>
      </c>
      <c r="W162" s="69" t="b">
        <v>1</v>
      </c>
      <c r="X162" s="70" t="s">
        <v>82</v>
      </c>
    </row>
    <row r="163" hidden="1">
      <c r="A163" s="16" t="s">
        <v>157</v>
      </c>
      <c r="B163" s="17">
        <v>45505.0</v>
      </c>
      <c r="C163" s="29" t="s">
        <v>86</v>
      </c>
      <c r="E163" s="17">
        <v>45592.0</v>
      </c>
      <c r="G163" s="17">
        <v>45606.0</v>
      </c>
      <c r="H163" s="10" t="s">
        <v>31</v>
      </c>
      <c r="I163" s="84" t="s">
        <v>232</v>
      </c>
      <c r="J163" s="16" t="s">
        <v>43</v>
      </c>
      <c r="K163" s="23" t="s">
        <v>33</v>
      </c>
      <c r="L163" s="39">
        <v>699.2</v>
      </c>
      <c r="N163" s="16"/>
      <c r="O163" s="16"/>
      <c r="P163" s="16" t="s">
        <v>34</v>
      </c>
      <c r="Q163" s="17">
        <f t="shared" si="1"/>
        <v>45505</v>
      </c>
      <c r="R163" s="40">
        <f t="shared" ref="R163:R165" si="29">L163*0.3</f>
        <v>209.76</v>
      </c>
      <c r="S163" s="20"/>
      <c r="T163" s="68" t="str">
        <f>VLOOKUP(A163,'Calendar ID'!$A:$C,3,false)</f>
        <v>jeannebayart@gmail.com</v>
      </c>
      <c r="U163" s="69" t="b">
        <v>1</v>
      </c>
      <c r="V163" s="70" t="s">
        <v>82</v>
      </c>
      <c r="W163" s="69" t="b">
        <v>1</v>
      </c>
      <c r="X163" s="70" t="s">
        <v>82</v>
      </c>
      <c r="Y163" s="16"/>
      <c r="Z163" s="16"/>
      <c r="AA163" s="16" t="s">
        <v>158</v>
      </c>
      <c r="AB163" s="16"/>
      <c r="AC163" s="20" t="str">
        <f>VLOOKUP($A163,'Calendar ID'!$A:$D,4,FALSE)</f>
        <v>1F40mnL3JpqXpe0o5qrbDG4GuV9h68eR7gA-3pUAyNHM</v>
      </c>
    </row>
    <row r="164" hidden="1">
      <c r="A164" s="16" t="s">
        <v>244</v>
      </c>
      <c r="B164" s="17">
        <v>45561.0</v>
      </c>
      <c r="C164" s="16" t="s">
        <v>245</v>
      </c>
      <c r="E164" s="11">
        <v>45598.0</v>
      </c>
      <c r="F164" s="17"/>
      <c r="G164" s="82">
        <v>45608.0</v>
      </c>
      <c r="H164" s="10" t="s">
        <v>31</v>
      </c>
      <c r="J164" s="16" t="s">
        <v>43</v>
      </c>
      <c r="K164" s="23" t="s">
        <v>33</v>
      </c>
      <c r="L164" s="51">
        <v>300.0</v>
      </c>
      <c r="N164" s="16"/>
      <c r="O164" s="16"/>
      <c r="P164" s="16" t="s">
        <v>34</v>
      </c>
      <c r="Q164" s="17">
        <f t="shared" si="1"/>
        <v>45561</v>
      </c>
      <c r="R164" s="81">
        <f t="shared" si="29"/>
        <v>90</v>
      </c>
      <c r="S164" s="20"/>
      <c r="T164" s="68" t="str">
        <f>VLOOKUP(A164,'Calendar ID'!$A:$C,3,false)</f>
        <v>jasminepro26@icloud.com </v>
      </c>
      <c r="U164" s="78" t="b">
        <v>0</v>
      </c>
      <c r="V164" s="68" t="str">
        <f>VLOOKUP($A164,'Calendar ID'!$A:$C,2,false)</f>
        <v>c_b534e1be73647e660d74cbb308a8c39b0102a8b56261b3886e0967d9ee34f368@group.calendar.google.com</v>
      </c>
      <c r="W164" s="69" t="b">
        <v>1</v>
      </c>
      <c r="X164" s="70" t="s">
        <v>82</v>
      </c>
    </row>
    <row r="165" hidden="1">
      <c r="A165" s="16" t="s">
        <v>113</v>
      </c>
      <c r="B165" s="17">
        <v>45561.0</v>
      </c>
      <c r="C165" s="16" t="s">
        <v>245</v>
      </c>
      <c r="E165" s="11">
        <v>45598.0</v>
      </c>
      <c r="F165" s="17"/>
      <c r="G165" s="82">
        <v>45611.0</v>
      </c>
      <c r="H165" s="10" t="s">
        <v>31</v>
      </c>
      <c r="J165" s="16" t="s">
        <v>43</v>
      </c>
      <c r="K165" s="23" t="s">
        <v>33</v>
      </c>
      <c r="L165" s="51">
        <v>300.0</v>
      </c>
      <c r="N165" s="65" t="s">
        <v>246</v>
      </c>
      <c r="O165" s="16"/>
      <c r="P165" s="16" t="s">
        <v>34</v>
      </c>
      <c r="Q165" s="17">
        <f t="shared" si="1"/>
        <v>45561</v>
      </c>
      <c r="R165" s="81">
        <f t="shared" si="29"/>
        <v>90</v>
      </c>
      <c r="S165" s="20"/>
      <c r="T165" s="68" t="str">
        <f>VLOOKUP(A165,'Calendar ID'!$A:$C,3,false)</f>
        <v>lovelyMytb@gmail.com </v>
      </c>
      <c r="U165" s="78" t="b">
        <v>0</v>
      </c>
      <c r="V165" s="68" t="str">
        <f>VLOOKUP($A165,'Calendar ID'!$A:$C,2,false)</f>
        <v>c_68f94d9ebfae6399f09ec01b19d2012d5d2b7c5efbd47328c79c373cbeec7a5b@group.calendar.google.com</v>
      </c>
      <c r="W165" s="69" t="b">
        <v>1</v>
      </c>
      <c r="X165" s="70" t="s">
        <v>247</v>
      </c>
    </row>
    <row r="166" hidden="1">
      <c r="A166" s="16" t="s">
        <v>57</v>
      </c>
      <c r="B166" s="17">
        <v>45561.0</v>
      </c>
      <c r="C166" s="16" t="s">
        <v>245</v>
      </c>
      <c r="E166" s="11">
        <v>45599.0</v>
      </c>
      <c r="F166" s="17"/>
      <c r="G166" s="54">
        <v>45608.0</v>
      </c>
      <c r="H166" s="10" t="s">
        <v>31</v>
      </c>
      <c r="J166" s="16" t="s">
        <v>43</v>
      </c>
      <c r="K166" s="23" t="s">
        <v>33</v>
      </c>
      <c r="L166" s="51">
        <v>100.0</v>
      </c>
      <c r="N166" s="16"/>
      <c r="O166" s="16"/>
      <c r="P166" s="16" t="s">
        <v>34</v>
      </c>
      <c r="Q166" s="17">
        <f t="shared" si="1"/>
        <v>45561</v>
      </c>
      <c r="R166" s="81">
        <f>L166*0.2</f>
        <v>20</v>
      </c>
      <c r="S166" s="20"/>
      <c r="T166" s="68" t="str">
        <f>VLOOKUP(A166,'Calendar ID'!$A:$C,3,false)</f>
        <v>fgirault3@gmail.com</v>
      </c>
      <c r="U166" s="78" t="b">
        <v>0</v>
      </c>
      <c r="V166" s="68" t="str">
        <f>VLOOKUP($A166,'Calendar ID'!$A:$C,2,false)</f>
        <v>c_b412638d97e7dcffa392ccd62e6d5e2eccb052c0c08de7e1e7d547811d81c44c@group.calendar.google.com</v>
      </c>
      <c r="W166" s="69" t="b">
        <v>1</v>
      </c>
      <c r="X166" s="70" t="s">
        <v>82</v>
      </c>
    </row>
    <row r="167" hidden="1">
      <c r="A167" s="16" t="s">
        <v>136</v>
      </c>
      <c r="B167" s="17">
        <v>45561.0</v>
      </c>
      <c r="C167" s="16" t="s">
        <v>245</v>
      </c>
      <c r="D167" s="16" t="s">
        <v>248</v>
      </c>
      <c r="E167" s="11">
        <v>45599.0</v>
      </c>
      <c r="F167" s="17"/>
      <c r="G167" s="17"/>
      <c r="H167" s="10" t="s">
        <v>31</v>
      </c>
      <c r="I167" s="16" t="s">
        <v>249</v>
      </c>
      <c r="J167" s="16" t="s">
        <v>43</v>
      </c>
      <c r="K167" s="23" t="s">
        <v>33</v>
      </c>
      <c r="L167" s="51">
        <v>200.0</v>
      </c>
      <c r="N167" s="16"/>
      <c r="O167" s="16"/>
      <c r="P167" s="16" t="s">
        <v>34</v>
      </c>
      <c r="Q167" s="17">
        <f t="shared" si="1"/>
        <v>45561</v>
      </c>
      <c r="R167" s="81">
        <f t="shared" ref="R167:R168" si="30">L167*0.3</f>
        <v>60</v>
      </c>
      <c r="S167" s="20"/>
      <c r="T167" s="68" t="str">
        <f>VLOOKUP(A167,'Calendar ID'!$A:$C,3,false)</f>
        <v>liserdg.pro@gmail.com </v>
      </c>
      <c r="U167" s="78" t="b">
        <v>0</v>
      </c>
      <c r="V167" s="68" t="str">
        <f>VLOOKUP($A167,'Calendar ID'!$A:$C,2,false)</f>
        <v>c_8d6793f7bb6abb58456593287891e1c91528d006316df4ef7bdb59fa0d40b64f@group.calendar.google.com</v>
      </c>
      <c r="W167" s="71" t="b">
        <v>0</v>
      </c>
      <c r="X167" s="68" t="str">
        <f>VLOOKUP($A167,'Calendar ID'!$A:$C,2,false)</f>
        <v>c_8d6793f7bb6abb58456593287891e1c91528d006316df4ef7bdb59fa0d40b64f@group.calendar.google.com</v>
      </c>
    </row>
    <row r="168" hidden="1">
      <c r="A168" s="16" t="s">
        <v>76</v>
      </c>
      <c r="B168" s="17">
        <v>45561.0</v>
      </c>
      <c r="C168" s="16" t="s">
        <v>245</v>
      </c>
      <c r="D168" s="16" t="s">
        <v>250</v>
      </c>
      <c r="E168" s="11">
        <v>45599.0</v>
      </c>
      <c r="F168" s="17"/>
      <c r="G168" s="54">
        <v>45607.0</v>
      </c>
      <c r="H168" s="10" t="s">
        <v>31</v>
      </c>
      <c r="J168" s="16" t="s">
        <v>43</v>
      </c>
      <c r="K168" s="23" t="s">
        <v>33</v>
      </c>
      <c r="L168" s="15">
        <v>400.0</v>
      </c>
      <c r="N168" s="16"/>
      <c r="O168" s="16"/>
      <c r="P168" s="16" t="s">
        <v>34</v>
      </c>
      <c r="Q168" s="17">
        <f t="shared" si="1"/>
        <v>45561</v>
      </c>
      <c r="R168" s="18">
        <f t="shared" si="30"/>
        <v>120</v>
      </c>
      <c r="S168" s="20"/>
      <c r="T168" s="68" t="str">
        <f>VLOOKUP(A168,'Calendar ID'!$A:$C,3,false)</f>
        <v>orane.baron1403@gmail.com</v>
      </c>
      <c r="U168" s="78" t="b">
        <v>0</v>
      </c>
      <c r="V168" s="68" t="str">
        <f>VLOOKUP($A168,'Calendar ID'!$A:$C,2,false)</f>
        <v>c_b9aea0629908ddbafe7229688ea55dc9d65b9e6b1a8ed4492c7ca84aa703d076@group.calendar.google.com</v>
      </c>
      <c r="W168" s="69" t="b">
        <v>1</v>
      </c>
      <c r="X168" s="70" t="s">
        <v>82</v>
      </c>
    </row>
    <row r="169" hidden="1">
      <c r="A169" s="16" t="s">
        <v>42</v>
      </c>
      <c r="B169" s="17">
        <v>45562.0</v>
      </c>
      <c r="C169" s="16" t="s">
        <v>160</v>
      </c>
      <c r="D169" s="16" t="s">
        <v>251</v>
      </c>
      <c r="E169" s="17">
        <v>45593.0</v>
      </c>
      <c r="G169" s="17"/>
      <c r="H169" s="10" t="s">
        <v>31</v>
      </c>
      <c r="J169" s="23" t="s">
        <v>43</v>
      </c>
      <c r="K169" s="14" t="s">
        <v>33</v>
      </c>
      <c r="L169" s="31">
        <v>1000.0</v>
      </c>
      <c r="N169" s="16"/>
      <c r="O169" s="16"/>
      <c r="P169" s="16" t="s">
        <v>34</v>
      </c>
      <c r="Q169" s="17">
        <f t="shared" si="1"/>
        <v>45562</v>
      </c>
      <c r="R169" s="18">
        <f>L169*0.25</f>
        <v>250</v>
      </c>
      <c r="S169" s="20"/>
      <c r="T169" s="68" t="str">
        <f>VLOOKUP(A169,'Calendar ID'!$A:$C,3,false)</f>
        <v>cmepls.pro@gmail.com</v>
      </c>
      <c r="U169" s="77" t="b">
        <v>1</v>
      </c>
      <c r="V169" s="70" t="s">
        <v>82</v>
      </c>
      <c r="W169" s="71" t="b">
        <v>0</v>
      </c>
      <c r="X169" s="68" t="str">
        <f>VLOOKUP($A169,'Calendar ID'!$A:$C,2,false)</f>
        <v>c_15e3504fd6fde5b88106b6d99934e830e051067bbd4af855bfd432d30fc2f262@group.calendar.google.com</v>
      </c>
    </row>
    <row r="170" hidden="1">
      <c r="A170" s="16" t="s">
        <v>215</v>
      </c>
      <c r="B170" s="17">
        <v>45505.0</v>
      </c>
      <c r="C170" s="29" t="s">
        <v>86</v>
      </c>
      <c r="D170" s="16">
        <v>2.0</v>
      </c>
      <c r="E170" s="17">
        <v>45595.0</v>
      </c>
      <c r="G170" s="17">
        <v>45608.0</v>
      </c>
      <c r="H170" s="10" t="s">
        <v>31</v>
      </c>
      <c r="I170" s="16" t="s">
        <v>252</v>
      </c>
      <c r="J170" s="16" t="s">
        <v>43</v>
      </c>
      <c r="K170" s="23" t="s">
        <v>33</v>
      </c>
      <c r="L170" s="39">
        <v>393.3</v>
      </c>
      <c r="N170" s="55" t="s">
        <v>253</v>
      </c>
      <c r="O170" s="16"/>
      <c r="P170" s="16" t="s">
        <v>34</v>
      </c>
      <c r="Q170" s="17">
        <f t="shared" si="1"/>
        <v>45505</v>
      </c>
      <c r="R170" s="40">
        <f t="shared" ref="R170:R171" si="31">L170*0.3</f>
        <v>117.99</v>
      </c>
      <c r="S170" s="20"/>
      <c r="T170" s="68" t="str">
        <f>VLOOKUP(A170,'Calendar ID'!$A:$C,3,false)</f>
        <v>iimslmapro@outlook.fr</v>
      </c>
      <c r="U170" s="69" t="b">
        <v>1</v>
      </c>
      <c r="V170" s="70" t="s">
        <v>82</v>
      </c>
      <c r="W170" s="69" t="b">
        <v>1</v>
      </c>
      <c r="X170" s="70" t="s">
        <v>82</v>
      </c>
      <c r="Y170" s="16"/>
      <c r="Z170" s="16"/>
      <c r="AA170" s="16"/>
      <c r="AB170" s="16"/>
      <c r="AC170" s="16"/>
    </row>
    <row r="171" hidden="1">
      <c r="A171" s="16" t="s">
        <v>39</v>
      </c>
      <c r="B171" s="17">
        <v>45561.0</v>
      </c>
      <c r="C171" s="16" t="s">
        <v>226</v>
      </c>
      <c r="D171" s="16" t="s">
        <v>254</v>
      </c>
      <c r="E171" s="17">
        <v>45600.0</v>
      </c>
      <c r="F171" s="17">
        <v>45597.0</v>
      </c>
      <c r="G171" s="17">
        <v>45608.0</v>
      </c>
      <c r="H171" s="10" t="s">
        <v>31</v>
      </c>
      <c r="J171" s="16" t="s">
        <v>43</v>
      </c>
      <c r="K171" s="23" t="s">
        <v>33</v>
      </c>
      <c r="L171" s="83">
        <v>500.0</v>
      </c>
      <c r="N171" s="55" t="s">
        <v>255</v>
      </c>
      <c r="O171" s="16"/>
      <c r="P171" s="16" t="s">
        <v>34</v>
      </c>
      <c r="Q171" s="17">
        <f t="shared" si="1"/>
        <v>45561</v>
      </c>
      <c r="R171" s="18">
        <f t="shared" si="31"/>
        <v>150</v>
      </c>
      <c r="S171" s="20"/>
      <c r="T171" s="68" t="str">
        <f>VLOOKUP(A171,'Calendar ID'!$A:$C,3,false)</f>
        <v>#N/A</v>
      </c>
      <c r="U171" s="77" t="b">
        <v>1</v>
      </c>
      <c r="V171" s="70" t="s">
        <v>82</v>
      </c>
      <c r="W171" s="69" t="b">
        <v>1</v>
      </c>
      <c r="X171" s="70" t="s">
        <v>82</v>
      </c>
    </row>
    <row r="172" hidden="1">
      <c r="A172" s="16" t="s">
        <v>42</v>
      </c>
      <c r="B172" s="17">
        <v>45562.0</v>
      </c>
      <c r="C172" s="16" t="s">
        <v>256</v>
      </c>
      <c r="E172" s="17">
        <v>45601.0</v>
      </c>
      <c r="G172" s="17">
        <v>45611.0</v>
      </c>
      <c r="H172" s="10" t="s">
        <v>31</v>
      </c>
      <c r="J172" s="23" t="s">
        <v>43</v>
      </c>
      <c r="K172" s="14" t="s">
        <v>33</v>
      </c>
      <c r="L172" s="31">
        <v>800.0</v>
      </c>
      <c r="N172" s="65" t="s">
        <v>257</v>
      </c>
      <c r="O172" s="16"/>
      <c r="P172" s="16" t="s">
        <v>34</v>
      </c>
      <c r="Q172" s="17">
        <f t="shared" si="1"/>
        <v>45562</v>
      </c>
      <c r="R172" s="18">
        <f>L172*0.25</f>
        <v>200</v>
      </c>
      <c r="S172" s="20"/>
      <c r="T172" s="68" t="str">
        <f>VLOOKUP(A172,'Calendar ID'!$A:$C,3,false)</f>
        <v>cmepls.pro@gmail.com</v>
      </c>
      <c r="U172" s="77" t="b">
        <v>1</v>
      </c>
      <c r="V172" s="70" t="s">
        <v>82</v>
      </c>
      <c r="W172" s="69" t="b">
        <v>1</v>
      </c>
      <c r="X172" s="70" t="s">
        <v>82</v>
      </c>
    </row>
    <row r="173" hidden="1">
      <c r="A173" s="16" t="s">
        <v>91</v>
      </c>
      <c r="B173" s="17">
        <v>45566.0</v>
      </c>
      <c r="C173" s="16" t="s">
        <v>256</v>
      </c>
      <c r="E173" s="17">
        <v>45601.0</v>
      </c>
      <c r="G173" s="17">
        <v>45611.0</v>
      </c>
      <c r="H173" s="10" t="s">
        <v>31</v>
      </c>
      <c r="J173" s="23" t="s">
        <v>43</v>
      </c>
      <c r="K173" s="14" t="s">
        <v>33</v>
      </c>
      <c r="L173" s="31">
        <v>600.0</v>
      </c>
      <c r="N173" s="65" t="s">
        <v>258</v>
      </c>
      <c r="O173" s="16"/>
      <c r="P173" s="16" t="s">
        <v>34</v>
      </c>
      <c r="Q173" s="17">
        <f t="shared" si="1"/>
        <v>45566</v>
      </c>
      <c r="R173" s="18">
        <f t="shared" ref="R173:R176" si="32">L173*0.3</f>
        <v>180</v>
      </c>
      <c r="S173" s="20"/>
      <c r="T173" s="68" t="str">
        <f>VLOOKUP(A173,'Calendar ID'!$A:$C,3,false)</f>
        <v>juliane.bernard57@icloud.com</v>
      </c>
      <c r="U173" s="77" t="b">
        <v>1</v>
      </c>
      <c r="V173" s="70" t="s">
        <v>82</v>
      </c>
      <c r="W173" s="69" t="b">
        <v>1</v>
      </c>
      <c r="X173" s="70" t="s">
        <v>82</v>
      </c>
    </row>
    <row r="174" hidden="1">
      <c r="A174" s="16" t="s">
        <v>39</v>
      </c>
      <c r="B174" s="17">
        <v>45562.0</v>
      </c>
      <c r="C174" s="16" t="s">
        <v>256</v>
      </c>
      <c r="E174" s="17">
        <v>45601.0</v>
      </c>
      <c r="G174" s="17">
        <v>45611.0</v>
      </c>
      <c r="H174" s="10" t="s">
        <v>31</v>
      </c>
      <c r="J174" s="23" t="s">
        <v>43</v>
      </c>
      <c r="K174" s="14" t="s">
        <v>33</v>
      </c>
      <c r="L174" s="31">
        <v>500.0</v>
      </c>
      <c r="N174" s="55" t="s">
        <v>259</v>
      </c>
      <c r="O174" s="16"/>
      <c r="P174" s="16" t="s">
        <v>34</v>
      </c>
      <c r="Q174" s="17">
        <f t="shared" si="1"/>
        <v>45562</v>
      </c>
      <c r="R174" s="18">
        <f t="shared" si="32"/>
        <v>150</v>
      </c>
      <c r="S174" s="20"/>
      <c r="T174" s="68" t="str">
        <f>VLOOKUP(A174,'Calendar ID'!$A:$C,3,false)</f>
        <v>#N/A</v>
      </c>
      <c r="U174" s="77" t="b">
        <v>1</v>
      </c>
      <c r="V174" s="70" t="s">
        <v>82</v>
      </c>
      <c r="W174" s="69" t="b">
        <v>1</v>
      </c>
      <c r="X174" s="70" t="s">
        <v>82</v>
      </c>
    </row>
    <row r="175">
      <c r="A175" s="16" t="s">
        <v>260</v>
      </c>
      <c r="B175" s="17">
        <v>45784.0</v>
      </c>
      <c r="C175" s="16" t="s">
        <v>261</v>
      </c>
      <c r="E175" s="52">
        <v>45823.0</v>
      </c>
      <c r="F175" s="17"/>
      <c r="G175" s="53">
        <v>45825.0</v>
      </c>
      <c r="H175" s="10" t="s">
        <v>210</v>
      </c>
      <c r="I175" s="16" t="s">
        <v>262</v>
      </c>
      <c r="J175" s="7" t="s">
        <v>43</v>
      </c>
      <c r="K175" s="7" t="s">
        <v>33</v>
      </c>
      <c r="L175" s="31">
        <v>300.0</v>
      </c>
      <c r="N175" s="16"/>
      <c r="O175" s="16"/>
      <c r="P175" s="23" t="s">
        <v>34</v>
      </c>
      <c r="Q175" s="17">
        <f t="shared" si="1"/>
        <v>45784</v>
      </c>
      <c r="R175" s="18">
        <f t="shared" si="32"/>
        <v>90</v>
      </c>
      <c r="S175" s="20"/>
      <c r="T175" s="68" t="str">
        <f>VLOOKUP(A175,'Calendar ID'!$A:$C,3,false)</f>
        <v>asmae-nemar@hotmail.fr </v>
      </c>
      <c r="U175" s="71" t="b">
        <v>0</v>
      </c>
      <c r="V175" s="68" t="str">
        <f>VLOOKUP($A175,'Calendar ID'!$A:$C,2,false)</f>
        <v>c_35f3aada7c9c0ba626ac56e6cf10c5959c56663450ffd058a5bdc005508d0954@group.calendar.google.com</v>
      </c>
      <c r="W175" s="71" t="b">
        <v>0</v>
      </c>
      <c r="X175" s="68" t="str">
        <f>VLOOKUP($A175,'Calendar ID'!$A:$C,2,false)</f>
        <v>c_35f3aada7c9c0ba626ac56e6cf10c5959c56663450ffd058a5bdc005508d0954@group.calendar.google.com</v>
      </c>
    </row>
    <row r="176" hidden="1">
      <c r="A176" s="16" t="s">
        <v>215</v>
      </c>
      <c r="B176" s="17">
        <v>45533.0</v>
      </c>
      <c r="C176" s="29" t="s">
        <v>79</v>
      </c>
      <c r="D176" s="16" t="s">
        <v>263</v>
      </c>
      <c r="E176" s="17">
        <v>45581.0</v>
      </c>
      <c r="G176" s="17">
        <v>45587.0</v>
      </c>
      <c r="H176" s="10" t="s">
        <v>31</v>
      </c>
      <c r="J176" s="16" t="s">
        <v>43</v>
      </c>
      <c r="K176" s="23" t="s">
        <v>33</v>
      </c>
      <c r="L176" s="31">
        <f>650/2</f>
        <v>325</v>
      </c>
      <c r="N176" s="16"/>
      <c r="O176" s="16"/>
      <c r="P176" s="23" t="s">
        <v>34</v>
      </c>
      <c r="Q176" s="17">
        <f t="shared" si="1"/>
        <v>45533</v>
      </c>
      <c r="R176" s="15">
        <f t="shared" si="32"/>
        <v>97.5</v>
      </c>
      <c r="S176" s="20"/>
      <c r="T176" s="68" t="str">
        <f>VLOOKUP(A176,'Calendar ID'!$A:$C,3,false)</f>
        <v>iimslmapro@outlook.fr</v>
      </c>
      <c r="U176" s="77" t="b">
        <v>1</v>
      </c>
      <c r="V176" s="70" t="s">
        <v>82</v>
      </c>
      <c r="W176" s="69" t="b">
        <v>1</v>
      </c>
      <c r="X176" s="70" t="s">
        <v>82</v>
      </c>
    </row>
    <row r="177" hidden="1">
      <c r="A177" s="16" t="s">
        <v>29</v>
      </c>
      <c r="B177" s="17">
        <v>45593.0</v>
      </c>
      <c r="C177" s="16" t="s">
        <v>264</v>
      </c>
      <c r="E177" s="17">
        <v>45601.0</v>
      </c>
      <c r="G177" s="17"/>
      <c r="H177" s="10" t="s">
        <v>31</v>
      </c>
      <c r="I177" s="16" t="s">
        <v>265</v>
      </c>
      <c r="J177" s="16" t="s">
        <v>266</v>
      </c>
      <c r="K177" s="23" t="s">
        <v>33</v>
      </c>
      <c r="L177" s="31" t="s">
        <v>56</v>
      </c>
      <c r="N177" s="16"/>
      <c r="O177" s="16"/>
      <c r="P177" s="16"/>
      <c r="Q177" s="17">
        <f t="shared" si="1"/>
        <v>45593</v>
      </c>
      <c r="S177" s="20"/>
      <c r="T177" s="68" t="str">
        <f>VLOOKUP(A177,'Calendar ID'!$A:$C,3,false)</f>
        <v>pauline@grapperagency.com</v>
      </c>
      <c r="U177" s="77" t="b">
        <v>0</v>
      </c>
      <c r="V177" s="68" t="str">
        <f>VLOOKUP($A177,'Calendar ID'!$A:$C,2,false)</f>
        <v>c_a715193c206b2aa1e4b81b8a3772df33bf92c92611202a890a6bccecb2131fcb@group.calendar.google.com</v>
      </c>
      <c r="W177" s="77" t="b">
        <v>0</v>
      </c>
      <c r="X177" s="68" t="str">
        <f>VLOOKUP($A177,'Calendar ID'!$A:$C,2,false)</f>
        <v>c_a715193c206b2aa1e4b81b8a3772df33bf92c92611202a890a6bccecb2131fcb@group.calendar.google.com</v>
      </c>
    </row>
    <row r="178" hidden="1">
      <c r="A178" s="16" t="s">
        <v>215</v>
      </c>
      <c r="B178" s="17">
        <v>45533.0</v>
      </c>
      <c r="C178" s="29" t="s">
        <v>79</v>
      </c>
      <c r="D178" s="16" t="s">
        <v>267</v>
      </c>
      <c r="E178" s="17">
        <v>45589.0</v>
      </c>
      <c r="G178" s="17">
        <v>45603.0</v>
      </c>
      <c r="H178" s="10" t="s">
        <v>31</v>
      </c>
      <c r="J178" s="16" t="s">
        <v>43</v>
      </c>
      <c r="K178" s="23" t="s">
        <v>33</v>
      </c>
      <c r="L178" s="31">
        <f t="shared" ref="L178:L180" si="33">650/2</f>
        <v>325</v>
      </c>
      <c r="N178" s="16"/>
      <c r="O178" s="16"/>
      <c r="P178" s="23" t="s">
        <v>34</v>
      </c>
      <c r="Q178" s="17">
        <f t="shared" si="1"/>
        <v>45533</v>
      </c>
      <c r="R178" s="15">
        <f t="shared" ref="R178:R183" si="34">L178*0.3</f>
        <v>97.5</v>
      </c>
      <c r="S178" s="20"/>
      <c r="T178" s="68" t="str">
        <f>VLOOKUP(A178,'Calendar ID'!$A:$C,3,false)</f>
        <v>iimslmapro@outlook.fr</v>
      </c>
      <c r="U178" s="69" t="b">
        <v>1</v>
      </c>
      <c r="V178" s="70" t="s">
        <v>82</v>
      </c>
      <c r="W178" s="69" t="b">
        <v>1</v>
      </c>
      <c r="X178" s="70" t="s">
        <v>82</v>
      </c>
    </row>
    <row r="179" hidden="1">
      <c r="A179" s="16" t="s">
        <v>213</v>
      </c>
      <c r="B179" s="17">
        <v>45545.0</v>
      </c>
      <c r="C179" s="16" t="s">
        <v>79</v>
      </c>
      <c r="D179" s="16" t="s">
        <v>268</v>
      </c>
      <c r="E179" s="17">
        <v>45603.0</v>
      </c>
      <c r="G179" s="17">
        <v>45598.0</v>
      </c>
      <c r="H179" s="10" t="s">
        <v>31</v>
      </c>
      <c r="J179" s="16" t="s">
        <v>43</v>
      </c>
      <c r="K179" s="23" t="s">
        <v>33</v>
      </c>
      <c r="L179" s="31">
        <f t="shared" si="33"/>
        <v>325</v>
      </c>
      <c r="N179" s="65" t="s">
        <v>269</v>
      </c>
      <c r="O179" s="16"/>
      <c r="P179" s="23" t="s">
        <v>34</v>
      </c>
      <c r="Q179" s="17">
        <f t="shared" si="1"/>
        <v>45545</v>
      </c>
      <c r="R179" s="15">
        <f t="shared" si="34"/>
        <v>97.5</v>
      </c>
      <c r="S179" s="20"/>
      <c r="T179" s="68" t="str">
        <f>VLOOKUP(A179,'Calendar ID'!$A:$C,3,false)</f>
        <v>anaiswry@yahoo.fr</v>
      </c>
      <c r="U179" s="77" t="b">
        <v>1</v>
      </c>
      <c r="V179" s="70" t="s">
        <v>82</v>
      </c>
      <c r="W179" s="69" t="b">
        <v>1</v>
      </c>
      <c r="X179" s="70" t="s">
        <v>82</v>
      </c>
    </row>
    <row r="180" hidden="1">
      <c r="A180" s="16" t="s">
        <v>213</v>
      </c>
      <c r="B180" s="17">
        <v>45545.0</v>
      </c>
      <c r="C180" s="16" t="s">
        <v>79</v>
      </c>
      <c r="D180" s="16" t="s">
        <v>270</v>
      </c>
      <c r="E180" s="17"/>
      <c r="G180" s="86">
        <v>45698.0</v>
      </c>
      <c r="H180" s="10" t="s">
        <v>31</v>
      </c>
      <c r="J180" s="16" t="s">
        <v>43</v>
      </c>
      <c r="K180" s="23" t="s">
        <v>33</v>
      </c>
      <c r="L180" s="31">
        <f t="shared" si="33"/>
        <v>325</v>
      </c>
      <c r="N180" s="65" t="s">
        <v>271</v>
      </c>
      <c r="O180" s="16"/>
      <c r="P180" s="23" t="s">
        <v>34</v>
      </c>
      <c r="Q180" s="17">
        <f t="shared" si="1"/>
        <v>45545</v>
      </c>
      <c r="R180" s="15">
        <f t="shared" si="34"/>
        <v>97.5</v>
      </c>
      <c r="S180" s="20"/>
      <c r="T180" s="68" t="str">
        <f>VLOOKUP(A180,'Calendar ID'!$A:$C,3,false)</f>
        <v>anaiswry@yahoo.fr</v>
      </c>
      <c r="U180" s="77" t="b">
        <v>1</v>
      </c>
      <c r="V180" s="70" t="s">
        <v>82</v>
      </c>
      <c r="W180" s="69" t="b">
        <v>1</v>
      </c>
      <c r="X180" s="70" t="s">
        <v>82</v>
      </c>
    </row>
    <row r="181" hidden="1">
      <c r="A181" s="16" t="s">
        <v>272</v>
      </c>
      <c r="B181" s="17">
        <v>45561.0</v>
      </c>
      <c r="C181" s="16" t="s">
        <v>245</v>
      </c>
      <c r="E181" s="54">
        <v>45606.0</v>
      </c>
      <c r="F181" s="17"/>
      <c r="G181" s="17"/>
      <c r="H181" s="10" t="s">
        <v>31</v>
      </c>
      <c r="I181" s="16" t="s">
        <v>273</v>
      </c>
      <c r="J181" s="16" t="s">
        <v>43</v>
      </c>
      <c r="K181" s="23" t="s">
        <v>33</v>
      </c>
      <c r="L181" s="51">
        <v>600.0</v>
      </c>
      <c r="N181" s="16"/>
      <c r="O181" s="16"/>
      <c r="P181" s="16" t="s">
        <v>34</v>
      </c>
      <c r="Q181" s="17">
        <f t="shared" si="1"/>
        <v>45561</v>
      </c>
      <c r="R181" s="81">
        <f t="shared" si="34"/>
        <v>180</v>
      </c>
      <c r="S181" s="20"/>
      <c r="T181" s="68" t="str">
        <f>VLOOKUP(A181,'Calendar ID'!$A:$C,3,false)</f>
        <v>truttirachel@gmail.com</v>
      </c>
      <c r="U181" s="78" t="b">
        <v>0</v>
      </c>
      <c r="V181" s="68" t="str">
        <f>VLOOKUP($A181,'Calendar ID'!$A:$C,2,false)</f>
        <v>c_14943542450de5ffc0c20a93db15c7c0757a89aaa373292182138a3a691be245@group.calendar.google.com</v>
      </c>
      <c r="W181" s="71" t="b">
        <v>0</v>
      </c>
      <c r="X181" s="68" t="str">
        <f>VLOOKUP($A181,'Calendar ID'!$A:$C,2,false)</f>
        <v>c_14943542450de5ffc0c20a93db15c7c0757a89aaa373292182138a3a691be245@group.calendar.google.com</v>
      </c>
    </row>
    <row r="182" hidden="1">
      <c r="A182" s="16" t="s">
        <v>76</v>
      </c>
      <c r="B182" s="17">
        <v>45580.0</v>
      </c>
      <c r="C182" s="16" t="s">
        <v>79</v>
      </c>
      <c r="D182" s="87" t="s">
        <v>274</v>
      </c>
      <c r="E182" s="17">
        <v>45601.0</v>
      </c>
      <c r="G182" s="17">
        <v>45598.0</v>
      </c>
      <c r="H182" s="10" t="s">
        <v>31</v>
      </c>
      <c r="J182" s="16" t="s">
        <v>43</v>
      </c>
      <c r="K182" s="23" t="s">
        <v>33</v>
      </c>
      <c r="L182" s="31">
        <v>500.0</v>
      </c>
      <c r="N182" s="65" t="s">
        <v>275</v>
      </c>
      <c r="O182" s="16"/>
      <c r="P182" s="16" t="s">
        <v>34</v>
      </c>
      <c r="Q182" s="17">
        <f t="shared" si="1"/>
        <v>45580</v>
      </c>
      <c r="R182" s="18">
        <f t="shared" si="34"/>
        <v>150</v>
      </c>
      <c r="S182" s="20"/>
      <c r="T182" s="68" t="str">
        <f>VLOOKUP(A182,'Calendar ID'!$A:$C,3,false)</f>
        <v>orane.baron1403@gmail.com</v>
      </c>
      <c r="U182" s="78" t="b">
        <v>0</v>
      </c>
      <c r="V182" s="68" t="str">
        <f>VLOOKUP($A182,'Calendar ID'!$A:$C,2,false)</f>
        <v>c_b9aea0629908ddbafe7229688ea55dc9d65b9e6b1a8ed4492c7ca84aa703d076@group.calendar.google.com</v>
      </c>
      <c r="W182" s="71" t="b">
        <v>0</v>
      </c>
      <c r="X182" s="68" t="str">
        <f>VLOOKUP($A182,'Calendar ID'!$A:$C,2,false)</f>
        <v>c_b9aea0629908ddbafe7229688ea55dc9d65b9e6b1a8ed4492c7ca84aa703d076@group.calendar.google.com</v>
      </c>
    </row>
    <row r="183" hidden="1">
      <c r="A183" s="16" t="s">
        <v>276</v>
      </c>
      <c r="B183" s="17">
        <v>45561.0</v>
      </c>
      <c r="C183" s="16" t="s">
        <v>245</v>
      </c>
      <c r="E183" s="88">
        <v>45608.0</v>
      </c>
      <c r="F183" s="17"/>
      <c r="G183" s="54"/>
      <c r="H183" s="10" t="s">
        <v>31</v>
      </c>
      <c r="J183" s="16" t="s">
        <v>43</v>
      </c>
      <c r="K183" s="23" t="s">
        <v>33</v>
      </c>
      <c r="L183" s="51">
        <v>100.0</v>
      </c>
      <c r="N183" s="16"/>
      <c r="O183" s="16"/>
      <c r="P183" s="16" t="s">
        <v>34</v>
      </c>
      <c r="Q183" s="17">
        <f t="shared" si="1"/>
        <v>45561</v>
      </c>
      <c r="R183" s="81">
        <f t="shared" si="34"/>
        <v>30</v>
      </c>
      <c r="S183" s="20"/>
      <c r="T183" s="68" t="str">
        <f>VLOOKUP(A183,'Calendar ID'!$A:$C,3,false)</f>
        <v>arwen.mechineau@outlook.fr</v>
      </c>
      <c r="U183" s="78" t="b">
        <v>0</v>
      </c>
      <c r="V183" s="68" t="str">
        <f>VLOOKUP($A183,'Calendar ID'!$A:$C,2,false)</f>
        <v>c_df86b3d6c5aa83af7e7dadc1108907ecb89d8fc7e4b645a62e375b31e7b5e3a3@group.calendar.google.com</v>
      </c>
      <c r="W183" s="69" t="b">
        <v>0</v>
      </c>
      <c r="X183" s="68" t="str">
        <f>VLOOKUP($A183,'Calendar ID'!$A:$C,2,false)</f>
        <v>c_df86b3d6c5aa83af7e7dadc1108907ecb89d8fc7e4b645a62e375b31e7b5e3a3@group.calendar.google.com</v>
      </c>
    </row>
    <row r="184" hidden="1">
      <c r="A184" s="16" t="s">
        <v>42</v>
      </c>
      <c r="B184" s="17">
        <v>45561.0</v>
      </c>
      <c r="C184" s="16" t="s">
        <v>245</v>
      </c>
      <c r="E184" s="88">
        <v>45608.0</v>
      </c>
      <c r="F184" s="17"/>
      <c r="G184" s="17"/>
      <c r="H184" s="10" t="s">
        <v>31</v>
      </c>
      <c r="J184" s="16" t="s">
        <v>43</v>
      </c>
      <c r="K184" s="23" t="s">
        <v>33</v>
      </c>
      <c r="L184" s="51">
        <v>500.0</v>
      </c>
      <c r="N184" s="16"/>
      <c r="O184" s="16"/>
      <c r="P184" s="16" t="s">
        <v>34</v>
      </c>
      <c r="Q184" s="17">
        <f t="shared" si="1"/>
        <v>45561</v>
      </c>
      <c r="R184" s="81">
        <f>L184*0.25</f>
        <v>125</v>
      </c>
      <c r="S184" s="20"/>
      <c r="T184" s="68" t="str">
        <f>VLOOKUP(A184,'Calendar ID'!$A:$C,3,false)</f>
        <v>cmepls.pro@gmail.com</v>
      </c>
      <c r="U184" s="78" t="b">
        <v>0</v>
      </c>
      <c r="V184" s="68" t="str">
        <f>VLOOKUP($A184,'Calendar ID'!$A:$C,2,false)</f>
        <v>c_15e3504fd6fde5b88106b6d99934e830e051067bbd4af855bfd432d30fc2f262@group.calendar.google.com</v>
      </c>
      <c r="W184" s="71" t="b">
        <v>0</v>
      </c>
      <c r="X184" s="68" t="str">
        <f>VLOOKUP($A184,'Calendar ID'!$A:$C,2,false)</f>
        <v>c_15e3504fd6fde5b88106b6d99934e830e051067bbd4af855bfd432d30fc2f262@group.calendar.google.com</v>
      </c>
    </row>
    <row r="185" hidden="1">
      <c r="A185" s="16" t="s">
        <v>76</v>
      </c>
      <c r="B185" s="17">
        <v>45580.0</v>
      </c>
      <c r="C185" s="16" t="s">
        <v>79</v>
      </c>
      <c r="D185" s="87" t="s">
        <v>277</v>
      </c>
      <c r="E185" s="17">
        <v>45602.0</v>
      </c>
      <c r="G185" s="17">
        <v>45605.0</v>
      </c>
      <c r="H185" s="10" t="s">
        <v>31</v>
      </c>
      <c r="J185" s="16" t="s">
        <v>43</v>
      </c>
      <c r="K185" s="23" t="s">
        <v>33</v>
      </c>
      <c r="L185" s="31">
        <v>500.0</v>
      </c>
      <c r="N185" s="16"/>
      <c r="O185" s="16"/>
      <c r="P185" s="16" t="s">
        <v>34</v>
      </c>
      <c r="Q185" s="17">
        <f t="shared" si="1"/>
        <v>45580</v>
      </c>
      <c r="R185" s="18">
        <f t="shared" ref="R185:R187" si="35">L185*0.3</f>
        <v>150</v>
      </c>
      <c r="S185" s="20"/>
      <c r="T185" s="68" t="str">
        <f>VLOOKUP(A185,'Calendar ID'!$A:$C,3,false)</f>
        <v>orane.baron1403@gmail.com</v>
      </c>
      <c r="U185" s="78" t="b">
        <v>0</v>
      </c>
      <c r="V185" s="68" t="str">
        <f>VLOOKUP($A185,'Calendar ID'!$A:$C,2,false)</f>
        <v>c_b9aea0629908ddbafe7229688ea55dc9d65b9e6b1a8ed4492c7ca84aa703d076@group.calendar.google.com</v>
      </c>
      <c r="W185" s="71" t="b">
        <v>0</v>
      </c>
      <c r="X185" s="68" t="str">
        <f>VLOOKUP($A185,'Calendar ID'!$A:$C,2,false)</f>
        <v>c_b9aea0629908ddbafe7229688ea55dc9d65b9e6b1a8ed4492c7ca84aa703d076@group.calendar.google.com</v>
      </c>
    </row>
    <row r="186" hidden="1">
      <c r="A186" s="16" t="s">
        <v>76</v>
      </c>
      <c r="B186" s="17">
        <v>45580.0</v>
      </c>
      <c r="C186" s="16" t="s">
        <v>79</v>
      </c>
      <c r="D186" s="87" t="s">
        <v>278</v>
      </c>
      <c r="E186" s="17">
        <v>45602.0</v>
      </c>
      <c r="G186" s="17">
        <v>45612.0</v>
      </c>
      <c r="H186" s="10" t="s">
        <v>31</v>
      </c>
      <c r="J186" s="16" t="s">
        <v>43</v>
      </c>
      <c r="K186" s="23" t="s">
        <v>33</v>
      </c>
      <c r="L186" s="31">
        <v>500.0</v>
      </c>
      <c r="N186" s="55" t="s">
        <v>279</v>
      </c>
      <c r="O186" s="16"/>
      <c r="P186" s="16" t="s">
        <v>34</v>
      </c>
      <c r="Q186" s="17">
        <f t="shared" si="1"/>
        <v>45580</v>
      </c>
      <c r="R186" s="18">
        <f t="shared" si="35"/>
        <v>150</v>
      </c>
      <c r="S186" s="20"/>
      <c r="T186" s="68" t="str">
        <f>VLOOKUP(A186,'Calendar ID'!$A:$C,3,false)</f>
        <v>orane.baron1403@gmail.com</v>
      </c>
      <c r="U186" s="78" t="b">
        <v>0</v>
      </c>
      <c r="V186" s="68" t="str">
        <f>VLOOKUP($A186,'Calendar ID'!$A:$C,2,false)</f>
        <v>c_b9aea0629908ddbafe7229688ea55dc9d65b9e6b1a8ed4492c7ca84aa703d076@group.calendar.google.com</v>
      </c>
      <c r="W186" s="71" t="b">
        <v>0</v>
      </c>
      <c r="X186" s="68" t="str">
        <f>VLOOKUP($A186,'Calendar ID'!$A:$C,2,false)</f>
        <v>c_b9aea0629908ddbafe7229688ea55dc9d65b9e6b1a8ed4492c7ca84aa703d076@group.calendar.google.com</v>
      </c>
    </row>
    <row r="187" hidden="1">
      <c r="A187" s="16" t="s">
        <v>280</v>
      </c>
      <c r="B187" s="17">
        <v>45561.0</v>
      </c>
      <c r="C187" s="16" t="s">
        <v>245</v>
      </c>
      <c r="E187" s="17">
        <v>45613.0</v>
      </c>
      <c r="F187" s="17"/>
      <c r="G187" s="17"/>
      <c r="H187" s="10" t="s">
        <v>31</v>
      </c>
      <c r="I187" s="16" t="s">
        <v>249</v>
      </c>
      <c r="J187" s="16" t="s">
        <v>43</v>
      </c>
      <c r="K187" s="23" t="s">
        <v>33</v>
      </c>
      <c r="L187" s="51">
        <v>300.0</v>
      </c>
      <c r="N187" s="16"/>
      <c r="O187" s="16"/>
      <c r="P187" s="16" t="s">
        <v>34</v>
      </c>
      <c r="Q187" s="17">
        <f t="shared" si="1"/>
        <v>45561</v>
      </c>
      <c r="R187" s="81">
        <f t="shared" si="35"/>
        <v>90</v>
      </c>
      <c r="S187" s="20"/>
      <c r="T187" s="68" t="str">
        <f>VLOOKUP(A187,'Calendar ID'!$A:$C,3,false)</f>
        <v>ciman530@gmail.com</v>
      </c>
      <c r="U187" s="78" t="b">
        <v>0</v>
      </c>
      <c r="V187" s="68" t="str">
        <f>VLOOKUP($A187,'Calendar ID'!$A:$C,2,false)</f>
        <v>c_0d9eaa4cfb55a8e552117f53a91a7c3c2f5164632253d0e265f7de4e3a4737c4@group.calendar.google.com</v>
      </c>
      <c r="W187" s="71" t="b">
        <v>0</v>
      </c>
      <c r="X187" s="68" t="str">
        <f>VLOOKUP($A187,'Calendar ID'!$A:$C,2,false)</f>
        <v>c_0d9eaa4cfb55a8e552117f53a91a7c3c2f5164632253d0e265f7de4e3a4737c4@group.calendar.google.com</v>
      </c>
    </row>
    <row r="188" hidden="1">
      <c r="A188" s="16" t="s">
        <v>45</v>
      </c>
      <c r="B188" s="17">
        <v>45561.0</v>
      </c>
      <c r="C188" s="16" t="s">
        <v>245</v>
      </c>
      <c r="E188" s="17">
        <v>45613.0</v>
      </c>
      <c r="F188" s="17"/>
      <c r="G188" s="17"/>
      <c r="H188" s="10" t="s">
        <v>31</v>
      </c>
      <c r="J188" s="16" t="s">
        <v>43</v>
      </c>
      <c r="K188" s="23" t="s">
        <v>33</v>
      </c>
      <c r="L188" s="51">
        <v>450.0</v>
      </c>
      <c r="N188" s="16"/>
      <c r="O188" s="16"/>
      <c r="P188" s="16" t="s">
        <v>34</v>
      </c>
      <c r="Q188" s="17">
        <f t="shared" si="1"/>
        <v>45561</v>
      </c>
      <c r="R188" s="81">
        <f t="shared" ref="R188:R189" si="36">L188*0.25</f>
        <v>112.5</v>
      </c>
      <c r="S188" s="20"/>
      <c r="T188" s="68" t="str">
        <f>VLOOKUP(A188,'Calendar ID'!$A:$C,3,false)</f>
        <v>lilyy.nl@grapperagency.com</v>
      </c>
      <c r="U188" s="77" t="b">
        <v>1</v>
      </c>
      <c r="V188" s="70" t="s">
        <v>82</v>
      </c>
      <c r="W188" s="71" t="b">
        <v>0</v>
      </c>
      <c r="X188" s="68" t="str">
        <f>VLOOKUP($A188,'Calendar ID'!$A:$C,2,false)</f>
        <v>c_665764ca21c8e4b3814e25bf24bc7074fa55890dce5d4073abb0fdddc70649d4@group.calendar.google.com</v>
      </c>
    </row>
    <row r="189" hidden="1">
      <c r="A189" s="16" t="s">
        <v>42</v>
      </c>
      <c r="B189" s="17">
        <v>45562.0</v>
      </c>
      <c r="C189" s="16" t="s">
        <v>160</v>
      </c>
      <c r="D189" s="16" t="s">
        <v>281</v>
      </c>
      <c r="E189" s="17">
        <v>45607.0</v>
      </c>
      <c r="G189" s="17">
        <v>45625.0</v>
      </c>
      <c r="H189" s="10" t="s">
        <v>31</v>
      </c>
      <c r="I189" s="89" t="s">
        <v>282</v>
      </c>
      <c r="J189" s="23" t="s">
        <v>43</v>
      </c>
      <c r="K189" s="14" t="s">
        <v>33</v>
      </c>
      <c r="L189" s="31">
        <v>0.0</v>
      </c>
      <c r="N189" s="16"/>
      <c r="O189" s="16"/>
      <c r="P189" s="16" t="s">
        <v>34</v>
      </c>
      <c r="Q189" s="17">
        <f t="shared" si="1"/>
        <v>45562</v>
      </c>
      <c r="R189" s="18">
        <f t="shared" si="36"/>
        <v>0</v>
      </c>
      <c r="S189" s="20"/>
      <c r="T189" s="68" t="str">
        <f>VLOOKUP(A189,'Calendar ID'!$A:$C,3,false)</f>
        <v>cmepls.pro@gmail.com</v>
      </c>
      <c r="U189" s="77" t="b">
        <v>1</v>
      </c>
      <c r="V189" s="70" t="s">
        <v>82</v>
      </c>
      <c r="W189" s="69" t="b">
        <v>1</v>
      </c>
      <c r="X189" s="70" t="s">
        <v>82</v>
      </c>
    </row>
    <row r="190" hidden="1">
      <c r="A190" s="16" t="s">
        <v>110</v>
      </c>
      <c r="B190" s="17">
        <v>45561.0</v>
      </c>
      <c r="C190" s="16" t="s">
        <v>245</v>
      </c>
      <c r="E190" s="82">
        <v>45613.0</v>
      </c>
      <c r="F190" s="17"/>
      <c r="G190" s="17"/>
      <c r="H190" s="10" t="s">
        <v>31</v>
      </c>
      <c r="J190" s="16" t="s">
        <v>43</v>
      </c>
      <c r="K190" s="23" t="s">
        <v>33</v>
      </c>
      <c r="L190" s="51">
        <v>300.0</v>
      </c>
      <c r="N190" s="16"/>
      <c r="O190" s="16"/>
      <c r="P190" s="16" t="s">
        <v>34</v>
      </c>
      <c r="Q190" s="17">
        <f t="shared" si="1"/>
        <v>45561</v>
      </c>
      <c r="R190" s="81">
        <f t="shared" ref="R190:R197" si="37">L190*0.3</f>
        <v>90</v>
      </c>
      <c r="S190" s="20"/>
      <c r="T190" s="68" t="str">
        <f>VLOOKUP(A190,'Calendar ID'!$A:$C,3,false)</f>
        <v>terpperrine@gmail.com</v>
      </c>
      <c r="U190" s="77" t="b">
        <v>1</v>
      </c>
      <c r="V190" s="70" t="s">
        <v>82</v>
      </c>
      <c r="W190" s="71" t="b">
        <v>0</v>
      </c>
      <c r="X190" s="68" t="str">
        <f>VLOOKUP($A190,'Calendar ID'!$A:$C,2,false)</f>
        <v>c_3454aaede6db5cd8de24b4c70b8c6f3570b98e436e1f71e91d12b7a673ab3f97@group.calendar.google.com</v>
      </c>
    </row>
    <row r="191" hidden="1">
      <c r="A191" s="16" t="s">
        <v>283</v>
      </c>
      <c r="B191" s="17">
        <v>45594.0</v>
      </c>
      <c r="C191" s="16" t="s">
        <v>222</v>
      </c>
      <c r="E191" s="17">
        <v>45614.0</v>
      </c>
      <c r="G191" s="17">
        <v>45629.0</v>
      </c>
      <c r="H191" s="10" t="s">
        <v>31</v>
      </c>
      <c r="J191" s="16" t="s">
        <v>43</v>
      </c>
      <c r="K191" s="23" t="s">
        <v>33</v>
      </c>
      <c r="L191" s="31">
        <v>650.0</v>
      </c>
      <c r="N191" s="16"/>
      <c r="O191" s="16"/>
      <c r="P191" s="23" t="s">
        <v>34</v>
      </c>
      <c r="Q191" s="17">
        <f t="shared" si="1"/>
        <v>45594</v>
      </c>
      <c r="R191" s="15">
        <f t="shared" si="37"/>
        <v>195</v>
      </c>
      <c r="S191" s="20"/>
      <c r="T191" s="68" t="str">
        <f>VLOOKUP(A191,'Calendar ID'!$A:$C,3,false)</f>
        <v>moped@grapperagency.com</v>
      </c>
      <c r="U191" s="77" t="b">
        <v>1</v>
      </c>
      <c r="V191" s="70" t="s">
        <v>82</v>
      </c>
      <c r="W191" s="77" t="b">
        <v>1</v>
      </c>
      <c r="X191" s="70" t="s">
        <v>82</v>
      </c>
    </row>
    <row r="192" hidden="1">
      <c r="A192" s="16" t="s">
        <v>39</v>
      </c>
      <c r="B192" s="17">
        <v>45561.0</v>
      </c>
      <c r="C192" s="16" t="s">
        <v>226</v>
      </c>
      <c r="E192" s="17">
        <v>45610.0</v>
      </c>
      <c r="G192" s="17">
        <v>45615.0</v>
      </c>
      <c r="H192" s="10" t="s">
        <v>31</v>
      </c>
      <c r="J192" s="16" t="s">
        <v>43</v>
      </c>
      <c r="K192" s="23" t="s">
        <v>33</v>
      </c>
      <c r="L192" s="83">
        <v>500.0</v>
      </c>
      <c r="N192" s="16"/>
      <c r="O192" s="16"/>
      <c r="P192" s="16" t="s">
        <v>34</v>
      </c>
      <c r="Q192" s="17">
        <f t="shared" si="1"/>
        <v>45561</v>
      </c>
      <c r="R192" s="18">
        <f t="shared" si="37"/>
        <v>150</v>
      </c>
      <c r="S192" s="20"/>
      <c r="T192" s="68" t="str">
        <f>VLOOKUP(A192,'Calendar ID'!$A:$C,3,false)</f>
        <v>#N/A</v>
      </c>
      <c r="U192" s="78" t="b">
        <v>0</v>
      </c>
      <c r="V192" s="68" t="str">
        <f>VLOOKUP($A192,'Calendar ID'!$A:$C,2,false)</f>
        <v>#N/A</v>
      </c>
      <c r="W192" s="71" t="b">
        <v>0</v>
      </c>
      <c r="X192" s="68" t="str">
        <f>VLOOKUP($A192,'Calendar ID'!$A:$C,2,false)</f>
        <v>#N/A</v>
      </c>
    </row>
    <row r="193" hidden="1">
      <c r="A193" s="16" t="s">
        <v>284</v>
      </c>
      <c r="B193" s="17">
        <v>45589.0</v>
      </c>
      <c r="C193" s="16" t="s">
        <v>199</v>
      </c>
      <c r="D193" s="90" t="s">
        <v>285</v>
      </c>
      <c r="E193" s="82">
        <v>45611.0</v>
      </c>
      <c r="F193" s="82">
        <v>45585.0</v>
      </c>
      <c r="G193" s="17">
        <v>45626.0</v>
      </c>
      <c r="H193" s="10" t="s">
        <v>31</v>
      </c>
      <c r="J193" s="16" t="s">
        <v>43</v>
      </c>
      <c r="K193" s="23" t="s">
        <v>33</v>
      </c>
      <c r="L193" s="31">
        <v>300.0</v>
      </c>
      <c r="N193" s="16"/>
      <c r="O193" s="16"/>
      <c r="P193" s="16" t="s">
        <v>34</v>
      </c>
      <c r="Q193" s="17">
        <f t="shared" si="1"/>
        <v>45589</v>
      </c>
      <c r="R193" s="18">
        <f t="shared" si="37"/>
        <v>90</v>
      </c>
      <c r="S193" s="20"/>
      <c r="T193" s="68" t="str">
        <f>VLOOKUP(A193,'Calendar ID'!$A:$C,3,false)</f>
        <v>Douns.collab@gmail.com</v>
      </c>
      <c r="U193" s="71" t="b">
        <v>0</v>
      </c>
      <c r="V193" s="68" t="str">
        <f>VLOOKUP($A193,'Calendar ID'!$A:$C,2,false)</f>
        <v>c_2208b8e561439ebc2637feb15fe2d308d5719cc64460071de6ba0c674eba6118@group.calendar.google.com</v>
      </c>
      <c r="W193" s="69" t="b">
        <v>1</v>
      </c>
      <c r="X193" s="70" t="s">
        <v>82</v>
      </c>
    </row>
    <row r="194" hidden="1">
      <c r="A194" s="16" t="s">
        <v>136</v>
      </c>
      <c r="B194" s="17">
        <v>45594.0</v>
      </c>
      <c r="C194" s="16" t="s">
        <v>286</v>
      </c>
      <c r="E194" s="17">
        <v>45613.0</v>
      </c>
      <c r="G194" s="17">
        <v>45616.0</v>
      </c>
      <c r="H194" s="10" t="s">
        <v>31</v>
      </c>
      <c r="J194" s="16" t="s">
        <v>43</v>
      </c>
      <c r="K194" s="23" t="s">
        <v>33</v>
      </c>
      <c r="L194" s="31">
        <v>100.0</v>
      </c>
      <c r="N194" s="16"/>
      <c r="O194" s="16"/>
      <c r="P194" s="23" t="s">
        <v>34</v>
      </c>
      <c r="Q194" s="17">
        <f t="shared" si="1"/>
        <v>45594</v>
      </c>
      <c r="R194" s="15">
        <f t="shared" si="37"/>
        <v>30</v>
      </c>
      <c r="S194" s="20"/>
      <c r="T194" s="68" t="str">
        <f>VLOOKUP(A194,'Calendar ID'!$A:$C,3,false)</f>
        <v>liserdg.pro@gmail.com </v>
      </c>
      <c r="U194" s="77" t="b">
        <v>1</v>
      </c>
      <c r="V194" s="70" t="s">
        <v>82</v>
      </c>
      <c r="W194" s="77" t="b">
        <v>1</v>
      </c>
      <c r="X194" s="70" t="s">
        <v>82</v>
      </c>
    </row>
    <row r="195" hidden="1">
      <c r="A195" s="16" t="s">
        <v>39</v>
      </c>
      <c r="B195" s="17">
        <v>45594.0</v>
      </c>
      <c r="C195" s="16" t="s">
        <v>287</v>
      </c>
      <c r="E195" s="17">
        <v>45615.0</v>
      </c>
      <c r="G195" s="17">
        <v>45623.0</v>
      </c>
      <c r="H195" s="10" t="s">
        <v>31</v>
      </c>
      <c r="J195" s="16" t="s">
        <v>43</v>
      </c>
      <c r="K195" s="23" t="s">
        <v>33</v>
      </c>
      <c r="L195" s="31">
        <v>700.0</v>
      </c>
      <c r="N195" s="65" t="s">
        <v>288</v>
      </c>
      <c r="O195" s="16"/>
      <c r="P195" s="23" t="s">
        <v>34</v>
      </c>
      <c r="Q195" s="17">
        <f t="shared" si="1"/>
        <v>45594</v>
      </c>
      <c r="R195" s="15">
        <f t="shared" si="37"/>
        <v>210</v>
      </c>
      <c r="S195" s="20"/>
      <c r="T195" s="68" t="str">
        <f>VLOOKUP(A195,'Calendar ID'!$A:$C,3,false)</f>
        <v>#N/A</v>
      </c>
      <c r="U195" s="77" t="b">
        <v>0</v>
      </c>
      <c r="V195" s="68" t="str">
        <f>VLOOKUP($A195,'Calendar ID'!$A:$C,2,false)</f>
        <v>#N/A</v>
      </c>
      <c r="W195" s="77" t="b">
        <v>0</v>
      </c>
      <c r="X195" s="68" t="str">
        <f>VLOOKUP($A195,'Calendar ID'!$A:$C,2,false)</f>
        <v>#N/A</v>
      </c>
    </row>
    <row r="196" hidden="1">
      <c r="A196" s="16" t="s">
        <v>76</v>
      </c>
      <c r="B196" s="17">
        <v>45580.0</v>
      </c>
      <c r="C196" s="16" t="s">
        <v>79</v>
      </c>
      <c r="D196" s="87" t="s">
        <v>289</v>
      </c>
      <c r="E196" s="17">
        <v>45602.0</v>
      </c>
      <c r="G196" s="17"/>
      <c r="H196" s="10" t="s">
        <v>31</v>
      </c>
      <c r="J196" s="16" t="s">
        <v>43</v>
      </c>
      <c r="K196" s="23" t="s">
        <v>33</v>
      </c>
      <c r="L196" s="31">
        <v>500.0</v>
      </c>
      <c r="N196" s="16"/>
      <c r="O196" s="16"/>
      <c r="P196" s="16" t="s">
        <v>34</v>
      </c>
      <c r="Q196" s="17">
        <f t="shared" si="1"/>
        <v>45580</v>
      </c>
      <c r="R196" s="18">
        <f t="shared" si="37"/>
        <v>150</v>
      </c>
      <c r="S196" s="20"/>
      <c r="T196" s="68" t="str">
        <f>VLOOKUP(A196,'Calendar ID'!$A:$C,3,false)</f>
        <v>orane.baron1403@gmail.com</v>
      </c>
      <c r="U196" s="78" t="b">
        <v>0</v>
      </c>
      <c r="V196" s="68" t="str">
        <f>VLOOKUP($A196,'Calendar ID'!$A:$C,2,false)</f>
        <v>c_b9aea0629908ddbafe7229688ea55dc9d65b9e6b1a8ed4492c7ca84aa703d076@group.calendar.google.com</v>
      </c>
      <c r="W196" s="71" t="b">
        <v>0</v>
      </c>
      <c r="X196" s="68" t="str">
        <f>VLOOKUP($A196,'Calendar ID'!$A:$C,2,false)</f>
        <v>c_b9aea0629908ddbafe7229688ea55dc9d65b9e6b1a8ed4492c7ca84aa703d076@group.calendar.google.com</v>
      </c>
    </row>
    <row r="197" hidden="1">
      <c r="A197" s="16" t="s">
        <v>290</v>
      </c>
      <c r="B197" s="17">
        <v>45589.0</v>
      </c>
      <c r="C197" s="16" t="s">
        <v>245</v>
      </c>
      <c r="E197" s="8">
        <v>45618.0</v>
      </c>
      <c r="F197" s="17"/>
      <c r="G197" s="17"/>
      <c r="H197" s="10" t="s">
        <v>31</v>
      </c>
      <c r="J197" s="16" t="s">
        <v>43</v>
      </c>
      <c r="K197" s="23" t="s">
        <v>33</v>
      </c>
      <c r="L197" s="51">
        <v>300.0</v>
      </c>
      <c r="N197" s="16"/>
      <c r="O197" s="16"/>
      <c r="P197" s="16" t="s">
        <v>34</v>
      </c>
      <c r="Q197" s="17">
        <f t="shared" si="1"/>
        <v>45589</v>
      </c>
      <c r="R197" s="81">
        <f t="shared" si="37"/>
        <v>90</v>
      </c>
      <c r="S197" s="20"/>
      <c r="T197" s="20"/>
      <c r="U197" s="20"/>
      <c r="V197" s="20"/>
      <c r="W197" s="20"/>
      <c r="X197" s="20"/>
    </row>
    <row r="198" hidden="1">
      <c r="A198" s="16" t="s">
        <v>42</v>
      </c>
      <c r="B198" s="17">
        <v>45567.0</v>
      </c>
      <c r="C198" s="16" t="s">
        <v>287</v>
      </c>
      <c r="E198" s="82">
        <v>45616.0</v>
      </c>
      <c r="F198" s="82"/>
      <c r="G198" s="82">
        <v>45618.0</v>
      </c>
      <c r="H198" s="10" t="s">
        <v>31</v>
      </c>
      <c r="J198" s="16" t="s">
        <v>43</v>
      </c>
      <c r="K198" s="23" t="s">
        <v>33</v>
      </c>
      <c r="L198" s="31">
        <v>1000.0</v>
      </c>
      <c r="N198" s="16"/>
      <c r="O198" s="16"/>
      <c r="P198" s="16" t="s">
        <v>34</v>
      </c>
      <c r="Q198" s="17">
        <f t="shared" si="1"/>
        <v>45567</v>
      </c>
      <c r="R198" s="18">
        <f>L198*0.25</f>
        <v>250</v>
      </c>
      <c r="S198" s="20"/>
      <c r="T198" s="68" t="str">
        <f>VLOOKUP(A198,'Calendar ID'!$A:$C,3,false)</f>
        <v>cmepls.pro@gmail.com</v>
      </c>
      <c r="U198" s="77" t="b">
        <v>1</v>
      </c>
      <c r="V198" s="70" t="s">
        <v>82</v>
      </c>
      <c r="W198" s="69" t="b">
        <v>1</v>
      </c>
      <c r="X198" s="70" t="s">
        <v>82</v>
      </c>
    </row>
    <row r="199" hidden="1">
      <c r="A199" s="16" t="s">
        <v>29</v>
      </c>
      <c r="B199" s="17">
        <v>45595.0</v>
      </c>
      <c r="C199" s="16" t="s">
        <v>291</v>
      </c>
      <c r="E199" s="82">
        <v>45617.0</v>
      </c>
      <c r="F199" s="82"/>
      <c r="G199" s="82">
        <v>45623.0</v>
      </c>
      <c r="H199" s="10" t="s">
        <v>31</v>
      </c>
      <c r="I199" s="16" t="s">
        <v>292</v>
      </c>
      <c r="J199" s="16" t="s">
        <v>43</v>
      </c>
      <c r="K199" s="23" t="s">
        <v>33</v>
      </c>
      <c r="L199" s="31">
        <v>170.0</v>
      </c>
      <c r="N199" s="65" t="s">
        <v>293</v>
      </c>
      <c r="O199" s="16"/>
      <c r="P199" s="23" t="s">
        <v>34</v>
      </c>
      <c r="Q199" s="17">
        <f t="shared" si="1"/>
        <v>45595</v>
      </c>
      <c r="R199" s="15">
        <f>L199*0.2</f>
        <v>34</v>
      </c>
      <c r="S199" s="20"/>
      <c r="T199" s="68" t="str">
        <f>VLOOKUP(A199,'Calendar ID'!$A:$C,3,false)</f>
        <v>pauline@grapperagency.com</v>
      </c>
      <c r="U199" s="77" t="b">
        <v>1</v>
      </c>
      <c r="V199" s="70" t="s">
        <v>82</v>
      </c>
      <c r="W199" s="77" t="b">
        <v>1</v>
      </c>
      <c r="X199" s="70" t="s">
        <v>82</v>
      </c>
    </row>
    <row r="200" hidden="1">
      <c r="A200" s="16" t="s">
        <v>213</v>
      </c>
      <c r="B200" s="82">
        <v>45579.0</v>
      </c>
      <c r="C200" s="16" t="s">
        <v>211</v>
      </c>
      <c r="E200" s="17">
        <v>45617.0</v>
      </c>
      <c r="G200" s="17">
        <v>45622.0</v>
      </c>
      <c r="H200" s="10" t="s">
        <v>31</v>
      </c>
      <c r="J200" s="16" t="s">
        <v>43</v>
      </c>
      <c r="K200" s="23" t="s">
        <v>33</v>
      </c>
      <c r="L200" s="31">
        <v>600.0</v>
      </c>
      <c r="N200" s="65" t="s">
        <v>294</v>
      </c>
      <c r="O200" s="16"/>
      <c r="P200" s="16" t="s">
        <v>34</v>
      </c>
      <c r="Q200" s="17">
        <f t="shared" si="1"/>
        <v>45579</v>
      </c>
      <c r="R200" s="18">
        <f t="shared" ref="R200:R201" si="38">L200*0.3</f>
        <v>180</v>
      </c>
      <c r="S200" s="20"/>
      <c r="T200" s="68" t="str">
        <f>VLOOKUP(A200,'Calendar ID'!$A:$C,3,false)</f>
        <v>anaiswry@yahoo.fr</v>
      </c>
      <c r="U200" s="78" t="b">
        <v>0</v>
      </c>
      <c r="V200" s="68" t="str">
        <f>VLOOKUP($A200,'Calendar ID'!$A:$C,2,false)</f>
        <v>c_2754856c5047affc6767bb85fb787591389bf7d14d3afd368efdff9979492ab5@group.calendar.google.com</v>
      </c>
      <c r="W200" s="69" t="b">
        <v>1</v>
      </c>
      <c r="X200" s="70" t="s">
        <v>82</v>
      </c>
    </row>
    <row r="201" hidden="1">
      <c r="A201" s="16" t="s">
        <v>283</v>
      </c>
      <c r="B201" s="17">
        <v>45595.0</v>
      </c>
      <c r="C201" s="16" t="s">
        <v>295</v>
      </c>
      <c r="E201" s="17">
        <v>45618.0</v>
      </c>
      <c r="G201" s="17">
        <v>45623.0</v>
      </c>
      <c r="H201" s="10" t="s">
        <v>31</v>
      </c>
      <c r="J201" s="16" t="s">
        <v>43</v>
      </c>
      <c r="K201" s="23" t="s">
        <v>33</v>
      </c>
      <c r="L201" s="31">
        <v>800.0</v>
      </c>
      <c r="N201" s="16"/>
      <c r="O201" s="16"/>
      <c r="P201" s="23" t="s">
        <v>34</v>
      </c>
      <c r="Q201" s="17">
        <f t="shared" si="1"/>
        <v>45595</v>
      </c>
      <c r="R201" s="15">
        <f t="shared" si="38"/>
        <v>240</v>
      </c>
      <c r="S201" s="20"/>
      <c r="T201" s="68" t="str">
        <f>VLOOKUP(A201,'Calendar ID'!$A:$C,3,false)</f>
        <v>moped@grapperagency.com</v>
      </c>
      <c r="U201" s="77" t="b">
        <v>0</v>
      </c>
      <c r="V201" s="70" t="s">
        <v>82</v>
      </c>
      <c r="W201" s="77" t="b">
        <v>1</v>
      </c>
      <c r="X201" s="70" t="s">
        <v>82</v>
      </c>
    </row>
    <row r="202" hidden="1">
      <c r="A202" s="16" t="s">
        <v>45</v>
      </c>
      <c r="B202" s="17">
        <v>45589.0</v>
      </c>
      <c r="C202" s="16" t="s">
        <v>199</v>
      </c>
      <c r="D202" s="90" t="s">
        <v>285</v>
      </c>
      <c r="E202" s="17">
        <v>45620.0</v>
      </c>
      <c r="F202" s="82"/>
      <c r="G202" s="17">
        <v>45615.0</v>
      </c>
      <c r="H202" s="10" t="s">
        <v>31</v>
      </c>
      <c r="J202" s="16" t="s">
        <v>43</v>
      </c>
      <c r="K202" s="23" t="s">
        <v>33</v>
      </c>
      <c r="L202" s="31">
        <v>450.0</v>
      </c>
      <c r="N202" s="16"/>
      <c r="O202" s="16"/>
      <c r="P202" s="16" t="s">
        <v>34</v>
      </c>
      <c r="Q202" s="17">
        <f t="shared" si="1"/>
        <v>45589</v>
      </c>
      <c r="R202" s="18">
        <f t="shared" ref="R202:R203" si="39">L202*0.25</f>
        <v>112.5</v>
      </c>
      <c r="S202" s="20"/>
      <c r="T202" s="68" t="str">
        <f>VLOOKUP(A202,'Calendar ID'!$A:$C,3,false)</f>
        <v>lilyy.nl@grapperagency.com</v>
      </c>
      <c r="U202" s="69" t="b">
        <v>1</v>
      </c>
      <c r="V202" s="70" t="s">
        <v>82</v>
      </c>
      <c r="W202" s="69" t="b">
        <v>1</v>
      </c>
      <c r="X202" s="70" t="s">
        <v>82</v>
      </c>
    </row>
    <row r="203" hidden="1">
      <c r="A203" s="16" t="s">
        <v>45</v>
      </c>
      <c r="B203" s="17">
        <v>45590.0</v>
      </c>
      <c r="C203" s="16" t="s">
        <v>296</v>
      </c>
      <c r="E203" s="17">
        <v>45620.0</v>
      </c>
      <c r="G203" s="17">
        <v>45628.0</v>
      </c>
      <c r="H203" s="10" t="s">
        <v>31</v>
      </c>
      <c r="J203" s="16" t="s">
        <v>43</v>
      </c>
      <c r="K203" s="23" t="s">
        <v>33</v>
      </c>
      <c r="L203" s="31">
        <v>900.0</v>
      </c>
      <c r="N203" s="65" t="s">
        <v>297</v>
      </c>
      <c r="O203" s="16"/>
      <c r="P203" s="16" t="s">
        <v>34</v>
      </c>
      <c r="Q203" s="17">
        <f t="shared" si="1"/>
        <v>45590</v>
      </c>
      <c r="R203" s="18">
        <f t="shared" si="39"/>
        <v>225</v>
      </c>
      <c r="S203" s="20"/>
      <c r="T203" s="68" t="str">
        <f>VLOOKUP(A203,'Calendar ID'!$A:$C,3,false)</f>
        <v>lilyy.nl@grapperagency.com</v>
      </c>
      <c r="U203" s="77" t="b">
        <v>1</v>
      </c>
      <c r="V203" s="70" t="s">
        <v>82</v>
      </c>
      <c r="W203" s="77" t="b">
        <v>1</v>
      </c>
      <c r="X203" s="70" t="s">
        <v>82</v>
      </c>
    </row>
    <row r="204" hidden="1">
      <c r="A204" s="16" t="s">
        <v>157</v>
      </c>
      <c r="B204" s="17">
        <v>45601.0</v>
      </c>
      <c r="C204" s="16" t="s">
        <v>199</v>
      </c>
      <c r="D204" s="91"/>
      <c r="E204" s="17">
        <v>45621.0</v>
      </c>
      <c r="F204" s="82">
        <v>45585.0</v>
      </c>
      <c r="G204" s="17">
        <v>45625.0</v>
      </c>
      <c r="H204" s="10" t="s">
        <v>31</v>
      </c>
      <c r="J204" s="16" t="s">
        <v>43</v>
      </c>
      <c r="K204" s="23" t="s">
        <v>33</v>
      </c>
      <c r="L204" s="31">
        <v>450.0</v>
      </c>
      <c r="N204" s="16"/>
      <c r="O204" s="16"/>
      <c r="P204" s="23" t="s">
        <v>34</v>
      </c>
      <c r="Q204" s="17">
        <f t="shared" si="1"/>
        <v>45601</v>
      </c>
      <c r="R204" s="18">
        <f t="shared" ref="R204:R209" si="40">L204*0.3</f>
        <v>135</v>
      </c>
      <c r="S204" s="20"/>
      <c r="T204" s="68" t="str">
        <f>VLOOKUP(A204,'Calendar ID'!$A:$C,3,false)</f>
        <v>jeannebayart@gmail.com</v>
      </c>
      <c r="U204" s="77" t="b">
        <v>1</v>
      </c>
      <c r="V204" s="70" t="s">
        <v>82</v>
      </c>
      <c r="W204" s="77" t="b">
        <v>1</v>
      </c>
      <c r="X204" s="70" t="s">
        <v>82</v>
      </c>
    </row>
    <row r="205" hidden="1">
      <c r="A205" s="16" t="s">
        <v>284</v>
      </c>
      <c r="B205" s="17">
        <v>45604.0</v>
      </c>
      <c r="C205" s="16" t="s">
        <v>48</v>
      </c>
      <c r="D205" s="92" t="s">
        <v>298</v>
      </c>
      <c r="E205" s="82">
        <v>45624.0</v>
      </c>
      <c r="F205" s="82">
        <v>45609.0</v>
      </c>
      <c r="G205" s="82">
        <v>45635.0</v>
      </c>
      <c r="H205" s="10" t="s">
        <v>31</v>
      </c>
      <c r="J205" s="16" t="s">
        <v>43</v>
      </c>
      <c r="K205" s="23" t="s">
        <v>33</v>
      </c>
      <c r="L205" s="31">
        <v>400.0</v>
      </c>
      <c r="N205" s="16"/>
      <c r="O205" s="16"/>
      <c r="P205" s="23" t="s">
        <v>34</v>
      </c>
      <c r="Q205" s="17">
        <f t="shared" si="1"/>
        <v>45604</v>
      </c>
      <c r="R205" s="18">
        <f t="shared" si="40"/>
        <v>120</v>
      </c>
      <c r="S205" s="20"/>
      <c r="T205" s="68" t="str">
        <f>VLOOKUP(A205,'Calendar ID'!$A:$C,3,false)</f>
        <v>Douns.collab@gmail.com</v>
      </c>
      <c r="U205" s="77" t="b">
        <v>1</v>
      </c>
      <c r="V205" s="70" t="s">
        <v>82</v>
      </c>
      <c r="W205" s="77" t="b">
        <v>1</v>
      </c>
      <c r="X205" s="70" t="s">
        <v>82</v>
      </c>
    </row>
    <row r="206" hidden="1">
      <c r="A206" s="16" t="s">
        <v>113</v>
      </c>
      <c r="B206" s="17">
        <v>45600.0</v>
      </c>
      <c r="C206" s="16" t="s">
        <v>101</v>
      </c>
      <c r="E206" s="17">
        <v>45622.0</v>
      </c>
      <c r="F206" s="17"/>
      <c r="G206" s="17">
        <v>45624.0</v>
      </c>
      <c r="H206" s="10" t="s">
        <v>31</v>
      </c>
      <c r="I206" s="16" t="s">
        <v>299</v>
      </c>
      <c r="J206" s="16" t="s">
        <v>43</v>
      </c>
      <c r="K206" s="23" t="s">
        <v>33</v>
      </c>
      <c r="L206" s="31">
        <v>125.0</v>
      </c>
      <c r="N206" s="16"/>
      <c r="O206" s="16"/>
      <c r="P206" s="23" t="s">
        <v>34</v>
      </c>
      <c r="Q206" s="17">
        <f t="shared" si="1"/>
        <v>45600</v>
      </c>
      <c r="R206" s="15">
        <f t="shared" si="40"/>
        <v>37.5</v>
      </c>
      <c r="S206" s="20"/>
      <c r="T206" s="68" t="str">
        <f>VLOOKUP(A206,'Calendar ID'!$A:$C,3,false)</f>
        <v>lovelyMytb@gmail.com </v>
      </c>
      <c r="U206" s="77" t="b">
        <v>1</v>
      </c>
      <c r="V206" s="70" t="s">
        <v>82</v>
      </c>
      <c r="W206" s="77" t="b">
        <v>0</v>
      </c>
      <c r="X206" s="68" t="str">
        <f>VLOOKUP($A206,'Calendar ID'!$A:$C,2,false)</f>
        <v>c_68f94d9ebfae6399f09ec01b19d2012d5d2b7c5efbd47328c79c373cbeec7a5b@group.calendar.google.com</v>
      </c>
    </row>
    <row r="207" hidden="1">
      <c r="A207" s="16" t="s">
        <v>113</v>
      </c>
      <c r="B207" s="17">
        <v>45600.0</v>
      </c>
      <c r="C207" s="16" t="s">
        <v>101</v>
      </c>
      <c r="E207" s="17">
        <v>45622.0</v>
      </c>
      <c r="F207" s="17"/>
      <c r="G207" s="17">
        <v>45624.0</v>
      </c>
      <c r="H207" s="10" t="s">
        <v>31</v>
      </c>
      <c r="J207" s="16" t="s">
        <v>43</v>
      </c>
      <c r="K207" s="23" t="s">
        <v>33</v>
      </c>
      <c r="L207" s="31">
        <v>700.0</v>
      </c>
      <c r="N207" s="16"/>
      <c r="O207" s="16"/>
      <c r="P207" s="23" t="s">
        <v>34</v>
      </c>
      <c r="Q207" s="17">
        <f t="shared" si="1"/>
        <v>45600</v>
      </c>
      <c r="R207" s="15">
        <f t="shared" si="40"/>
        <v>210</v>
      </c>
      <c r="S207" s="20"/>
      <c r="T207" s="68" t="str">
        <f>VLOOKUP(A207,'Calendar ID'!$A:$C,3,false)</f>
        <v>lovelyMytb@gmail.com </v>
      </c>
      <c r="U207" s="77" t="b">
        <v>1</v>
      </c>
      <c r="V207" s="70" t="s">
        <v>82</v>
      </c>
      <c r="W207" s="77" t="b">
        <v>0</v>
      </c>
      <c r="X207" s="68" t="str">
        <f>VLOOKUP($A207,'Calendar ID'!$A:$C,2,false)</f>
        <v>c_68f94d9ebfae6399f09ec01b19d2012d5d2b7c5efbd47328c79c373cbeec7a5b@group.calendar.google.com</v>
      </c>
    </row>
    <row r="208" hidden="1">
      <c r="A208" s="16" t="s">
        <v>157</v>
      </c>
      <c r="B208" s="17">
        <v>45588.0</v>
      </c>
      <c r="C208" s="16" t="s">
        <v>295</v>
      </c>
      <c r="E208" s="17">
        <v>45623.0</v>
      </c>
      <c r="G208" s="17">
        <v>45625.0</v>
      </c>
      <c r="H208" s="10" t="s">
        <v>31</v>
      </c>
      <c r="J208" s="16" t="s">
        <v>43</v>
      </c>
      <c r="K208" s="23" t="s">
        <v>33</v>
      </c>
      <c r="L208" s="31">
        <v>1500.0</v>
      </c>
      <c r="N208" s="55" t="s">
        <v>300</v>
      </c>
      <c r="O208" s="16"/>
      <c r="P208" s="16" t="s">
        <v>34</v>
      </c>
      <c r="Q208" s="17">
        <f t="shared" si="1"/>
        <v>45588</v>
      </c>
      <c r="R208" s="18">
        <f t="shared" si="40"/>
        <v>450</v>
      </c>
      <c r="S208" s="20"/>
      <c r="T208" s="68" t="str">
        <f>VLOOKUP(A208,'Calendar ID'!$A:$C,3,false)</f>
        <v>jeannebayart@gmail.com</v>
      </c>
      <c r="U208" s="77" t="b">
        <v>1</v>
      </c>
      <c r="V208" s="70" t="s">
        <v>82</v>
      </c>
      <c r="W208" s="71" t="b">
        <v>0</v>
      </c>
      <c r="X208" s="68" t="str">
        <f>VLOOKUP($A208,'Calendar ID'!$A:$C,2,false)</f>
        <v>c_d2ee2c2110f1f2bc5b089d0edb8b480581f78d93077274c225fcfc530518b2ca@group.calendar.google.com</v>
      </c>
    </row>
    <row r="209" hidden="1">
      <c r="A209" s="16" t="s">
        <v>284</v>
      </c>
      <c r="B209" s="17">
        <v>45593.0</v>
      </c>
      <c r="C209" s="16" t="s">
        <v>199</v>
      </c>
      <c r="D209" s="16" t="s">
        <v>301</v>
      </c>
      <c r="E209" s="17">
        <v>45624.0</v>
      </c>
      <c r="F209" s="82">
        <v>45606.0</v>
      </c>
      <c r="G209" s="17">
        <v>45641.0</v>
      </c>
      <c r="H209" s="10" t="s">
        <v>31</v>
      </c>
      <c r="J209" s="16" t="s">
        <v>43</v>
      </c>
      <c r="K209" s="23" t="s">
        <v>33</v>
      </c>
      <c r="L209" s="31">
        <v>300.0</v>
      </c>
      <c r="N209" s="16"/>
      <c r="O209" s="16"/>
      <c r="P209" s="16" t="s">
        <v>34</v>
      </c>
      <c r="Q209" s="17">
        <f t="shared" si="1"/>
        <v>45593</v>
      </c>
      <c r="R209" s="18">
        <f t="shared" si="40"/>
        <v>90</v>
      </c>
      <c r="S209" s="20"/>
      <c r="T209" s="68" t="str">
        <f>VLOOKUP(A209,'Calendar ID'!$A:$C,3,false)</f>
        <v>Douns.collab@gmail.com</v>
      </c>
      <c r="U209" s="69" t="b">
        <v>1</v>
      </c>
      <c r="V209" s="70" t="s">
        <v>82</v>
      </c>
      <c r="W209" s="69" t="b">
        <v>1</v>
      </c>
      <c r="X209" s="70" t="s">
        <v>82</v>
      </c>
    </row>
    <row r="210" hidden="1">
      <c r="A210" s="23" t="s">
        <v>42</v>
      </c>
      <c r="B210" s="11">
        <v>45625.0</v>
      </c>
      <c r="C210" s="23" t="s">
        <v>245</v>
      </c>
      <c r="D210" s="16" t="s">
        <v>302</v>
      </c>
      <c r="E210" s="8">
        <v>45637.0</v>
      </c>
      <c r="F210" s="7"/>
      <c r="G210" s="8">
        <v>45643.0</v>
      </c>
      <c r="H210" s="10" t="s">
        <v>31</v>
      </c>
      <c r="I210" s="7"/>
      <c r="J210" s="23" t="s">
        <v>43</v>
      </c>
      <c r="K210" s="23" t="s">
        <v>33</v>
      </c>
      <c r="L210" s="93">
        <v>500.0</v>
      </c>
      <c r="M210" s="7"/>
      <c r="N210" s="23"/>
      <c r="O210" s="23"/>
      <c r="P210" s="23" t="s">
        <v>34</v>
      </c>
      <c r="Q210" s="17">
        <f t="shared" si="1"/>
        <v>45625</v>
      </c>
      <c r="R210" s="15">
        <f>L210*0.25</f>
        <v>125</v>
      </c>
      <c r="S210" s="68"/>
      <c r="T210" s="68" t="str">
        <f>VLOOKUP(A210,'Calendar ID'!$A:$C,3,false)</f>
        <v>cmepls.pro@gmail.com</v>
      </c>
      <c r="U210" s="69" t="b">
        <v>1</v>
      </c>
      <c r="V210" s="70" t="s">
        <v>82</v>
      </c>
      <c r="W210" s="69" t="b">
        <v>1</v>
      </c>
      <c r="X210" s="70" t="s">
        <v>82</v>
      </c>
      <c r="Y210" s="7"/>
      <c r="Z210" s="7"/>
      <c r="AA210" s="7"/>
      <c r="AB210" s="7"/>
      <c r="AC210" s="7"/>
    </row>
    <row r="211" hidden="1">
      <c r="A211" s="16" t="s">
        <v>91</v>
      </c>
      <c r="B211" s="17">
        <v>45561.0</v>
      </c>
      <c r="C211" s="16" t="s">
        <v>245</v>
      </c>
      <c r="E211" s="10" t="s">
        <v>303</v>
      </c>
      <c r="F211" s="17"/>
      <c r="G211" s="17"/>
      <c r="H211" s="10" t="s">
        <v>31</v>
      </c>
      <c r="J211" s="16" t="s">
        <v>43</v>
      </c>
      <c r="K211" s="23" t="s">
        <v>33</v>
      </c>
      <c r="L211" s="51">
        <v>250.0</v>
      </c>
      <c r="N211" s="16"/>
      <c r="O211" s="16"/>
      <c r="P211" s="16" t="s">
        <v>34</v>
      </c>
      <c r="Q211" s="17">
        <f t="shared" si="1"/>
        <v>45561</v>
      </c>
      <c r="R211" s="81">
        <f t="shared" ref="R211:R221" si="41">L211*0.3</f>
        <v>75</v>
      </c>
      <c r="S211" s="20"/>
      <c r="T211" s="68" t="str">
        <f>VLOOKUP(A211,'Calendar ID'!$A:$C,3,false)</f>
        <v>juliane.bernard57@icloud.com</v>
      </c>
      <c r="U211" s="78" t="b">
        <v>0</v>
      </c>
      <c r="V211" s="68" t="str">
        <f>VLOOKUP($A211,'Calendar ID'!$A:$C,2,false)</f>
        <v>c_f6970d92e9be72b1307e3c015a265d69ae87140c691e7728bc83462544d82455@group.calendar.google.com</v>
      </c>
      <c r="W211" s="71" t="b">
        <v>0</v>
      </c>
      <c r="X211" s="68" t="str">
        <f>VLOOKUP($A211,'Calendar ID'!$A:$C,2,false)</f>
        <v>c_f6970d92e9be72b1307e3c015a265d69ae87140c691e7728bc83462544d82455@group.calendar.google.com</v>
      </c>
    </row>
    <row r="212" hidden="1">
      <c r="A212" s="23" t="s">
        <v>244</v>
      </c>
      <c r="B212" s="11">
        <v>45625.0</v>
      </c>
      <c r="C212" s="23" t="s">
        <v>245</v>
      </c>
      <c r="D212" s="16" t="s">
        <v>302</v>
      </c>
      <c r="E212" s="8">
        <v>45640.0</v>
      </c>
      <c r="F212" s="7"/>
      <c r="G212" s="8">
        <v>45643.0</v>
      </c>
      <c r="H212" s="10" t="s">
        <v>31</v>
      </c>
      <c r="I212" s="7"/>
      <c r="J212" s="23" t="s">
        <v>43</v>
      </c>
      <c r="K212" s="23" t="s">
        <v>33</v>
      </c>
      <c r="L212" s="93">
        <v>300.0</v>
      </c>
      <c r="M212" s="7"/>
      <c r="N212" s="23"/>
      <c r="O212" s="23"/>
      <c r="P212" s="23" t="s">
        <v>34</v>
      </c>
      <c r="Q212" s="17">
        <f t="shared" si="1"/>
        <v>45625</v>
      </c>
      <c r="R212" s="15">
        <f t="shared" si="41"/>
        <v>90</v>
      </c>
      <c r="S212" s="68"/>
      <c r="T212" s="68" t="str">
        <f>VLOOKUP(A212,'Calendar ID'!$A:$C,3,false)</f>
        <v>jasminepro26@icloud.com </v>
      </c>
      <c r="U212" s="69" t="b">
        <v>1</v>
      </c>
      <c r="V212" s="70" t="s">
        <v>82</v>
      </c>
      <c r="W212" s="69" t="b">
        <v>1</v>
      </c>
      <c r="X212" s="70" t="s">
        <v>82</v>
      </c>
      <c r="Y212" s="7"/>
      <c r="Z212" s="7"/>
      <c r="AA212" s="7"/>
      <c r="AB212" s="7"/>
      <c r="AC212" s="7"/>
    </row>
    <row r="213" hidden="1">
      <c r="A213" s="16" t="s">
        <v>280</v>
      </c>
      <c r="B213" s="17">
        <v>45594.0</v>
      </c>
      <c r="C213" s="16" t="s">
        <v>304</v>
      </c>
      <c r="E213" s="17">
        <v>45641.0</v>
      </c>
      <c r="G213" s="17"/>
      <c r="H213" s="10" t="s">
        <v>31</v>
      </c>
      <c r="J213" s="16" t="s">
        <v>43</v>
      </c>
      <c r="K213" s="23" t="s">
        <v>33</v>
      </c>
      <c r="L213" s="31">
        <v>150.0</v>
      </c>
      <c r="N213" s="65" t="s">
        <v>305</v>
      </c>
      <c r="O213" s="16"/>
      <c r="P213" s="23" t="s">
        <v>34</v>
      </c>
      <c r="Q213" s="17">
        <f t="shared" si="1"/>
        <v>45594</v>
      </c>
      <c r="R213" s="15">
        <f t="shared" si="41"/>
        <v>45</v>
      </c>
      <c r="S213" s="20"/>
      <c r="T213" s="68" t="str">
        <f>VLOOKUP(A213,'Calendar ID'!$A:$C,3,false)</f>
        <v>ciman530@gmail.com</v>
      </c>
      <c r="U213" s="77" t="b">
        <v>0</v>
      </c>
      <c r="V213" s="68" t="str">
        <f>VLOOKUP($A213,'Calendar ID'!$A:$C,2,false)</f>
        <v>c_0d9eaa4cfb55a8e552117f53a91a7c3c2f5164632253d0e265f7de4e3a4737c4@group.calendar.google.com</v>
      </c>
      <c r="W213" s="77" t="b">
        <v>0</v>
      </c>
      <c r="X213" s="68" t="str">
        <f>VLOOKUP($A213,'Calendar ID'!$A:$C,2,false)</f>
        <v>c_0d9eaa4cfb55a8e552117f53a91a7c3c2f5164632253d0e265f7de4e3a4737c4@group.calendar.google.com</v>
      </c>
    </row>
    <row r="214" hidden="1">
      <c r="A214" s="16" t="s">
        <v>280</v>
      </c>
      <c r="B214" s="17">
        <v>45594.0</v>
      </c>
      <c r="C214" s="16" t="s">
        <v>304</v>
      </c>
      <c r="E214" s="17">
        <v>45641.0</v>
      </c>
      <c r="G214" s="17"/>
      <c r="H214" s="10" t="s">
        <v>31</v>
      </c>
      <c r="J214" s="16" t="s">
        <v>43</v>
      </c>
      <c r="K214" s="23" t="s">
        <v>33</v>
      </c>
      <c r="L214" s="31">
        <v>150.0</v>
      </c>
      <c r="N214" s="55" t="s">
        <v>306</v>
      </c>
      <c r="O214" s="16"/>
      <c r="P214" s="23" t="s">
        <v>34</v>
      </c>
      <c r="Q214" s="17">
        <f t="shared" si="1"/>
        <v>45594</v>
      </c>
      <c r="R214" s="15">
        <f t="shared" si="41"/>
        <v>45</v>
      </c>
      <c r="S214" s="20"/>
      <c r="T214" s="68" t="str">
        <f>VLOOKUP(A214,'Calendar ID'!$A:$C,3,false)</f>
        <v>ciman530@gmail.com</v>
      </c>
      <c r="U214" s="77" t="b">
        <v>0</v>
      </c>
      <c r="V214" s="68" t="str">
        <f>VLOOKUP($A214,'Calendar ID'!$A:$C,2,false)</f>
        <v>c_0d9eaa4cfb55a8e552117f53a91a7c3c2f5164632253d0e265f7de4e3a4737c4@group.calendar.google.com</v>
      </c>
      <c r="W214" s="77" t="b">
        <v>0</v>
      </c>
      <c r="X214" s="68" t="str">
        <f>VLOOKUP($A214,'Calendar ID'!$A:$C,2,false)</f>
        <v>c_0d9eaa4cfb55a8e552117f53a91a7c3c2f5164632253d0e265f7de4e3a4737c4@group.calendar.google.com</v>
      </c>
    </row>
    <row r="215" hidden="1">
      <c r="A215" s="16" t="s">
        <v>280</v>
      </c>
      <c r="B215" s="17">
        <v>45594.0</v>
      </c>
      <c r="C215" s="16" t="s">
        <v>304</v>
      </c>
      <c r="E215" s="17">
        <v>45641.0</v>
      </c>
      <c r="G215" s="17"/>
      <c r="H215" s="10" t="s">
        <v>31</v>
      </c>
      <c r="J215" s="16" t="s">
        <v>43</v>
      </c>
      <c r="K215" s="23" t="s">
        <v>33</v>
      </c>
      <c r="L215" s="31">
        <v>150.0</v>
      </c>
      <c r="N215" s="65" t="s">
        <v>307</v>
      </c>
      <c r="O215" s="16"/>
      <c r="P215" s="23" t="s">
        <v>34</v>
      </c>
      <c r="Q215" s="17">
        <f t="shared" si="1"/>
        <v>45594</v>
      </c>
      <c r="R215" s="15">
        <f t="shared" si="41"/>
        <v>45</v>
      </c>
      <c r="S215" s="20"/>
      <c r="T215" s="68" t="str">
        <f>VLOOKUP(A215,'Calendar ID'!$A:$C,3,false)</f>
        <v>ciman530@gmail.com</v>
      </c>
      <c r="U215" s="77" t="b">
        <v>0</v>
      </c>
      <c r="V215" s="68" t="str">
        <f>VLOOKUP($A215,'Calendar ID'!$A:$C,2,false)</f>
        <v>c_0d9eaa4cfb55a8e552117f53a91a7c3c2f5164632253d0e265f7de4e3a4737c4@group.calendar.google.com</v>
      </c>
      <c r="W215" s="77" t="b">
        <v>0</v>
      </c>
      <c r="X215" s="68" t="str">
        <f>VLOOKUP($A215,'Calendar ID'!$A:$C,2,false)</f>
        <v>c_0d9eaa4cfb55a8e552117f53a91a7c3c2f5164632253d0e265f7de4e3a4737c4@group.calendar.google.com</v>
      </c>
    </row>
    <row r="216" hidden="1">
      <c r="A216" s="16" t="s">
        <v>290</v>
      </c>
      <c r="B216" s="17">
        <v>45604.0</v>
      </c>
      <c r="C216" s="16" t="s">
        <v>37</v>
      </c>
      <c r="E216" s="17">
        <v>45625.0</v>
      </c>
      <c r="G216" s="17">
        <v>45627.0</v>
      </c>
      <c r="H216" s="10" t="s">
        <v>31</v>
      </c>
      <c r="J216" s="16" t="s">
        <v>43</v>
      </c>
      <c r="K216" s="23" t="s">
        <v>33</v>
      </c>
      <c r="L216" s="31">
        <v>400.0</v>
      </c>
      <c r="N216" s="16"/>
      <c r="O216" s="16"/>
      <c r="P216" s="23" t="s">
        <v>34</v>
      </c>
      <c r="Q216" s="17">
        <f t="shared" si="1"/>
        <v>45604</v>
      </c>
      <c r="R216" s="15">
        <f t="shared" si="41"/>
        <v>120</v>
      </c>
      <c r="S216" s="20"/>
      <c r="T216" s="68" t="str">
        <f>VLOOKUP(A216,'Calendar ID'!$A:$C,3,false)</f>
        <v>hello.gurbet@gmail.com </v>
      </c>
      <c r="U216" s="78" t="b">
        <v>0</v>
      </c>
      <c r="V216" s="68" t="str">
        <f>VLOOKUP($A216,'Calendar ID'!$A:$C,2,false)</f>
        <v>c_db1fbd259183311b30d5bfa9e5494d85e4aa71562c2d699763ba11e15f3e8a3b@group.calendar.google.com</v>
      </c>
      <c r="W216" s="71" t="b">
        <v>0</v>
      </c>
      <c r="X216" s="68" t="str">
        <f>VLOOKUP($A216,'Calendar ID'!$A:$C,2,false)</f>
        <v>c_db1fbd259183311b30d5bfa9e5494d85e4aa71562c2d699763ba11e15f3e8a3b@group.calendar.google.com</v>
      </c>
    </row>
    <row r="217" hidden="1">
      <c r="A217" s="16" t="s">
        <v>213</v>
      </c>
      <c r="B217" s="17">
        <v>45615.0</v>
      </c>
      <c r="C217" s="16" t="s">
        <v>287</v>
      </c>
      <c r="E217" s="17">
        <v>45629.0</v>
      </c>
      <c r="G217" s="17">
        <v>45636.0</v>
      </c>
      <c r="H217" s="10" t="s">
        <v>31</v>
      </c>
      <c r="J217" s="16" t="s">
        <v>43</v>
      </c>
      <c r="K217" s="23" t="s">
        <v>33</v>
      </c>
      <c r="L217" s="31">
        <v>1000.0</v>
      </c>
      <c r="N217" s="16"/>
      <c r="O217" s="16"/>
      <c r="P217" s="23" t="s">
        <v>34</v>
      </c>
      <c r="Q217" s="17">
        <f t="shared" si="1"/>
        <v>45615</v>
      </c>
      <c r="R217" s="15">
        <f t="shared" si="41"/>
        <v>300</v>
      </c>
      <c r="S217" s="20"/>
      <c r="T217" s="68" t="str">
        <f>VLOOKUP(A217,'Calendar ID'!$A:$C,3,false)</f>
        <v>anaiswry@yahoo.fr</v>
      </c>
      <c r="U217" s="77" t="b">
        <v>1</v>
      </c>
      <c r="V217" s="70" t="s">
        <v>82</v>
      </c>
      <c r="W217" s="77" t="b">
        <v>1</v>
      </c>
      <c r="X217" s="70" t="s">
        <v>82</v>
      </c>
    </row>
    <row r="218" hidden="1">
      <c r="A218" s="16" t="s">
        <v>215</v>
      </c>
      <c r="B218" s="17">
        <v>45625.0</v>
      </c>
      <c r="C218" s="16" t="s">
        <v>245</v>
      </c>
      <c r="D218" s="16" t="s">
        <v>302</v>
      </c>
      <c r="E218" s="8">
        <v>45642.0</v>
      </c>
      <c r="G218" s="17"/>
      <c r="H218" s="10" t="s">
        <v>31</v>
      </c>
      <c r="J218" s="16" t="s">
        <v>43</v>
      </c>
      <c r="K218" s="23" t="s">
        <v>33</v>
      </c>
      <c r="L218" s="31">
        <v>300.0</v>
      </c>
      <c r="N218" s="16"/>
      <c r="O218" s="16"/>
      <c r="P218" s="23" t="s">
        <v>34</v>
      </c>
      <c r="Q218" s="17">
        <f t="shared" si="1"/>
        <v>45625</v>
      </c>
      <c r="R218" s="18">
        <f t="shared" si="41"/>
        <v>90</v>
      </c>
      <c r="S218" s="20"/>
      <c r="T218" s="68" t="str">
        <f>VLOOKUP(A218,'Calendar ID'!$A:$C,3,false)</f>
        <v>iimslmapro@outlook.fr</v>
      </c>
      <c r="U218" s="71" t="b">
        <v>0</v>
      </c>
      <c r="V218" s="68" t="str">
        <f>VLOOKUP($A218,'Calendar ID'!$A:$C,2,false)</f>
        <v>c_a80d776e58d8881ef4e876da99555e813842eeed9733f23e6f4b85d237e1fdec@group.calendar.google.com</v>
      </c>
      <c r="W218" s="71" t="b">
        <v>0</v>
      </c>
      <c r="X218" s="68" t="str">
        <f>VLOOKUP($A218,'Calendar ID'!$A:$C,2,false)</f>
        <v>c_a80d776e58d8881ef4e876da99555e813842eeed9733f23e6f4b85d237e1fdec@group.calendar.google.com</v>
      </c>
    </row>
    <row r="219" hidden="1">
      <c r="A219" s="16" t="s">
        <v>283</v>
      </c>
      <c r="B219" s="17">
        <v>45580.0</v>
      </c>
      <c r="C219" s="16" t="s">
        <v>79</v>
      </c>
      <c r="D219" s="16" t="s">
        <v>270</v>
      </c>
      <c r="E219" s="86">
        <v>45699.0</v>
      </c>
      <c r="G219" s="94">
        <v>45721.0</v>
      </c>
      <c r="H219" s="10" t="s">
        <v>31</v>
      </c>
      <c r="J219" s="16" t="s">
        <v>43</v>
      </c>
      <c r="K219" s="23" t="s">
        <v>33</v>
      </c>
      <c r="L219" s="31">
        <v>500.0</v>
      </c>
      <c r="N219" s="16"/>
      <c r="O219" s="16"/>
      <c r="P219" s="16" t="s">
        <v>34</v>
      </c>
      <c r="Q219" s="17">
        <f t="shared" si="1"/>
        <v>45580</v>
      </c>
      <c r="R219" s="18">
        <f t="shared" si="41"/>
        <v>150</v>
      </c>
      <c r="S219" s="20"/>
      <c r="T219" s="68" t="str">
        <f>VLOOKUP(A219,'Calendar ID'!$A:$C,3,false)</f>
        <v>moped@grapperagency.com</v>
      </c>
      <c r="U219" s="77" t="b">
        <v>1</v>
      </c>
      <c r="V219" s="70" t="s">
        <v>82</v>
      </c>
      <c r="W219" s="69" t="b">
        <v>1</v>
      </c>
      <c r="X219" s="70" t="s">
        <v>82</v>
      </c>
    </row>
    <row r="220" hidden="1">
      <c r="A220" s="16" t="s">
        <v>284</v>
      </c>
      <c r="B220" s="17">
        <v>45635.0</v>
      </c>
      <c r="C220" s="16" t="s">
        <v>48</v>
      </c>
      <c r="E220" s="17">
        <v>45645.0</v>
      </c>
      <c r="F220" s="82"/>
      <c r="G220" s="17">
        <v>45651.0</v>
      </c>
      <c r="H220" s="10" t="s">
        <v>31</v>
      </c>
      <c r="I220" s="16" t="s">
        <v>308</v>
      </c>
      <c r="J220" s="16" t="s">
        <v>43</v>
      </c>
      <c r="K220" s="23" t="s">
        <v>33</v>
      </c>
      <c r="L220" s="31">
        <v>400.0</v>
      </c>
      <c r="N220" s="16"/>
      <c r="O220" s="16"/>
      <c r="P220" s="23" t="s">
        <v>34</v>
      </c>
      <c r="Q220" s="17">
        <f t="shared" si="1"/>
        <v>45635</v>
      </c>
      <c r="R220" s="18">
        <f t="shared" si="41"/>
        <v>120</v>
      </c>
      <c r="S220" s="20"/>
      <c r="T220" s="68" t="str">
        <f>VLOOKUP(A220,'Calendar ID'!$A:$C,3,false)</f>
        <v>Douns.collab@gmail.com</v>
      </c>
      <c r="U220" s="77" t="b">
        <v>0</v>
      </c>
      <c r="V220" s="68" t="str">
        <f>VLOOKUP($A220,'Calendar ID'!$A:$C,2,false)</f>
        <v>c_2208b8e561439ebc2637feb15fe2d308d5719cc64460071de6ba0c674eba6118@group.calendar.google.com</v>
      </c>
      <c r="W220" s="77" t="b">
        <v>0</v>
      </c>
      <c r="X220" s="68" t="str">
        <f>VLOOKUP($A220,'Calendar ID'!$A:$C,2,false)</f>
        <v>c_2208b8e561439ebc2637feb15fe2d308d5719cc64460071de6ba0c674eba6118@group.calendar.google.com</v>
      </c>
    </row>
    <row r="221" hidden="1">
      <c r="A221" s="16" t="s">
        <v>280</v>
      </c>
      <c r="B221" s="17">
        <v>45625.0</v>
      </c>
      <c r="C221" s="16" t="s">
        <v>245</v>
      </c>
      <c r="D221" s="16" t="s">
        <v>302</v>
      </c>
      <c r="E221" s="8">
        <v>45646.0</v>
      </c>
      <c r="G221" s="8">
        <v>45651.0</v>
      </c>
      <c r="H221" s="10" t="s">
        <v>31</v>
      </c>
      <c r="J221" s="16" t="s">
        <v>43</v>
      </c>
      <c r="K221" s="23" t="s">
        <v>33</v>
      </c>
      <c r="L221" s="31">
        <v>200.0</v>
      </c>
      <c r="N221" s="16"/>
      <c r="O221" s="16"/>
      <c r="P221" s="23" t="s">
        <v>34</v>
      </c>
      <c r="Q221" s="17">
        <f t="shared" si="1"/>
        <v>45625</v>
      </c>
      <c r="R221" s="18">
        <f t="shared" si="41"/>
        <v>60</v>
      </c>
      <c r="S221" s="20"/>
      <c r="T221" s="68" t="str">
        <f>VLOOKUP(A221,'Calendar ID'!$A:$C,3,false)</f>
        <v>ciman530@gmail.com</v>
      </c>
      <c r="U221" s="69" t="b">
        <v>1</v>
      </c>
      <c r="V221" s="70" t="s">
        <v>82</v>
      </c>
      <c r="W221" s="69" t="b">
        <v>1</v>
      </c>
      <c r="X221" s="70" t="s">
        <v>82</v>
      </c>
    </row>
    <row r="222" hidden="1">
      <c r="A222" s="16" t="s">
        <v>42</v>
      </c>
      <c r="B222" s="17">
        <v>45622.0</v>
      </c>
      <c r="C222" s="16" t="s">
        <v>88</v>
      </c>
      <c r="E222" s="17">
        <v>45642.0</v>
      </c>
      <c r="G222" s="17">
        <v>45645.0</v>
      </c>
      <c r="H222" s="10" t="s">
        <v>31</v>
      </c>
      <c r="J222" s="16" t="s">
        <v>43</v>
      </c>
      <c r="K222" s="23" t="s">
        <v>33</v>
      </c>
      <c r="L222" s="31">
        <v>1000.0</v>
      </c>
      <c r="N222" s="16"/>
      <c r="O222" s="16"/>
      <c r="P222" s="16" t="s">
        <v>34</v>
      </c>
      <c r="Q222" s="17">
        <f t="shared" si="1"/>
        <v>45622</v>
      </c>
      <c r="R222" s="18">
        <f>L222*0.25</f>
        <v>250</v>
      </c>
      <c r="S222" s="20"/>
      <c r="T222" s="68" t="str">
        <f>VLOOKUP(A222,'Calendar ID'!$A:$C,3,false)</f>
        <v>cmepls.pro@gmail.com</v>
      </c>
      <c r="U222" s="77" t="b">
        <v>1</v>
      </c>
      <c r="V222" s="70" t="s">
        <v>82</v>
      </c>
      <c r="W222" s="69" t="b">
        <v>1</v>
      </c>
      <c r="X222" s="70" t="s">
        <v>82</v>
      </c>
    </row>
    <row r="223" hidden="1">
      <c r="A223" s="16" t="s">
        <v>244</v>
      </c>
      <c r="B223" s="17">
        <v>45621.0</v>
      </c>
      <c r="C223" s="16" t="s">
        <v>37</v>
      </c>
      <c r="E223" s="17">
        <v>45642.0</v>
      </c>
      <c r="G223" s="17">
        <v>45655.0</v>
      </c>
      <c r="H223" s="10" t="s">
        <v>31</v>
      </c>
      <c r="J223" s="16" t="s">
        <v>43</v>
      </c>
      <c r="K223" s="23" t="s">
        <v>33</v>
      </c>
      <c r="L223" s="31">
        <v>400.0</v>
      </c>
      <c r="N223" s="65" t="s">
        <v>309</v>
      </c>
      <c r="O223" s="65" t="s">
        <v>310</v>
      </c>
      <c r="P223" s="23" t="s">
        <v>34</v>
      </c>
      <c r="Q223" s="17">
        <f t="shared" si="1"/>
        <v>45621</v>
      </c>
      <c r="R223" s="15">
        <f t="shared" ref="R223:R224" si="42">L223*0.3</f>
        <v>120</v>
      </c>
      <c r="S223" s="20"/>
      <c r="T223" s="68" t="str">
        <f>VLOOKUP(A223,'Calendar ID'!$A:$C,3,false)</f>
        <v>jasminepro26@icloud.com </v>
      </c>
      <c r="U223" s="77" t="b">
        <v>1</v>
      </c>
      <c r="V223" s="70" t="s">
        <v>82</v>
      </c>
      <c r="W223" s="77" t="b">
        <v>1</v>
      </c>
      <c r="X223" s="70" t="s">
        <v>82</v>
      </c>
    </row>
    <row r="224" hidden="1">
      <c r="A224" s="16" t="s">
        <v>213</v>
      </c>
      <c r="B224" s="17">
        <v>45631.0</v>
      </c>
      <c r="C224" s="16" t="s">
        <v>311</v>
      </c>
      <c r="E224" s="17">
        <v>45645.0</v>
      </c>
      <c r="G224" s="17"/>
      <c r="H224" s="10" t="s">
        <v>31</v>
      </c>
      <c r="J224" s="16" t="s">
        <v>43</v>
      </c>
      <c r="K224" s="23" t="s">
        <v>33</v>
      </c>
      <c r="L224" s="31">
        <v>500.0</v>
      </c>
      <c r="N224" s="16"/>
      <c r="O224" s="16"/>
      <c r="P224" s="23" t="s">
        <v>34</v>
      </c>
      <c r="Q224" s="17">
        <f t="shared" si="1"/>
        <v>45631</v>
      </c>
      <c r="R224" s="18">
        <f t="shared" si="42"/>
        <v>150</v>
      </c>
      <c r="S224" s="20"/>
      <c r="T224" s="68" t="str">
        <f>VLOOKUP(A224,'Calendar ID'!$A:$C,3,false)</f>
        <v>anaiswry@yahoo.fr</v>
      </c>
      <c r="U224" s="69" t="b">
        <v>1</v>
      </c>
      <c r="V224" s="70" t="s">
        <v>82</v>
      </c>
      <c r="W224" s="69" t="b">
        <v>0</v>
      </c>
      <c r="X224" s="68" t="str">
        <f>VLOOKUP($A224,'Calendar ID'!$A:$C,2,false)</f>
        <v>c_2754856c5047affc6767bb85fb787591389bf7d14d3afd368efdff9979492ab5@group.calendar.google.com</v>
      </c>
    </row>
    <row r="225" hidden="1">
      <c r="A225" s="16" t="s">
        <v>157</v>
      </c>
      <c r="B225" s="17">
        <v>45588.0</v>
      </c>
      <c r="C225" s="16" t="s">
        <v>295</v>
      </c>
      <c r="E225" s="17">
        <v>45648.0</v>
      </c>
      <c r="G225" s="95">
        <v>45660.0</v>
      </c>
      <c r="H225" s="10" t="s">
        <v>31</v>
      </c>
      <c r="J225" s="16" t="s">
        <v>43</v>
      </c>
      <c r="K225" s="23" t="s">
        <v>33</v>
      </c>
      <c r="L225" s="31" t="s">
        <v>56</v>
      </c>
      <c r="N225" s="55" t="s">
        <v>300</v>
      </c>
      <c r="O225" s="16"/>
      <c r="Q225" s="17">
        <f t="shared" si="1"/>
        <v>45588</v>
      </c>
      <c r="S225" s="20"/>
      <c r="T225" s="68" t="str">
        <f>VLOOKUP(A225,'Calendar ID'!$A:$C,3,false)</f>
        <v>jeannebayart@gmail.com</v>
      </c>
      <c r="U225" s="77" t="b">
        <v>1</v>
      </c>
      <c r="V225" s="70" t="s">
        <v>82</v>
      </c>
      <c r="W225" s="69" t="b">
        <v>1</v>
      </c>
      <c r="X225" s="70" t="s">
        <v>82</v>
      </c>
    </row>
    <row r="226" hidden="1">
      <c r="A226" s="16" t="s">
        <v>237</v>
      </c>
      <c r="B226" s="17">
        <v>45594.0</v>
      </c>
      <c r="C226" s="16" t="s">
        <v>304</v>
      </c>
      <c r="E226" s="95">
        <v>45660.0</v>
      </c>
      <c r="G226" s="96">
        <v>45666.0</v>
      </c>
      <c r="H226" s="10" t="s">
        <v>31</v>
      </c>
      <c r="J226" s="16" t="s">
        <v>43</v>
      </c>
      <c r="K226" s="23" t="s">
        <v>33</v>
      </c>
      <c r="L226" s="31">
        <f t="shared" ref="L226:L230" si="43">1250/5</f>
        <v>250</v>
      </c>
      <c r="N226" s="16"/>
      <c r="O226" s="16"/>
      <c r="P226" s="23" t="s">
        <v>34</v>
      </c>
      <c r="Q226" s="17">
        <f t="shared" si="1"/>
        <v>45594</v>
      </c>
      <c r="R226" s="15">
        <f t="shared" ref="R226:R231" si="44">L226*0.3</f>
        <v>75</v>
      </c>
      <c r="S226" s="20"/>
      <c r="T226" s="68" t="str">
        <f>VLOOKUP(A226,'Calendar ID'!$A:$C,3,false)</f>
        <v>shaaadl.pro@gmail.com</v>
      </c>
      <c r="U226" s="77" t="b">
        <v>0</v>
      </c>
      <c r="V226" s="68" t="str">
        <f>VLOOKUP($A226,'Calendar ID'!$A:$C,2,false)</f>
        <v>c_9384058245a0bc66157c09691047ea8f88622323c6761b8606c18d9b08ee0bf8@group.calendar.google.com</v>
      </c>
      <c r="W226" s="77" t="b">
        <v>1</v>
      </c>
      <c r="X226" s="70" t="s">
        <v>82</v>
      </c>
    </row>
    <row r="227" hidden="1">
      <c r="A227" s="16" t="s">
        <v>237</v>
      </c>
      <c r="B227" s="17">
        <v>45594.0</v>
      </c>
      <c r="C227" s="16" t="s">
        <v>304</v>
      </c>
      <c r="E227" s="95">
        <v>45660.0</v>
      </c>
      <c r="G227" s="96">
        <v>45667.0</v>
      </c>
      <c r="H227" s="10" t="s">
        <v>31</v>
      </c>
      <c r="J227" s="16" t="s">
        <v>43</v>
      </c>
      <c r="K227" s="23" t="s">
        <v>33</v>
      </c>
      <c r="L227" s="31">
        <f t="shared" si="43"/>
        <v>250</v>
      </c>
      <c r="N227" s="16"/>
      <c r="O227" s="16"/>
      <c r="P227" s="23" t="s">
        <v>34</v>
      </c>
      <c r="Q227" s="17">
        <f t="shared" si="1"/>
        <v>45594</v>
      </c>
      <c r="R227" s="15">
        <f t="shared" si="44"/>
        <v>75</v>
      </c>
      <c r="S227" s="20"/>
      <c r="T227" s="68" t="str">
        <f>VLOOKUP(A227,'Calendar ID'!$A:$C,3,false)</f>
        <v>shaaadl.pro@gmail.com</v>
      </c>
      <c r="U227" s="77" t="b">
        <v>0</v>
      </c>
      <c r="V227" s="68" t="str">
        <f>VLOOKUP($A227,'Calendar ID'!$A:$C,2,false)</f>
        <v>c_9384058245a0bc66157c09691047ea8f88622323c6761b8606c18d9b08ee0bf8@group.calendar.google.com</v>
      </c>
      <c r="W227" s="77" t="b">
        <v>1</v>
      </c>
      <c r="X227" s="70" t="s">
        <v>82</v>
      </c>
    </row>
    <row r="228" hidden="1">
      <c r="A228" s="16" t="s">
        <v>237</v>
      </c>
      <c r="B228" s="17">
        <v>45594.0</v>
      </c>
      <c r="C228" s="16" t="s">
        <v>304</v>
      </c>
      <c r="E228" s="95">
        <v>45660.0</v>
      </c>
      <c r="G228" s="97">
        <v>45680.0</v>
      </c>
      <c r="H228" s="10" t="s">
        <v>31</v>
      </c>
      <c r="J228" s="16" t="s">
        <v>43</v>
      </c>
      <c r="K228" s="23" t="s">
        <v>33</v>
      </c>
      <c r="L228" s="31">
        <f t="shared" si="43"/>
        <v>250</v>
      </c>
      <c r="N228" s="16"/>
      <c r="O228" s="16"/>
      <c r="P228" s="23" t="s">
        <v>34</v>
      </c>
      <c r="Q228" s="17">
        <f t="shared" si="1"/>
        <v>45594</v>
      </c>
      <c r="R228" s="15">
        <f t="shared" si="44"/>
        <v>75</v>
      </c>
      <c r="S228" s="20"/>
      <c r="T228" s="68" t="str">
        <f>VLOOKUP(A228,'Calendar ID'!$A:$C,3,false)</f>
        <v>shaaadl.pro@gmail.com</v>
      </c>
      <c r="U228" s="77" t="b">
        <v>0</v>
      </c>
      <c r="V228" s="68" t="str">
        <f>VLOOKUP($A228,'Calendar ID'!$A:$C,2,false)</f>
        <v>c_9384058245a0bc66157c09691047ea8f88622323c6761b8606c18d9b08ee0bf8@group.calendar.google.com</v>
      </c>
      <c r="W228" s="77" t="b">
        <v>1</v>
      </c>
      <c r="X228" s="70" t="s">
        <v>82</v>
      </c>
    </row>
    <row r="229" hidden="1">
      <c r="A229" s="16" t="s">
        <v>237</v>
      </c>
      <c r="B229" s="17">
        <v>45594.0</v>
      </c>
      <c r="C229" s="16" t="s">
        <v>304</v>
      </c>
      <c r="E229" s="95">
        <v>45660.0</v>
      </c>
      <c r="G229" s="97">
        <v>45681.0</v>
      </c>
      <c r="H229" s="10" t="s">
        <v>31</v>
      </c>
      <c r="J229" s="16" t="s">
        <v>43</v>
      </c>
      <c r="K229" s="23" t="s">
        <v>33</v>
      </c>
      <c r="L229" s="31">
        <f t="shared" si="43"/>
        <v>250</v>
      </c>
      <c r="N229" s="16"/>
      <c r="O229" s="16"/>
      <c r="P229" s="23" t="s">
        <v>34</v>
      </c>
      <c r="Q229" s="17">
        <f t="shared" si="1"/>
        <v>45594</v>
      </c>
      <c r="R229" s="15">
        <f t="shared" si="44"/>
        <v>75</v>
      </c>
      <c r="S229" s="20"/>
      <c r="T229" s="68" t="str">
        <f>VLOOKUP(A229,'Calendar ID'!$A:$C,3,false)</f>
        <v>shaaadl.pro@gmail.com</v>
      </c>
      <c r="U229" s="77" t="b">
        <v>0</v>
      </c>
      <c r="V229" s="68" t="str">
        <f>VLOOKUP($A229,'Calendar ID'!$A:$C,2,false)</f>
        <v>c_9384058245a0bc66157c09691047ea8f88622323c6761b8606c18d9b08ee0bf8@group.calendar.google.com</v>
      </c>
      <c r="W229" s="77" t="b">
        <v>1</v>
      </c>
      <c r="X229" s="70" t="s">
        <v>82</v>
      </c>
    </row>
    <row r="230" hidden="1">
      <c r="A230" s="16" t="s">
        <v>237</v>
      </c>
      <c r="B230" s="17">
        <v>45594.0</v>
      </c>
      <c r="C230" s="16" t="s">
        <v>304</v>
      </c>
      <c r="E230" s="95">
        <v>45660.0</v>
      </c>
      <c r="G230" s="97">
        <v>45682.0</v>
      </c>
      <c r="H230" s="10" t="s">
        <v>31</v>
      </c>
      <c r="J230" s="16" t="s">
        <v>43</v>
      </c>
      <c r="K230" s="23" t="s">
        <v>33</v>
      </c>
      <c r="L230" s="31">
        <f t="shared" si="43"/>
        <v>250</v>
      </c>
      <c r="N230" s="16"/>
      <c r="O230" s="16"/>
      <c r="P230" s="23" t="s">
        <v>34</v>
      </c>
      <c r="Q230" s="17">
        <f t="shared" si="1"/>
        <v>45594</v>
      </c>
      <c r="R230" s="15">
        <f t="shared" si="44"/>
        <v>75</v>
      </c>
      <c r="S230" s="20"/>
      <c r="T230" s="68" t="str">
        <f>VLOOKUP(A230,'Calendar ID'!$A:$C,3,false)</f>
        <v>shaaadl.pro@gmail.com</v>
      </c>
      <c r="U230" s="77" t="b">
        <v>0</v>
      </c>
      <c r="V230" s="68" t="str">
        <f>VLOOKUP($A230,'Calendar ID'!$A:$C,2,false)</f>
        <v>c_9384058245a0bc66157c09691047ea8f88622323c6761b8606c18d9b08ee0bf8@group.calendar.google.com</v>
      </c>
      <c r="W230" s="77" t="b">
        <v>1</v>
      </c>
      <c r="X230" s="70" t="s">
        <v>82</v>
      </c>
    </row>
    <row r="231" hidden="1">
      <c r="A231" s="16" t="s">
        <v>244</v>
      </c>
      <c r="B231" s="17">
        <v>45642.0</v>
      </c>
      <c r="C231" s="16" t="s">
        <v>211</v>
      </c>
      <c r="E231" s="17">
        <v>45651.0</v>
      </c>
      <c r="G231" s="96">
        <v>45662.0</v>
      </c>
      <c r="H231" s="10" t="s">
        <v>31</v>
      </c>
      <c r="J231" s="16" t="s">
        <v>43</v>
      </c>
      <c r="K231" s="23" t="s">
        <v>33</v>
      </c>
      <c r="L231" s="31">
        <v>600.0</v>
      </c>
      <c r="N231" s="16"/>
      <c r="O231" s="16"/>
      <c r="P231" s="16" t="s">
        <v>34</v>
      </c>
      <c r="Q231" s="17">
        <f t="shared" si="1"/>
        <v>45642</v>
      </c>
      <c r="R231" s="18">
        <f t="shared" si="44"/>
        <v>180</v>
      </c>
      <c r="S231" s="20"/>
      <c r="T231" s="68" t="str">
        <f>VLOOKUP(A231,'Calendar ID'!$A:$C,3,false)</f>
        <v>jasminepro26@icloud.com </v>
      </c>
      <c r="U231" s="71" t="b">
        <v>0</v>
      </c>
      <c r="V231" s="68" t="str">
        <f>VLOOKUP($A231,'Calendar ID'!$A:$C,2,false)</f>
        <v>c_b534e1be73647e660d74cbb308a8c39b0102a8b56261b3886e0967d9ee34f368@group.calendar.google.com</v>
      </c>
      <c r="W231" s="69" t="b">
        <v>1</v>
      </c>
      <c r="X231" s="70" t="s">
        <v>82</v>
      </c>
    </row>
    <row r="232" hidden="1">
      <c r="A232" s="16" t="s">
        <v>57</v>
      </c>
      <c r="B232" s="17">
        <v>45607.0</v>
      </c>
      <c r="C232" s="16" t="s">
        <v>291</v>
      </c>
      <c r="E232" s="82">
        <v>45653.0</v>
      </c>
      <c r="F232" s="82"/>
      <c r="G232" s="82"/>
      <c r="H232" s="10" t="s">
        <v>31</v>
      </c>
      <c r="I232" s="16" t="s">
        <v>312</v>
      </c>
      <c r="J232" s="16" t="s">
        <v>43</v>
      </c>
      <c r="K232" s="23" t="s">
        <v>33</v>
      </c>
      <c r="L232" s="31">
        <v>170.0</v>
      </c>
      <c r="N232" s="16"/>
      <c r="O232" s="16"/>
      <c r="P232" s="23" t="s">
        <v>34</v>
      </c>
      <c r="Q232" s="17">
        <f t="shared" si="1"/>
        <v>45607</v>
      </c>
      <c r="R232" s="15">
        <f>L232*0.2</f>
        <v>34</v>
      </c>
      <c r="S232" s="20"/>
      <c r="T232" s="68" t="str">
        <f>VLOOKUP(A232,'Calendar ID'!$A:$C,3,false)</f>
        <v>fgirault3@gmail.com</v>
      </c>
      <c r="U232" s="77" t="b">
        <v>0</v>
      </c>
      <c r="V232" s="68" t="str">
        <f>VLOOKUP($A232,'Calendar ID'!$A:$C,2,false)</f>
        <v>c_b412638d97e7dcffa392ccd62e6d5e2eccb052c0c08de7e1e7d547811d81c44c@group.calendar.google.com</v>
      </c>
      <c r="W232" s="77" t="b">
        <v>0</v>
      </c>
      <c r="X232" s="68" t="str">
        <f>VLOOKUP($A232,'Calendar ID'!$A:$C,2,false)</f>
        <v>c_b412638d97e7dcffa392ccd62e6d5e2eccb052c0c08de7e1e7d547811d81c44c@group.calendar.google.com</v>
      </c>
    </row>
    <row r="233" hidden="1">
      <c r="A233" s="23" t="s">
        <v>42</v>
      </c>
      <c r="B233" s="11">
        <v>45625.0</v>
      </c>
      <c r="C233" s="23" t="s">
        <v>245</v>
      </c>
      <c r="D233" s="16" t="s">
        <v>250</v>
      </c>
      <c r="E233" s="98">
        <v>45677.0</v>
      </c>
      <c r="F233" s="7"/>
      <c r="G233" s="98">
        <v>45681.0</v>
      </c>
      <c r="H233" s="10" t="s">
        <v>31</v>
      </c>
      <c r="I233" s="16" t="s">
        <v>313</v>
      </c>
      <c r="J233" s="23" t="s">
        <v>43</v>
      </c>
      <c r="K233" s="23" t="s">
        <v>33</v>
      </c>
      <c r="L233" s="93">
        <v>500.0</v>
      </c>
      <c r="M233" s="7"/>
      <c r="N233" s="99" t="s">
        <v>314</v>
      </c>
      <c r="O233" s="23"/>
      <c r="P233" s="23" t="s">
        <v>34</v>
      </c>
      <c r="Q233" s="17">
        <f t="shared" si="1"/>
        <v>45625</v>
      </c>
      <c r="R233" s="15">
        <f>L233*0.25</f>
        <v>125</v>
      </c>
      <c r="S233" s="68"/>
      <c r="T233" s="68" t="str">
        <f>VLOOKUP(A233,'Calendar ID'!$A:$C,3,false)</f>
        <v>cmepls.pro@gmail.com</v>
      </c>
      <c r="U233" s="69" t="b">
        <v>1</v>
      </c>
      <c r="V233" s="70" t="s">
        <v>82</v>
      </c>
      <c r="W233" s="69" t="b">
        <v>1</v>
      </c>
      <c r="X233" s="70" t="s">
        <v>82</v>
      </c>
      <c r="Y233" s="7"/>
      <c r="Z233" s="7"/>
      <c r="AA233" s="7"/>
      <c r="AB233" s="7"/>
      <c r="AC233" s="7"/>
    </row>
    <row r="234" hidden="1">
      <c r="A234" s="16" t="s">
        <v>284</v>
      </c>
      <c r="B234" s="17">
        <v>45625.0</v>
      </c>
      <c r="C234" s="16" t="s">
        <v>245</v>
      </c>
      <c r="D234" s="16" t="s">
        <v>250</v>
      </c>
      <c r="E234" s="98">
        <v>45677.0</v>
      </c>
      <c r="G234" s="98">
        <v>45681.0</v>
      </c>
      <c r="H234" s="10" t="s">
        <v>31</v>
      </c>
      <c r="I234" s="16" t="s">
        <v>313</v>
      </c>
      <c r="J234" s="16" t="s">
        <v>43</v>
      </c>
      <c r="K234" s="23" t="s">
        <v>33</v>
      </c>
      <c r="L234" s="31">
        <v>300.0</v>
      </c>
      <c r="N234" s="16"/>
      <c r="O234" s="16"/>
      <c r="P234" s="23" t="s">
        <v>34</v>
      </c>
      <c r="Q234" s="17">
        <f t="shared" si="1"/>
        <v>45625</v>
      </c>
      <c r="R234" s="18">
        <f t="shared" ref="R234:R235" si="45">L234*0.3</f>
        <v>90</v>
      </c>
      <c r="S234" s="20"/>
      <c r="T234" s="68" t="str">
        <f>VLOOKUP(A234,'Calendar ID'!$A:$C,3,false)</f>
        <v>Douns.collab@gmail.com</v>
      </c>
      <c r="U234" s="69" t="b">
        <v>1</v>
      </c>
      <c r="V234" s="70" t="s">
        <v>82</v>
      </c>
      <c r="W234" s="69" t="b">
        <v>1</v>
      </c>
      <c r="X234" s="70" t="s">
        <v>82</v>
      </c>
    </row>
    <row r="235" hidden="1">
      <c r="A235" s="16" t="s">
        <v>91</v>
      </c>
      <c r="B235" s="17">
        <v>45625.0</v>
      </c>
      <c r="C235" s="16" t="s">
        <v>245</v>
      </c>
      <c r="D235" s="16" t="s">
        <v>302</v>
      </c>
      <c r="E235" s="8">
        <v>45638.0</v>
      </c>
      <c r="G235" s="17"/>
      <c r="H235" s="10" t="s">
        <v>31</v>
      </c>
      <c r="J235" s="16" t="s">
        <v>43</v>
      </c>
      <c r="K235" s="23" t="s">
        <v>33</v>
      </c>
      <c r="L235" s="31">
        <v>300.0</v>
      </c>
      <c r="N235" s="16"/>
      <c r="O235" s="16"/>
      <c r="P235" s="23" t="s">
        <v>34</v>
      </c>
      <c r="Q235" s="17">
        <f t="shared" si="1"/>
        <v>45625</v>
      </c>
      <c r="R235" s="18">
        <f t="shared" si="45"/>
        <v>90</v>
      </c>
      <c r="S235" s="20"/>
      <c r="T235" s="68" t="str">
        <f>VLOOKUP(A235,'Calendar ID'!$A:$C,3,false)</f>
        <v>juliane.bernard57@icloud.com</v>
      </c>
      <c r="U235" s="69" t="b">
        <v>1</v>
      </c>
      <c r="V235" s="70" t="s">
        <v>82</v>
      </c>
      <c r="W235" s="71" t="b">
        <v>0</v>
      </c>
      <c r="X235" s="68" t="str">
        <f>VLOOKUP($A235,'Calendar ID'!$A:$C,2,false)</f>
        <v>c_f6970d92e9be72b1307e3c015a265d69ae87140c691e7728bc83462544d82455@group.calendar.google.com</v>
      </c>
    </row>
    <row r="236" hidden="1">
      <c r="A236" s="10" t="s">
        <v>45</v>
      </c>
      <c r="B236" s="17">
        <v>45629.0</v>
      </c>
      <c r="C236" s="16" t="s">
        <v>199</v>
      </c>
      <c r="D236" s="16" t="s">
        <v>315</v>
      </c>
      <c r="E236" s="100">
        <v>45659.0</v>
      </c>
      <c r="F236" s="82">
        <v>45636.0</v>
      </c>
      <c r="G236" s="97">
        <v>45677.0</v>
      </c>
      <c r="H236" s="10" t="s">
        <v>31</v>
      </c>
      <c r="J236" s="16" t="s">
        <v>43</v>
      </c>
      <c r="K236" s="23" t="s">
        <v>33</v>
      </c>
      <c r="L236" s="31">
        <v>450.0</v>
      </c>
      <c r="N236" s="16"/>
      <c r="O236" s="16"/>
      <c r="P236" s="23" t="s">
        <v>34</v>
      </c>
      <c r="Q236" s="17">
        <f t="shared" si="1"/>
        <v>45629</v>
      </c>
      <c r="R236" s="18">
        <f>L236*0.25</f>
        <v>112.5</v>
      </c>
      <c r="S236" s="20"/>
      <c r="T236" s="68" t="str">
        <f>VLOOKUP(A236,'Calendar ID'!$A:$C,3,false)</f>
        <v>lilyy.nl@grapperagency.com</v>
      </c>
      <c r="U236" s="71" t="b">
        <v>0</v>
      </c>
      <c r="V236" s="68" t="str">
        <f>VLOOKUP($A236,'Calendar ID'!$A:$C,2,false)</f>
        <v>c_665764ca21c8e4b3814e25bf24bc7074fa55890dce5d4073abb0fdddc70649d4@group.calendar.google.com</v>
      </c>
      <c r="W236" s="69" t="b">
        <v>0</v>
      </c>
      <c r="X236" s="68" t="str">
        <f>VLOOKUP($A236,'Calendar ID'!$A:$C,2,false)</f>
        <v>c_665764ca21c8e4b3814e25bf24bc7074fa55890dce5d4073abb0fdddc70649d4@group.calendar.google.com</v>
      </c>
    </row>
    <row r="237" hidden="1">
      <c r="A237" s="16" t="s">
        <v>110</v>
      </c>
      <c r="B237" s="17">
        <v>45650.0</v>
      </c>
      <c r="C237" s="16" t="s">
        <v>316</v>
      </c>
      <c r="E237" s="96">
        <v>45667.0</v>
      </c>
      <c r="G237" s="101">
        <v>45670.0</v>
      </c>
      <c r="H237" s="10" t="s">
        <v>31</v>
      </c>
      <c r="J237" s="16" t="s">
        <v>43</v>
      </c>
      <c r="K237" s="23" t="s">
        <v>33</v>
      </c>
      <c r="L237" s="31">
        <v>375.0</v>
      </c>
      <c r="N237" s="16"/>
      <c r="O237" s="16"/>
      <c r="P237" s="16" t="s">
        <v>34</v>
      </c>
      <c r="Q237" s="17">
        <f t="shared" si="1"/>
        <v>45650</v>
      </c>
      <c r="R237" s="18">
        <f t="shared" ref="R237:R246" si="46">L237*0.3</f>
        <v>112.5</v>
      </c>
      <c r="S237" s="20"/>
      <c r="T237" s="68" t="str">
        <f>VLOOKUP(A237,'Calendar ID'!$A:$C,3,false)</f>
        <v>terpperrine@gmail.com</v>
      </c>
      <c r="U237" s="69" t="b">
        <v>1</v>
      </c>
      <c r="V237" s="70" t="s">
        <v>82</v>
      </c>
      <c r="W237" s="69" t="b">
        <v>1</v>
      </c>
      <c r="X237" s="70" t="s">
        <v>82</v>
      </c>
    </row>
    <row r="238" hidden="1">
      <c r="A238" s="16" t="s">
        <v>284</v>
      </c>
      <c r="B238" s="17">
        <v>45708.0</v>
      </c>
      <c r="C238" s="16" t="s">
        <v>316</v>
      </c>
      <c r="E238" s="94">
        <v>45723.0</v>
      </c>
      <c r="G238" s="102">
        <v>45726.0</v>
      </c>
      <c r="H238" s="10" t="s">
        <v>31</v>
      </c>
      <c r="J238" s="16" t="s">
        <v>43</v>
      </c>
      <c r="K238" s="16" t="s">
        <v>33</v>
      </c>
      <c r="L238" s="31">
        <v>300.0</v>
      </c>
      <c r="N238" s="16"/>
      <c r="O238" s="16"/>
      <c r="P238" s="23" t="s">
        <v>34</v>
      </c>
      <c r="Q238" s="17">
        <f t="shared" si="1"/>
        <v>45708</v>
      </c>
      <c r="R238" s="18">
        <f t="shared" si="46"/>
        <v>90</v>
      </c>
      <c r="S238" s="20"/>
      <c r="T238" s="68" t="str">
        <f>VLOOKUP(A238,'Calendar ID'!$A:$C,3,false)</f>
        <v>Douns.collab@gmail.com</v>
      </c>
      <c r="U238" s="71" t="b">
        <v>0</v>
      </c>
      <c r="V238" s="68" t="str">
        <f>VLOOKUP($A238,'Calendar ID'!$A:$C,2,false)</f>
        <v>c_2208b8e561439ebc2637feb15fe2d308d5719cc64460071de6ba0c674eba6118@group.calendar.google.com</v>
      </c>
      <c r="W238" s="71" t="b">
        <v>0</v>
      </c>
      <c r="X238" s="68" t="str">
        <f>VLOOKUP($A238,'Calendar ID'!$A:$C,2,false)</f>
        <v>c_2208b8e561439ebc2637feb15fe2d308d5719cc64460071de6ba0c674eba6118@group.calendar.google.com</v>
      </c>
    </row>
    <row r="239" hidden="1">
      <c r="A239" s="16" t="s">
        <v>215</v>
      </c>
      <c r="B239" s="17">
        <v>45625.0</v>
      </c>
      <c r="C239" s="16" t="s">
        <v>245</v>
      </c>
      <c r="D239" s="16" t="s">
        <v>250</v>
      </c>
      <c r="E239" s="98">
        <v>45678.0</v>
      </c>
      <c r="G239" s="17"/>
      <c r="H239" s="10" t="s">
        <v>31</v>
      </c>
      <c r="I239" s="16" t="s">
        <v>313</v>
      </c>
      <c r="J239" s="16" t="s">
        <v>43</v>
      </c>
      <c r="K239" s="23" t="s">
        <v>33</v>
      </c>
      <c r="L239" s="31">
        <v>300.0</v>
      </c>
      <c r="N239" s="65" t="s">
        <v>317</v>
      </c>
      <c r="O239" s="16"/>
      <c r="P239" s="23" t="s">
        <v>34</v>
      </c>
      <c r="Q239" s="17">
        <f t="shared" si="1"/>
        <v>45625</v>
      </c>
      <c r="R239" s="18">
        <f t="shared" si="46"/>
        <v>90</v>
      </c>
      <c r="S239" s="20"/>
      <c r="T239" s="68" t="str">
        <f>VLOOKUP(A239,'Calendar ID'!$A:$C,3,false)</f>
        <v>iimslmapro@outlook.fr</v>
      </c>
      <c r="U239" s="69" t="b">
        <v>1</v>
      </c>
      <c r="V239" s="70" t="s">
        <v>82</v>
      </c>
      <c r="W239" s="71" t="b">
        <v>0</v>
      </c>
      <c r="X239" s="68" t="str">
        <f>VLOOKUP($A239,'Calendar ID'!$A:$C,2,false)</f>
        <v>c_a80d776e58d8881ef4e876da99555e813842eeed9733f23e6f4b85d237e1fdec@group.calendar.google.com</v>
      </c>
    </row>
    <row r="240" hidden="1">
      <c r="A240" s="16" t="s">
        <v>280</v>
      </c>
      <c r="B240" s="17">
        <v>45625.0</v>
      </c>
      <c r="C240" s="16" t="s">
        <v>245</v>
      </c>
      <c r="D240" s="16" t="s">
        <v>250</v>
      </c>
      <c r="E240" s="98">
        <v>45681.0</v>
      </c>
      <c r="G240" s="103">
        <v>45686.0</v>
      </c>
      <c r="H240" s="10" t="s">
        <v>31</v>
      </c>
      <c r="I240" s="16" t="s">
        <v>313</v>
      </c>
      <c r="J240" s="16" t="s">
        <v>43</v>
      </c>
      <c r="K240" s="23" t="s">
        <v>33</v>
      </c>
      <c r="L240" s="31">
        <v>200.0</v>
      </c>
      <c r="N240" s="65" t="s">
        <v>318</v>
      </c>
      <c r="O240" s="16"/>
      <c r="P240" s="23" t="s">
        <v>34</v>
      </c>
      <c r="Q240" s="17">
        <f t="shared" si="1"/>
        <v>45625</v>
      </c>
      <c r="R240" s="18">
        <f t="shared" si="46"/>
        <v>60</v>
      </c>
      <c r="S240" s="20"/>
      <c r="T240" s="68" t="str">
        <f>VLOOKUP(A240,'Calendar ID'!$A:$C,3,false)</f>
        <v>ciman530@gmail.com</v>
      </c>
      <c r="U240" s="69" t="b">
        <v>1</v>
      </c>
      <c r="V240" s="70" t="s">
        <v>82</v>
      </c>
      <c r="W240" s="69" t="b">
        <v>1</v>
      </c>
      <c r="X240" s="70" t="s">
        <v>82</v>
      </c>
    </row>
    <row r="241" hidden="1">
      <c r="A241" s="16" t="s">
        <v>244</v>
      </c>
      <c r="B241" s="17">
        <v>45625.0</v>
      </c>
      <c r="C241" s="16" t="s">
        <v>245</v>
      </c>
      <c r="D241" s="16" t="s">
        <v>250</v>
      </c>
      <c r="E241" s="98">
        <v>45681.0</v>
      </c>
      <c r="G241" s="98">
        <v>45681.0</v>
      </c>
      <c r="H241" s="10" t="s">
        <v>31</v>
      </c>
      <c r="I241" s="16" t="s">
        <v>313</v>
      </c>
      <c r="J241" s="16" t="s">
        <v>43</v>
      </c>
      <c r="K241" s="23" t="s">
        <v>33</v>
      </c>
      <c r="L241" s="31">
        <v>300.0</v>
      </c>
      <c r="N241" s="16"/>
      <c r="O241" s="16"/>
      <c r="P241" s="23" t="s">
        <v>34</v>
      </c>
      <c r="Q241" s="17">
        <f t="shared" si="1"/>
        <v>45625</v>
      </c>
      <c r="R241" s="18">
        <f t="shared" si="46"/>
        <v>90</v>
      </c>
      <c r="S241" s="20"/>
      <c r="T241" s="68" t="str">
        <f>VLOOKUP(A241,'Calendar ID'!$A:$C,3,false)</f>
        <v>jasminepro26@icloud.com </v>
      </c>
      <c r="U241" s="69" t="b">
        <v>1</v>
      </c>
      <c r="V241" s="70" t="s">
        <v>82</v>
      </c>
      <c r="W241" s="71" t="b">
        <v>0</v>
      </c>
      <c r="X241" s="68" t="str">
        <f>VLOOKUP($A241,'Calendar ID'!$A:$C,2,false)</f>
        <v>c_b534e1be73647e660d74cbb308a8c39b0102a8b56261b3886e0967d9ee34f368@group.calendar.google.com</v>
      </c>
    </row>
    <row r="242" hidden="1">
      <c r="A242" s="16" t="s">
        <v>290</v>
      </c>
      <c r="B242" s="17">
        <v>45649.0</v>
      </c>
      <c r="C242" s="16" t="s">
        <v>37</v>
      </c>
      <c r="E242" s="97">
        <v>45678.0</v>
      </c>
      <c r="G242" s="97">
        <v>45680.0</v>
      </c>
      <c r="H242" s="10" t="s">
        <v>31</v>
      </c>
      <c r="J242" s="16" t="s">
        <v>43</v>
      </c>
      <c r="K242" s="23" t="s">
        <v>33</v>
      </c>
      <c r="L242" s="31">
        <v>400.0</v>
      </c>
      <c r="N242" s="16"/>
      <c r="O242" s="16"/>
      <c r="P242" s="23" t="s">
        <v>34</v>
      </c>
      <c r="Q242" s="17">
        <f t="shared" si="1"/>
        <v>45649</v>
      </c>
      <c r="R242" s="15">
        <f t="shared" si="46"/>
        <v>120</v>
      </c>
      <c r="S242" s="20"/>
      <c r="T242" s="68" t="str">
        <f>VLOOKUP(A242,'Calendar ID'!$A:$C,3,false)</f>
        <v>hello.gurbet@gmail.com </v>
      </c>
      <c r="U242" s="69" t="b">
        <v>1</v>
      </c>
      <c r="V242" s="70" t="s">
        <v>82</v>
      </c>
      <c r="W242" s="69" t="b">
        <v>1</v>
      </c>
      <c r="X242" s="70" t="s">
        <v>82</v>
      </c>
    </row>
    <row r="243" hidden="1">
      <c r="A243" s="16" t="s">
        <v>290</v>
      </c>
      <c r="B243" s="17">
        <v>45625.0</v>
      </c>
      <c r="C243" s="16" t="s">
        <v>245</v>
      </c>
      <c r="D243" s="16" t="s">
        <v>250</v>
      </c>
      <c r="E243" s="103">
        <v>45683.0</v>
      </c>
      <c r="G243" s="17"/>
      <c r="H243" s="10" t="s">
        <v>31</v>
      </c>
      <c r="I243" s="16" t="s">
        <v>313</v>
      </c>
      <c r="J243" s="16" t="s">
        <v>43</v>
      </c>
      <c r="K243" s="23" t="s">
        <v>33</v>
      </c>
      <c r="L243" s="31">
        <v>300.0</v>
      </c>
      <c r="N243" s="16"/>
      <c r="O243" s="16"/>
      <c r="P243" s="23" t="s">
        <v>34</v>
      </c>
      <c r="Q243" s="17">
        <f t="shared" si="1"/>
        <v>45625</v>
      </c>
      <c r="R243" s="18">
        <f t="shared" si="46"/>
        <v>90</v>
      </c>
      <c r="S243" s="20"/>
      <c r="T243" s="68" t="str">
        <f>VLOOKUP(A243,'Calendar ID'!$A:$C,3,false)</f>
        <v>hello.gurbet@gmail.com </v>
      </c>
      <c r="U243" s="69" t="b">
        <v>1</v>
      </c>
      <c r="V243" s="70" t="s">
        <v>82</v>
      </c>
      <c r="W243" s="71" t="b">
        <v>0</v>
      </c>
      <c r="X243" s="68" t="str">
        <f>VLOOKUP($A243,'Calendar ID'!$A:$C,2,false)</f>
        <v>c_db1fbd259183311b30d5bfa9e5494d85e4aa71562c2d699763ba11e15f3e8a3b@group.calendar.google.com</v>
      </c>
    </row>
    <row r="244" hidden="1">
      <c r="A244" s="16" t="s">
        <v>76</v>
      </c>
      <c r="B244" s="17">
        <v>45580.0</v>
      </c>
      <c r="C244" s="16" t="s">
        <v>79</v>
      </c>
      <c r="D244" s="87" t="s">
        <v>319</v>
      </c>
      <c r="E244" s="17"/>
      <c r="G244" s="101">
        <v>45672.0</v>
      </c>
      <c r="H244" s="10" t="s">
        <v>31</v>
      </c>
      <c r="J244" s="16" t="s">
        <v>43</v>
      </c>
      <c r="K244" s="23" t="s">
        <v>33</v>
      </c>
      <c r="L244" s="31">
        <v>500.0</v>
      </c>
      <c r="N244" s="104"/>
      <c r="O244" s="16"/>
      <c r="P244" s="16" t="s">
        <v>34</v>
      </c>
      <c r="Q244" s="17">
        <f t="shared" si="1"/>
        <v>45580</v>
      </c>
      <c r="R244" s="18">
        <f t="shared" si="46"/>
        <v>150</v>
      </c>
      <c r="S244" s="20"/>
      <c r="T244" s="68" t="str">
        <f>VLOOKUP(A244,'Calendar ID'!$A:$C,3,false)</f>
        <v>orane.baron1403@gmail.com</v>
      </c>
      <c r="U244" s="78" t="b">
        <v>0</v>
      </c>
      <c r="V244" s="68" t="str">
        <f>VLOOKUP($A244,'Calendar ID'!$A:$C,2,false)</f>
        <v>c_b9aea0629908ddbafe7229688ea55dc9d65b9e6b1a8ed4492c7ca84aa703d076@group.calendar.google.com</v>
      </c>
      <c r="W244" s="69" t="b">
        <v>1</v>
      </c>
      <c r="X244" s="70" t="s">
        <v>82</v>
      </c>
    </row>
    <row r="245" hidden="1">
      <c r="A245" s="16" t="s">
        <v>136</v>
      </c>
      <c r="B245" s="17">
        <v>45625.0</v>
      </c>
      <c r="C245" s="16" t="s">
        <v>245</v>
      </c>
      <c r="D245" s="16" t="s">
        <v>250</v>
      </c>
      <c r="E245" s="103">
        <v>45683.0</v>
      </c>
      <c r="G245" s="103">
        <v>45687.0</v>
      </c>
      <c r="H245" s="10" t="s">
        <v>31</v>
      </c>
      <c r="I245" s="16" t="s">
        <v>313</v>
      </c>
      <c r="J245" s="16" t="s">
        <v>43</v>
      </c>
      <c r="K245" s="23" t="s">
        <v>33</v>
      </c>
      <c r="L245" s="31">
        <f>585/3</f>
        <v>195</v>
      </c>
      <c r="N245" s="65" t="s">
        <v>320</v>
      </c>
      <c r="O245" s="16"/>
      <c r="P245" s="23" t="s">
        <v>34</v>
      </c>
      <c r="Q245" s="17">
        <f t="shared" si="1"/>
        <v>45625</v>
      </c>
      <c r="R245" s="18">
        <f t="shared" si="46"/>
        <v>58.5</v>
      </c>
      <c r="S245" s="20"/>
      <c r="T245" s="68" t="str">
        <f>VLOOKUP(A245,'Calendar ID'!$A:$C,3,false)</f>
        <v>liserdg.pro@gmail.com </v>
      </c>
      <c r="U245" s="69" t="b">
        <v>1</v>
      </c>
      <c r="V245" s="70" t="s">
        <v>82</v>
      </c>
      <c r="W245" s="69" t="b">
        <v>1</v>
      </c>
      <c r="X245" s="70" t="s">
        <v>82</v>
      </c>
    </row>
    <row r="246" hidden="1">
      <c r="A246" s="16" t="s">
        <v>213</v>
      </c>
      <c r="B246" s="17">
        <v>45664.0</v>
      </c>
      <c r="C246" s="16" t="s">
        <v>64</v>
      </c>
      <c r="E246" s="97">
        <v>45678.0</v>
      </c>
      <c r="G246" s="97">
        <v>45679.0</v>
      </c>
      <c r="H246" s="10" t="s">
        <v>31</v>
      </c>
      <c r="I246" s="16" t="s">
        <v>321</v>
      </c>
      <c r="J246" s="16" t="s">
        <v>43</v>
      </c>
      <c r="K246" s="23" t="s">
        <v>33</v>
      </c>
      <c r="L246" s="31">
        <v>950.0</v>
      </c>
      <c r="N246" s="16"/>
      <c r="O246" s="16"/>
      <c r="P246" s="16" t="s">
        <v>34</v>
      </c>
      <c r="Q246" s="17">
        <f t="shared" si="1"/>
        <v>45664</v>
      </c>
      <c r="R246" s="18">
        <f t="shared" si="46"/>
        <v>285</v>
      </c>
      <c r="S246" s="20"/>
      <c r="T246" s="68" t="str">
        <f>VLOOKUP(A246,'Calendar ID'!$A:$C,3,false)</f>
        <v>anaiswry@yahoo.fr</v>
      </c>
      <c r="U246" s="69" t="b">
        <v>1</v>
      </c>
      <c r="V246" s="70" t="s">
        <v>82</v>
      </c>
      <c r="W246" s="69" t="b">
        <v>1</v>
      </c>
      <c r="X246" s="70" t="s">
        <v>82</v>
      </c>
    </row>
    <row r="247" hidden="1">
      <c r="A247" s="16" t="s">
        <v>237</v>
      </c>
      <c r="B247" s="17">
        <v>45638.0</v>
      </c>
      <c r="C247" s="16" t="s">
        <v>116</v>
      </c>
      <c r="E247" s="105">
        <v>45683.0</v>
      </c>
      <c r="G247" s="106">
        <v>45695.0</v>
      </c>
      <c r="H247" s="10" t="s">
        <v>31</v>
      </c>
      <c r="J247" s="16" t="s">
        <v>43</v>
      </c>
      <c r="K247" s="23" t="s">
        <v>33</v>
      </c>
      <c r="L247" s="31" t="s">
        <v>56</v>
      </c>
      <c r="N247" s="16"/>
      <c r="O247" s="16"/>
      <c r="P247" s="16"/>
      <c r="Q247" s="17">
        <f t="shared" si="1"/>
        <v>45638</v>
      </c>
      <c r="S247" s="20"/>
      <c r="T247" s="68" t="str">
        <f>VLOOKUP(A247,'Calendar ID'!$A:$C,3,false)</f>
        <v>shaaadl.pro@gmail.com</v>
      </c>
      <c r="U247" s="69" t="b">
        <v>1</v>
      </c>
      <c r="V247" s="70" t="s">
        <v>82</v>
      </c>
      <c r="W247" s="69" t="b">
        <v>1</v>
      </c>
      <c r="X247" s="70" t="s">
        <v>82</v>
      </c>
    </row>
    <row r="248" hidden="1">
      <c r="A248" s="16" t="s">
        <v>45</v>
      </c>
      <c r="B248" s="17">
        <v>45678.0</v>
      </c>
      <c r="C248" s="16" t="s">
        <v>322</v>
      </c>
      <c r="D248" s="16" t="s">
        <v>323</v>
      </c>
      <c r="E248" s="105">
        <v>45683.0</v>
      </c>
      <c r="G248" s="107">
        <v>45707.0</v>
      </c>
      <c r="H248" s="10" t="s">
        <v>31</v>
      </c>
      <c r="J248" s="16" t="s">
        <v>43</v>
      </c>
      <c r="K248" s="23" t="s">
        <v>33</v>
      </c>
      <c r="L248" s="31">
        <f>810+202.5</f>
        <v>1012.5</v>
      </c>
      <c r="N248" s="16"/>
      <c r="P248" s="16" t="s">
        <v>34</v>
      </c>
      <c r="Q248" s="17">
        <f t="shared" si="1"/>
        <v>45678</v>
      </c>
      <c r="R248" s="18">
        <f>L248*0.25</f>
        <v>253.125</v>
      </c>
      <c r="S248" s="20"/>
      <c r="T248" s="68" t="str">
        <f>VLOOKUP(A248,'Calendar ID'!$A:$C,3,false)</f>
        <v>lilyy.nl@grapperagency.com</v>
      </c>
      <c r="U248" s="77" t="b">
        <v>1</v>
      </c>
      <c r="V248" s="70" t="s">
        <v>82</v>
      </c>
      <c r="W248" s="77" t="b">
        <v>0</v>
      </c>
      <c r="X248" s="68" t="str">
        <f>VLOOKUP($A248,'Calendar ID'!$A:$C,2,false)</f>
        <v>c_665764ca21c8e4b3814e25bf24bc7074fa55890dce5d4073abb0fdddc70649d4@group.calendar.google.com</v>
      </c>
    </row>
    <row r="249" hidden="1">
      <c r="A249" s="16" t="s">
        <v>29</v>
      </c>
      <c r="B249" s="17">
        <v>45681.0</v>
      </c>
      <c r="C249" s="16" t="s">
        <v>191</v>
      </c>
      <c r="E249" s="105">
        <v>45685.0</v>
      </c>
      <c r="G249" s="17"/>
      <c r="H249" s="10" t="s">
        <v>31</v>
      </c>
      <c r="J249" s="16" t="s">
        <v>43</v>
      </c>
      <c r="K249" s="23" t="s">
        <v>33</v>
      </c>
      <c r="L249" s="31">
        <v>300.0</v>
      </c>
      <c r="N249" s="16"/>
      <c r="P249" s="16" t="s">
        <v>34</v>
      </c>
      <c r="Q249" s="17">
        <f t="shared" si="1"/>
        <v>45681</v>
      </c>
      <c r="R249" s="18">
        <f>L249*0.2</f>
        <v>60</v>
      </c>
      <c r="S249" s="20"/>
      <c r="T249" s="68" t="str">
        <f>VLOOKUP(A249,'Calendar ID'!$A:$C,3,false)</f>
        <v>pauline@grapperagency.com</v>
      </c>
      <c r="U249" s="77" t="b">
        <v>1</v>
      </c>
      <c r="V249" s="70" t="s">
        <v>82</v>
      </c>
      <c r="W249" s="77" t="b">
        <v>0</v>
      </c>
      <c r="X249" s="68" t="str">
        <f>VLOOKUP($A249,'Calendar ID'!$A:$C,2,false)</f>
        <v>c_a715193c206b2aa1e4b81b8a3772df33bf92c92611202a890a6bccecb2131fcb@group.calendar.google.com</v>
      </c>
    </row>
    <row r="250" hidden="1">
      <c r="A250" s="16" t="s">
        <v>89</v>
      </c>
      <c r="B250" s="17">
        <v>45625.0</v>
      </c>
      <c r="C250" s="16" t="s">
        <v>245</v>
      </c>
      <c r="D250" s="16" t="s">
        <v>250</v>
      </c>
      <c r="E250" s="103">
        <v>45687.0</v>
      </c>
      <c r="G250" s="103">
        <v>45688.0</v>
      </c>
      <c r="H250" s="10" t="s">
        <v>31</v>
      </c>
      <c r="I250" s="16" t="s">
        <v>313</v>
      </c>
      <c r="J250" s="16" t="s">
        <v>43</v>
      </c>
      <c r="K250" s="23" t="s">
        <v>33</v>
      </c>
      <c r="L250" s="31">
        <v>200.0</v>
      </c>
      <c r="N250" s="16"/>
      <c r="O250" s="16"/>
      <c r="P250" s="23" t="s">
        <v>34</v>
      </c>
      <c r="Q250" s="17">
        <f t="shared" si="1"/>
        <v>45625</v>
      </c>
      <c r="R250" s="18">
        <f t="shared" ref="R250:R251" si="47">L250*0.3</f>
        <v>60</v>
      </c>
      <c r="S250" s="20"/>
      <c r="T250" s="68" t="str">
        <f>VLOOKUP(A250,'Calendar ID'!$A:$C,3,false)</f>
        <v>lola140204@gmail.com</v>
      </c>
      <c r="U250" s="69" t="b">
        <v>1</v>
      </c>
      <c r="V250" s="70" t="s">
        <v>82</v>
      </c>
      <c r="W250" s="69" t="b">
        <v>1</v>
      </c>
      <c r="X250" s="70" t="s">
        <v>82</v>
      </c>
    </row>
    <row r="251" hidden="1">
      <c r="A251" s="16" t="s">
        <v>272</v>
      </c>
      <c r="B251" s="17">
        <v>45625.0</v>
      </c>
      <c r="C251" s="16" t="s">
        <v>245</v>
      </c>
      <c r="D251" s="16" t="s">
        <v>250</v>
      </c>
      <c r="E251" s="103">
        <v>45687.0</v>
      </c>
      <c r="G251" s="17"/>
      <c r="H251" s="10" t="s">
        <v>31</v>
      </c>
      <c r="I251" s="16" t="s">
        <v>313</v>
      </c>
      <c r="J251" s="16" t="s">
        <v>43</v>
      </c>
      <c r="K251" s="23" t="s">
        <v>33</v>
      </c>
      <c r="L251" s="31">
        <v>500.0</v>
      </c>
      <c r="N251" s="16"/>
      <c r="O251" s="16"/>
      <c r="P251" s="23" t="s">
        <v>34</v>
      </c>
      <c r="Q251" s="17">
        <f t="shared" si="1"/>
        <v>45625</v>
      </c>
      <c r="R251" s="18">
        <f t="shared" si="47"/>
        <v>150</v>
      </c>
      <c r="S251" s="20"/>
      <c r="T251" s="68" t="str">
        <f>VLOOKUP(A251,'Calendar ID'!$A:$C,3,false)</f>
        <v>truttirachel@gmail.com</v>
      </c>
      <c r="U251" s="69" t="b">
        <v>0</v>
      </c>
      <c r="V251" s="68" t="str">
        <f>VLOOKUP($A251,'Calendar ID'!$A:$C,2,false)</f>
        <v>c_14943542450de5ffc0c20a93db15c7c0757a89aaa373292182138a3a691be245@group.calendar.google.com</v>
      </c>
      <c r="W251" s="69" t="b">
        <v>0</v>
      </c>
      <c r="X251" s="70" t="s">
        <v>152</v>
      </c>
    </row>
    <row r="252" hidden="1">
      <c r="A252" s="16" t="s">
        <v>29</v>
      </c>
      <c r="B252" s="17">
        <v>45681.0</v>
      </c>
      <c r="C252" s="16" t="s">
        <v>191</v>
      </c>
      <c r="E252" s="105">
        <v>45685.0</v>
      </c>
      <c r="G252" s="17"/>
      <c r="H252" s="10" t="s">
        <v>31</v>
      </c>
      <c r="I252" s="16" t="s">
        <v>324</v>
      </c>
      <c r="J252" s="16" t="s">
        <v>43</v>
      </c>
      <c r="K252" s="23" t="s">
        <v>33</v>
      </c>
      <c r="L252" s="31">
        <v>75.0</v>
      </c>
      <c r="N252" s="16"/>
      <c r="P252" s="16" t="s">
        <v>34</v>
      </c>
      <c r="Q252" s="17">
        <f t="shared" si="1"/>
        <v>45681</v>
      </c>
      <c r="R252" s="18">
        <f>L252*0.2</f>
        <v>15</v>
      </c>
      <c r="S252" s="20"/>
      <c r="T252" s="68" t="str">
        <f>VLOOKUP(A252,'Calendar ID'!$A:$C,3,false)</f>
        <v>pauline@grapperagency.com</v>
      </c>
      <c r="U252" s="77" t="b">
        <v>1</v>
      </c>
      <c r="V252" s="70" t="s">
        <v>82</v>
      </c>
      <c r="W252" s="77" t="b">
        <v>0</v>
      </c>
      <c r="X252" s="68" t="str">
        <f>VLOOKUP($A252,'Calendar ID'!$A:$C,2,false)</f>
        <v>c_a715193c206b2aa1e4b81b8a3772df33bf92c92611202a890a6bccecb2131fcb@group.calendar.google.com</v>
      </c>
    </row>
    <row r="253" hidden="1">
      <c r="A253" s="16" t="s">
        <v>157</v>
      </c>
      <c r="B253" s="17">
        <v>45678.0</v>
      </c>
      <c r="C253" s="16" t="s">
        <v>191</v>
      </c>
      <c r="E253" s="105">
        <v>45686.0</v>
      </c>
      <c r="G253" s="17"/>
      <c r="H253" s="10" t="s">
        <v>31</v>
      </c>
      <c r="J253" s="16" t="s">
        <v>43</v>
      </c>
      <c r="K253" s="23" t="s">
        <v>33</v>
      </c>
      <c r="L253" s="31">
        <v>200.0</v>
      </c>
      <c r="N253" s="16"/>
      <c r="O253" s="16"/>
      <c r="P253" s="23" t="s">
        <v>34</v>
      </c>
      <c r="Q253" s="17">
        <f t="shared" si="1"/>
        <v>45678</v>
      </c>
      <c r="R253" s="18">
        <f t="shared" ref="R253:R256" si="48">L253*0.3</f>
        <v>60</v>
      </c>
      <c r="S253" s="20"/>
      <c r="T253" s="68" t="str">
        <f>VLOOKUP(A253,'Calendar ID'!$A:$C,3,false)</f>
        <v>jeannebayart@gmail.com</v>
      </c>
      <c r="U253" s="77" t="b">
        <v>1</v>
      </c>
      <c r="V253" s="70" t="s">
        <v>82</v>
      </c>
      <c r="W253" s="77" t="b">
        <v>0</v>
      </c>
      <c r="X253" s="68" t="str">
        <f>VLOOKUP($A253,'Calendar ID'!$A:$C,2,false)</f>
        <v>c_d2ee2c2110f1f2bc5b089d0edb8b480581f78d93077274c225fcfc530518b2ca@group.calendar.google.com</v>
      </c>
    </row>
    <row r="254" hidden="1">
      <c r="A254" s="16" t="s">
        <v>110</v>
      </c>
      <c r="B254" s="17">
        <v>45674.0</v>
      </c>
      <c r="C254" s="16" t="s">
        <v>245</v>
      </c>
      <c r="D254" s="16" t="s">
        <v>250</v>
      </c>
      <c r="E254" s="106">
        <v>45693.0</v>
      </c>
      <c r="G254" s="106">
        <v>45695.0</v>
      </c>
      <c r="H254" s="10" t="s">
        <v>31</v>
      </c>
      <c r="I254" s="16" t="s">
        <v>313</v>
      </c>
      <c r="J254" s="16" t="s">
        <v>43</v>
      </c>
      <c r="K254" s="23" t="s">
        <v>33</v>
      </c>
      <c r="L254" s="31">
        <v>300.0</v>
      </c>
      <c r="N254" s="16"/>
      <c r="O254" s="16"/>
      <c r="P254" s="23" t="s">
        <v>34</v>
      </c>
      <c r="Q254" s="17">
        <f t="shared" si="1"/>
        <v>45674</v>
      </c>
      <c r="R254" s="18">
        <f t="shared" si="48"/>
        <v>90</v>
      </c>
      <c r="S254" s="20"/>
      <c r="T254" s="68" t="str">
        <f>VLOOKUP(A254,'Calendar ID'!$A:$C,3,false)</f>
        <v>terpperrine@gmail.com</v>
      </c>
      <c r="U254" s="69" t="b">
        <v>1</v>
      </c>
      <c r="V254" s="70" t="s">
        <v>82</v>
      </c>
      <c r="W254" s="69" t="b">
        <v>1</v>
      </c>
      <c r="X254" s="70" t="s">
        <v>82</v>
      </c>
    </row>
    <row r="255" hidden="1">
      <c r="A255" s="16" t="s">
        <v>213</v>
      </c>
      <c r="B255" s="17">
        <v>45538.0</v>
      </c>
      <c r="C255" s="16" t="s">
        <v>86</v>
      </c>
      <c r="E255" s="105">
        <v>45687.0</v>
      </c>
      <c r="G255" s="106">
        <v>45692.0</v>
      </c>
      <c r="H255" s="10" t="s">
        <v>31</v>
      </c>
      <c r="J255" s="16" t="s">
        <v>43</v>
      </c>
      <c r="K255" s="23" t="s">
        <v>33</v>
      </c>
      <c r="L255" s="31">
        <f>765/2</f>
        <v>382.5</v>
      </c>
      <c r="N255" s="16"/>
      <c r="O255" s="16"/>
      <c r="P255" s="16" t="s">
        <v>34</v>
      </c>
      <c r="Q255" s="17">
        <f t="shared" si="1"/>
        <v>45538</v>
      </c>
      <c r="R255" s="18">
        <f t="shared" si="48"/>
        <v>114.75</v>
      </c>
      <c r="S255" s="20"/>
      <c r="T255" s="68" t="str">
        <f>VLOOKUP(A255,'Calendar ID'!$A:$C,3,false)</f>
        <v>anaiswry@yahoo.fr</v>
      </c>
      <c r="U255" s="77" t="b">
        <v>1</v>
      </c>
      <c r="V255" s="70" t="s">
        <v>82</v>
      </c>
      <c r="W255" s="69" t="b">
        <v>1</v>
      </c>
      <c r="X255" s="70" t="s">
        <v>82</v>
      </c>
    </row>
    <row r="256" hidden="1">
      <c r="A256" s="16" t="s">
        <v>290</v>
      </c>
      <c r="B256" s="17">
        <v>45666.0</v>
      </c>
      <c r="C256" s="16" t="s">
        <v>211</v>
      </c>
      <c r="E256" s="105">
        <v>45688.0</v>
      </c>
      <c r="G256" s="106">
        <v>45693.0</v>
      </c>
      <c r="H256" s="10" t="s">
        <v>31</v>
      </c>
      <c r="I256" s="16" t="s">
        <v>325</v>
      </c>
      <c r="J256" s="16" t="s">
        <v>43</v>
      </c>
      <c r="K256" s="23" t="s">
        <v>33</v>
      </c>
      <c r="L256" s="31">
        <v>600.0</v>
      </c>
      <c r="N256" s="65" t="s">
        <v>326</v>
      </c>
      <c r="O256" s="16"/>
      <c r="P256" s="16" t="s">
        <v>34</v>
      </c>
      <c r="Q256" s="17">
        <f t="shared" si="1"/>
        <v>45666</v>
      </c>
      <c r="R256" s="18">
        <f t="shared" si="48"/>
        <v>180</v>
      </c>
      <c r="S256" s="20"/>
      <c r="T256" s="68" t="str">
        <f>VLOOKUP(A256,'Calendar ID'!$A:$C,3,false)</f>
        <v>hello.gurbet@gmail.com </v>
      </c>
      <c r="U256" s="69" t="b">
        <v>1</v>
      </c>
      <c r="V256" s="70" t="s">
        <v>82</v>
      </c>
      <c r="W256" s="69" t="b">
        <v>1</v>
      </c>
      <c r="X256" s="70" t="s">
        <v>82</v>
      </c>
    </row>
    <row r="257" hidden="1">
      <c r="A257" s="16" t="s">
        <v>29</v>
      </c>
      <c r="B257" s="17">
        <v>45684.0</v>
      </c>
      <c r="C257" s="16" t="s">
        <v>327</v>
      </c>
      <c r="D257" s="16" t="s">
        <v>328</v>
      </c>
      <c r="E257" s="106">
        <v>45691.0</v>
      </c>
      <c r="F257" s="105">
        <v>45688.0</v>
      </c>
      <c r="G257" s="106">
        <v>45692.0</v>
      </c>
      <c r="H257" s="10" t="s">
        <v>31</v>
      </c>
      <c r="J257" s="16" t="s">
        <v>43</v>
      </c>
      <c r="K257" s="23" t="s">
        <v>33</v>
      </c>
      <c r="L257" s="31">
        <v>375.0</v>
      </c>
      <c r="N257" s="16" t="s">
        <v>329</v>
      </c>
      <c r="O257" s="16"/>
      <c r="P257" s="16" t="s">
        <v>34</v>
      </c>
      <c r="Q257" s="17">
        <f t="shared" si="1"/>
        <v>45684</v>
      </c>
      <c r="R257" s="18">
        <f>L257*0.2</f>
        <v>75</v>
      </c>
      <c r="S257" s="20"/>
      <c r="T257" s="20"/>
      <c r="U257" s="20"/>
      <c r="V257" s="20"/>
      <c r="W257" s="20"/>
      <c r="X257" s="20"/>
    </row>
    <row r="258" hidden="1">
      <c r="A258" s="16" t="s">
        <v>284</v>
      </c>
      <c r="B258" s="17">
        <v>45666.0</v>
      </c>
      <c r="C258" s="16" t="s">
        <v>211</v>
      </c>
      <c r="E258" s="106">
        <v>45694.0</v>
      </c>
      <c r="G258" s="86">
        <v>45702.0</v>
      </c>
      <c r="H258" s="10" t="s">
        <v>31</v>
      </c>
      <c r="I258" s="16" t="s">
        <v>325</v>
      </c>
      <c r="J258" s="16" t="s">
        <v>43</v>
      </c>
      <c r="K258" s="23" t="s">
        <v>33</v>
      </c>
      <c r="L258" s="31">
        <v>600.0</v>
      </c>
      <c r="N258" s="65" t="s">
        <v>330</v>
      </c>
      <c r="O258" s="16"/>
      <c r="P258" s="16" t="s">
        <v>34</v>
      </c>
      <c r="Q258" s="17">
        <f t="shared" si="1"/>
        <v>45666</v>
      </c>
      <c r="R258" s="18">
        <f t="shared" ref="R258:R269" si="49">L258*0.3</f>
        <v>180</v>
      </c>
      <c r="S258" s="20"/>
      <c r="T258" s="68" t="str">
        <f>VLOOKUP(A258,'Calendar ID'!$A:$C,3,false)</f>
        <v>Douns.collab@gmail.com</v>
      </c>
      <c r="U258" s="69" t="b">
        <v>1</v>
      </c>
      <c r="V258" s="70" t="s">
        <v>82</v>
      </c>
      <c r="W258" s="69" t="b">
        <v>1</v>
      </c>
      <c r="X258" s="70" t="s">
        <v>82</v>
      </c>
    </row>
    <row r="259" hidden="1">
      <c r="A259" s="16" t="s">
        <v>290</v>
      </c>
      <c r="B259" s="17">
        <v>45680.0</v>
      </c>
      <c r="C259" s="16" t="s">
        <v>331</v>
      </c>
      <c r="E259" s="106">
        <v>45694.0</v>
      </c>
      <c r="F259" s="17"/>
      <c r="G259" s="106">
        <v>45696.0</v>
      </c>
      <c r="H259" s="10" t="s">
        <v>31</v>
      </c>
      <c r="I259" s="16" t="s">
        <v>332</v>
      </c>
      <c r="J259" s="16" t="s">
        <v>43</v>
      </c>
      <c r="K259" s="23" t="s">
        <v>33</v>
      </c>
      <c r="L259" s="31">
        <v>2000.0</v>
      </c>
      <c r="N259" s="16"/>
      <c r="O259" s="16"/>
      <c r="P259" s="16" t="s">
        <v>34</v>
      </c>
      <c r="Q259" s="17">
        <f t="shared" si="1"/>
        <v>45680</v>
      </c>
      <c r="R259" s="18">
        <f t="shared" si="49"/>
        <v>600</v>
      </c>
      <c r="S259" s="20"/>
      <c r="T259" s="68" t="str">
        <f>VLOOKUP(A259,'Calendar ID'!$A:$C,3,false)</f>
        <v>hello.gurbet@gmail.com </v>
      </c>
      <c r="U259" s="69" t="b">
        <v>1</v>
      </c>
      <c r="V259" s="70" t="s">
        <v>82</v>
      </c>
      <c r="W259" s="69" t="b">
        <v>1</v>
      </c>
      <c r="X259" s="70" t="s">
        <v>82</v>
      </c>
    </row>
    <row r="260" hidden="1">
      <c r="A260" s="16" t="s">
        <v>89</v>
      </c>
      <c r="B260" s="17">
        <v>45666.0</v>
      </c>
      <c r="C260" s="16" t="s">
        <v>211</v>
      </c>
      <c r="E260" s="106">
        <v>45694.0</v>
      </c>
      <c r="F260" s="106">
        <v>45691.0</v>
      </c>
      <c r="G260" s="86">
        <v>45702.0</v>
      </c>
      <c r="H260" s="10" t="s">
        <v>31</v>
      </c>
      <c r="I260" s="16" t="s">
        <v>325</v>
      </c>
      <c r="J260" s="16" t="s">
        <v>43</v>
      </c>
      <c r="K260" s="23" t="s">
        <v>33</v>
      </c>
      <c r="L260" s="31">
        <v>500.0</v>
      </c>
      <c r="N260" s="65" t="s">
        <v>333</v>
      </c>
      <c r="O260" s="16"/>
      <c r="P260" s="16" t="s">
        <v>34</v>
      </c>
      <c r="Q260" s="17">
        <f t="shared" si="1"/>
        <v>45666</v>
      </c>
      <c r="R260" s="18">
        <f t="shared" si="49"/>
        <v>150</v>
      </c>
      <c r="S260" s="20"/>
      <c r="T260" s="68" t="str">
        <f>VLOOKUP(A260,'Calendar ID'!$A:$C,3,false)</f>
        <v>lola140204@gmail.com</v>
      </c>
      <c r="U260" s="69" t="b">
        <v>1</v>
      </c>
      <c r="V260" s="70" t="s">
        <v>82</v>
      </c>
      <c r="W260" s="69" t="b">
        <v>1</v>
      </c>
      <c r="X260" s="70" t="s">
        <v>82</v>
      </c>
    </row>
    <row r="261" hidden="1">
      <c r="A261" s="16" t="s">
        <v>76</v>
      </c>
      <c r="B261" s="17">
        <v>45666.0</v>
      </c>
      <c r="C261" s="16" t="s">
        <v>211</v>
      </c>
      <c r="E261" s="106">
        <v>45694.0</v>
      </c>
      <c r="G261" s="86">
        <v>45702.0</v>
      </c>
      <c r="H261" s="10" t="s">
        <v>31</v>
      </c>
      <c r="I261" s="16" t="s">
        <v>325</v>
      </c>
      <c r="J261" s="16" t="s">
        <v>43</v>
      </c>
      <c r="K261" s="23" t="s">
        <v>33</v>
      </c>
      <c r="L261" s="31">
        <v>600.0</v>
      </c>
      <c r="N261" s="65" t="s">
        <v>334</v>
      </c>
      <c r="O261" s="16"/>
      <c r="P261" s="16" t="s">
        <v>34</v>
      </c>
      <c r="Q261" s="17">
        <f t="shared" si="1"/>
        <v>45666</v>
      </c>
      <c r="R261" s="18">
        <f t="shared" si="49"/>
        <v>180</v>
      </c>
      <c r="S261" s="20"/>
      <c r="T261" s="68" t="str">
        <f>VLOOKUP(A261,'Calendar ID'!$A:$C,3,false)</f>
        <v>orane.baron1403@gmail.com</v>
      </c>
      <c r="U261" s="69" t="b">
        <v>1</v>
      </c>
      <c r="V261" s="70" t="s">
        <v>82</v>
      </c>
      <c r="W261" s="69" t="b">
        <v>1</v>
      </c>
      <c r="X261" s="70" t="s">
        <v>82</v>
      </c>
    </row>
    <row r="262" hidden="1">
      <c r="A262" s="16" t="s">
        <v>237</v>
      </c>
      <c r="B262" s="17">
        <v>45587.0</v>
      </c>
      <c r="C262" s="16" t="s">
        <v>222</v>
      </c>
      <c r="E262" s="86">
        <v>45701.0</v>
      </c>
      <c r="G262" s="86">
        <v>45702.0</v>
      </c>
      <c r="H262" s="10" t="s">
        <v>31</v>
      </c>
      <c r="J262" s="16" t="s">
        <v>43</v>
      </c>
      <c r="K262" s="23" t="s">
        <v>33</v>
      </c>
      <c r="L262" s="31">
        <v>200.0</v>
      </c>
      <c r="N262" s="65" t="s">
        <v>335</v>
      </c>
      <c r="O262" s="16"/>
      <c r="P262" s="23" t="s">
        <v>34</v>
      </c>
      <c r="Q262" s="17">
        <f t="shared" si="1"/>
        <v>45587</v>
      </c>
      <c r="R262" s="15">
        <f t="shared" si="49"/>
        <v>60</v>
      </c>
      <c r="S262" s="20"/>
      <c r="T262" s="68" t="str">
        <f>VLOOKUP(A262,'Calendar ID'!$A:$C,3,false)</f>
        <v>shaaadl.pro@gmail.com</v>
      </c>
      <c r="U262" s="69" t="b">
        <v>1</v>
      </c>
      <c r="V262" s="70" t="s">
        <v>82</v>
      </c>
      <c r="W262" s="77" t="b">
        <v>0</v>
      </c>
      <c r="X262" s="68" t="str">
        <f>VLOOKUP($A262,'Calendar ID'!$A:$C,2,false)</f>
        <v>c_9384058245a0bc66157c09691047ea8f88622323c6761b8606c18d9b08ee0bf8@group.calendar.google.com</v>
      </c>
    </row>
    <row r="263" hidden="1">
      <c r="A263" s="16" t="s">
        <v>284</v>
      </c>
      <c r="B263" s="17">
        <v>45586.0</v>
      </c>
      <c r="C263" s="16" t="s">
        <v>79</v>
      </c>
      <c r="D263" s="108" t="s">
        <v>336</v>
      </c>
      <c r="E263" s="17">
        <f>G263-10</f>
        <v>45616</v>
      </c>
      <c r="G263" s="17">
        <v>45626.0</v>
      </c>
      <c r="H263" s="10" t="s">
        <v>31</v>
      </c>
      <c r="J263" s="16" t="s">
        <v>43</v>
      </c>
      <c r="K263" s="23" t="s">
        <v>33</v>
      </c>
      <c r="L263" s="31">
        <f>1000/3</f>
        <v>333.3333333</v>
      </c>
      <c r="N263" s="65" t="s">
        <v>337</v>
      </c>
      <c r="O263" s="16"/>
      <c r="P263" s="16" t="s">
        <v>34</v>
      </c>
      <c r="Q263" s="17">
        <f t="shared" si="1"/>
        <v>45586</v>
      </c>
      <c r="R263" s="18">
        <f t="shared" si="49"/>
        <v>100</v>
      </c>
      <c r="S263" s="20"/>
      <c r="T263" s="68" t="str">
        <f>VLOOKUP(A263,'Calendar ID'!$A:$C,3,false)</f>
        <v>Douns.collab@gmail.com</v>
      </c>
      <c r="U263" s="77" t="b">
        <v>1</v>
      </c>
      <c r="V263" s="70" t="s">
        <v>82</v>
      </c>
      <c r="W263" s="77" t="b">
        <v>1</v>
      </c>
      <c r="X263" s="70" t="s">
        <v>82</v>
      </c>
    </row>
    <row r="264" hidden="1">
      <c r="A264" s="16" t="s">
        <v>213</v>
      </c>
      <c r="B264" s="17">
        <v>45664.0</v>
      </c>
      <c r="C264" s="16" t="s">
        <v>211</v>
      </c>
      <c r="E264" s="86">
        <v>45700.0</v>
      </c>
      <c r="G264" s="86">
        <v>45702.0</v>
      </c>
      <c r="H264" s="10" t="s">
        <v>31</v>
      </c>
      <c r="I264" s="16" t="s">
        <v>338</v>
      </c>
      <c r="J264" s="16" t="s">
        <v>43</v>
      </c>
      <c r="K264" s="23" t="s">
        <v>33</v>
      </c>
      <c r="L264" s="31">
        <v>600.0</v>
      </c>
      <c r="N264" s="65" t="s">
        <v>339</v>
      </c>
      <c r="O264" s="16"/>
      <c r="P264" s="16" t="s">
        <v>34</v>
      </c>
      <c r="Q264" s="17">
        <f t="shared" si="1"/>
        <v>45664</v>
      </c>
      <c r="R264" s="18">
        <f t="shared" si="49"/>
        <v>180</v>
      </c>
      <c r="S264" s="20"/>
      <c r="T264" s="68" t="str">
        <f>VLOOKUP(A264,'Calendar ID'!$A:$C,3,false)</f>
        <v>anaiswry@yahoo.fr</v>
      </c>
      <c r="U264" s="69" t="b">
        <v>1</v>
      </c>
      <c r="V264" s="70" t="s">
        <v>82</v>
      </c>
      <c r="W264" s="69" t="b">
        <v>1</v>
      </c>
      <c r="X264" s="70" t="s">
        <v>82</v>
      </c>
    </row>
    <row r="265" hidden="1">
      <c r="A265" s="16" t="s">
        <v>213</v>
      </c>
      <c r="B265" s="17">
        <v>45679.0</v>
      </c>
      <c r="C265" s="16" t="s">
        <v>340</v>
      </c>
      <c r="D265" s="17"/>
      <c r="E265" s="86">
        <v>45700.0</v>
      </c>
      <c r="F265" s="86">
        <v>45701.0</v>
      </c>
      <c r="G265" s="107">
        <v>45704.0</v>
      </c>
      <c r="H265" s="10" t="s">
        <v>31</v>
      </c>
      <c r="J265" s="16" t="s">
        <v>43</v>
      </c>
      <c r="K265" s="23" t="s">
        <v>33</v>
      </c>
      <c r="L265" s="31">
        <v>900.0</v>
      </c>
      <c r="N265" s="16"/>
      <c r="O265" s="16" t="s">
        <v>341</v>
      </c>
      <c r="P265" s="16" t="s">
        <v>34</v>
      </c>
      <c r="Q265" s="17">
        <f t="shared" si="1"/>
        <v>45679</v>
      </c>
      <c r="R265" s="18">
        <f t="shared" si="49"/>
        <v>270</v>
      </c>
      <c r="S265" s="20"/>
      <c r="T265" s="68" t="str">
        <f>VLOOKUP(A265,'Calendar ID'!$A:$C,3,false)</f>
        <v>anaiswry@yahoo.fr</v>
      </c>
      <c r="U265" s="77" t="b">
        <v>0</v>
      </c>
      <c r="V265" s="68" t="str">
        <f>VLOOKUP($A265,'Calendar ID'!$A:$C,2,false)</f>
        <v>c_2754856c5047affc6767bb85fb787591389bf7d14d3afd368efdff9979492ab5@group.calendar.google.com</v>
      </c>
      <c r="W265" s="77" t="b">
        <v>1</v>
      </c>
      <c r="X265" s="70" t="s">
        <v>82</v>
      </c>
    </row>
    <row r="266" hidden="1">
      <c r="A266" s="10" t="s">
        <v>204</v>
      </c>
      <c r="B266" s="11">
        <v>45586.0</v>
      </c>
      <c r="C266" s="23" t="s">
        <v>79</v>
      </c>
      <c r="D266" s="109" t="s">
        <v>342</v>
      </c>
      <c r="E266" s="98">
        <v>45678.0</v>
      </c>
      <c r="G266" s="110">
        <v>45698.0</v>
      </c>
      <c r="H266" s="10" t="s">
        <v>31</v>
      </c>
      <c r="J266" s="16" t="s">
        <v>43</v>
      </c>
      <c r="K266" s="23" t="s">
        <v>33</v>
      </c>
      <c r="L266" s="31">
        <f>3600/3</f>
        <v>1200</v>
      </c>
      <c r="N266" s="16"/>
      <c r="P266" s="23" t="s">
        <v>34</v>
      </c>
      <c r="Q266" s="17">
        <f t="shared" si="1"/>
        <v>45586</v>
      </c>
      <c r="R266" s="15">
        <f t="shared" si="49"/>
        <v>360</v>
      </c>
      <c r="S266" s="20"/>
      <c r="T266" s="68" t="str">
        <f>VLOOKUP(A266,'Calendar ID'!$A:$C,3,false)</f>
        <v>marylinezh@gmail.com </v>
      </c>
      <c r="U266" s="77" t="b">
        <v>0</v>
      </c>
      <c r="V266" s="68" t="str">
        <f>VLOOKUP($A266,'Calendar ID'!$A:$C,2,false)</f>
        <v>c_3d8e6f3013c2064d1cf20c38ef5246d33ef6635ebbbd3c9abb7c506fa9eefde3@group.calendar.google.com</v>
      </c>
      <c r="W266" s="77" t="b">
        <v>1</v>
      </c>
      <c r="X266" s="70" t="s">
        <v>82</v>
      </c>
    </row>
    <row r="267" hidden="1">
      <c r="A267" s="16" t="s">
        <v>284</v>
      </c>
      <c r="B267" s="17">
        <v>45678.0</v>
      </c>
      <c r="C267" s="16" t="s">
        <v>199</v>
      </c>
      <c r="D267" s="16" t="s">
        <v>343</v>
      </c>
      <c r="E267" s="86">
        <v>45702.0</v>
      </c>
      <c r="F267" s="97">
        <v>45680.0</v>
      </c>
      <c r="G267" s="102">
        <v>45726.0</v>
      </c>
      <c r="H267" s="10" t="s">
        <v>31</v>
      </c>
      <c r="J267" s="16" t="s">
        <v>43</v>
      </c>
      <c r="K267" s="23" t="s">
        <v>33</v>
      </c>
      <c r="L267" s="31">
        <v>300.0</v>
      </c>
      <c r="N267" s="16"/>
      <c r="O267" s="16"/>
      <c r="P267" s="16" t="s">
        <v>34</v>
      </c>
      <c r="Q267" s="17">
        <f t="shared" si="1"/>
        <v>45678</v>
      </c>
      <c r="R267" s="18">
        <f t="shared" si="49"/>
        <v>90</v>
      </c>
      <c r="S267" s="20"/>
      <c r="T267" s="68" t="str">
        <f>VLOOKUP(A267,'Calendar ID'!$A:$C,3,false)</f>
        <v>Douns.collab@gmail.com</v>
      </c>
      <c r="U267" s="77" t="b">
        <v>0</v>
      </c>
      <c r="V267" s="68" t="str">
        <f>VLOOKUP($A267,'Calendar ID'!$A:$C,2,false)</f>
        <v>c_2208b8e561439ebc2637feb15fe2d308d5719cc64460071de6ba0c674eba6118@group.calendar.google.com</v>
      </c>
      <c r="W267" s="77" t="b">
        <v>0</v>
      </c>
      <c r="X267" s="68" t="str">
        <f>VLOOKUP($A267,'Calendar ID'!$A:$C,2,false)</f>
        <v>c_2208b8e561439ebc2637feb15fe2d308d5719cc64460071de6ba0c674eba6118@group.calendar.google.com</v>
      </c>
    </row>
    <row r="268" hidden="1">
      <c r="A268" s="16" t="s">
        <v>284</v>
      </c>
      <c r="B268" s="17">
        <v>45674.0</v>
      </c>
      <c r="C268" s="16" t="s">
        <v>64</v>
      </c>
      <c r="E268" s="86">
        <v>45703.0</v>
      </c>
      <c r="F268" s="17"/>
      <c r="G268" s="107">
        <v>45707.0</v>
      </c>
      <c r="H268" s="10" t="s">
        <v>31</v>
      </c>
      <c r="J268" s="16" t="s">
        <v>43</v>
      </c>
      <c r="K268" s="23" t="s">
        <v>33</v>
      </c>
      <c r="L268" s="31">
        <v>582.0</v>
      </c>
      <c r="N268" s="65" t="s">
        <v>344</v>
      </c>
      <c r="P268" s="16" t="s">
        <v>34</v>
      </c>
      <c r="Q268" s="17">
        <f t="shared" si="1"/>
        <v>45674</v>
      </c>
      <c r="R268" s="18">
        <f t="shared" si="49"/>
        <v>174.6</v>
      </c>
      <c r="S268" s="20"/>
      <c r="T268" s="68" t="str">
        <f>VLOOKUP(A268,'Calendar ID'!$A:$C,3,false)</f>
        <v>Douns.collab@gmail.com</v>
      </c>
      <c r="U268" s="77" t="b">
        <v>1</v>
      </c>
      <c r="V268" s="70" t="s">
        <v>82</v>
      </c>
      <c r="W268" s="77" t="b">
        <v>0</v>
      </c>
      <c r="X268" s="70"/>
    </row>
    <row r="269" hidden="1">
      <c r="A269" s="16" t="s">
        <v>89</v>
      </c>
      <c r="B269" s="17">
        <v>45674.0</v>
      </c>
      <c r="C269" s="16" t="s">
        <v>64</v>
      </c>
      <c r="E269" s="86">
        <v>45703.0</v>
      </c>
      <c r="F269" s="17"/>
      <c r="G269" s="107">
        <v>45708.0</v>
      </c>
      <c r="H269" s="10" t="s">
        <v>31</v>
      </c>
      <c r="J269" s="16" t="s">
        <v>43</v>
      </c>
      <c r="K269" s="23" t="s">
        <v>33</v>
      </c>
      <c r="L269" s="31">
        <v>582.0</v>
      </c>
      <c r="N269" s="55" t="s">
        <v>345</v>
      </c>
      <c r="O269" s="16"/>
      <c r="P269" s="16" t="s">
        <v>34</v>
      </c>
      <c r="Q269" s="17">
        <f t="shared" si="1"/>
        <v>45674</v>
      </c>
      <c r="R269" s="18">
        <f t="shared" si="49"/>
        <v>174.6</v>
      </c>
      <c r="S269" s="20"/>
      <c r="T269" s="68" t="str">
        <f>VLOOKUP(A269,'Calendar ID'!$A:$C,3,false)</f>
        <v>lola140204@gmail.com</v>
      </c>
      <c r="U269" s="77" t="b">
        <v>1</v>
      </c>
      <c r="V269" s="70" t="s">
        <v>82</v>
      </c>
      <c r="W269" s="77" t="b">
        <v>0</v>
      </c>
      <c r="X269" s="70"/>
    </row>
    <row r="270" hidden="1">
      <c r="A270" s="16" t="s">
        <v>29</v>
      </c>
      <c r="B270" s="17">
        <v>45674.0</v>
      </c>
      <c r="C270" s="16" t="s">
        <v>64</v>
      </c>
      <c r="E270" s="86">
        <v>45703.0</v>
      </c>
      <c r="F270" s="17"/>
      <c r="G270" s="107">
        <v>45708.0</v>
      </c>
      <c r="H270" s="10" t="s">
        <v>31</v>
      </c>
      <c r="J270" s="16" t="s">
        <v>43</v>
      </c>
      <c r="K270" s="23" t="s">
        <v>33</v>
      </c>
      <c r="L270" s="31">
        <v>291.0</v>
      </c>
      <c r="N270" s="65" t="s">
        <v>346</v>
      </c>
      <c r="P270" s="16" t="s">
        <v>34</v>
      </c>
      <c r="Q270" s="17">
        <f t="shared" si="1"/>
        <v>45674</v>
      </c>
      <c r="R270" s="18">
        <f>L270*0.2</f>
        <v>58.2</v>
      </c>
      <c r="S270" s="20"/>
      <c r="T270" s="68" t="str">
        <f>VLOOKUP(A270,'Calendar ID'!$A:$C,3,false)</f>
        <v>pauline@grapperagency.com</v>
      </c>
      <c r="U270" s="77" t="b">
        <v>1</v>
      </c>
      <c r="V270" s="70" t="s">
        <v>82</v>
      </c>
      <c r="W270" s="77" t="b">
        <v>0</v>
      </c>
      <c r="X270" s="70"/>
    </row>
    <row r="271" hidden="1">
      <c r="A271" s="16" t="s">
        <v>290</v>
      </c>
      <c r="B271" s="17">
        <v>45680.0</v>
      </c>
      <c r="C271" s="16" t="s">
        <v>347</v>
      </c>
      <c r="E271" s="107">
        <v>45704.0</v>
      </c>
      <c r="G271" s="107">
        <v>45707.0</v>
      </c>
      <c r="H271" s="10" t="s">
        <v>31</v>
      </c>
      <c r="J271" s="16" t="s">
        <v>43</v>
      </c>
      <c r="K271" s="23" t="s">
        <v>33</v>
      </c>
      <c r="L271" s="31">
        <v>700.0</v>
      </c>
      <c r="N271" s="16"/>
      <c r="O271" s="16"/>
      <c r="P271" s="23" t="s">
        <v>34</v>
      </c>
      <c r="Q271" s="17">
        <f t="shared" si="1"/>
        <v>45680</v>
      </c>
      <c r="R271" s="18">
        <f t="shared" ref="R271:R272" si="50">L271*0.3</f>
        <v>210</v>
      </c>
      <c r="S271" s="20"/>
      <c r="T271" s="68" t="str">
        <f>VLOOKUP(A271,'Calendar ID'!$A:$C,3,false)</f>
        <v>hello.gurbet@gmail.com </v>
      </c>
      <c r="U271" s="77" t="b">
        <v>1</v>
      </c>
      <c r="V271" s="70" t="s">
        <v>82</v>
      </c>
      <c r="W271" s="77" t="b">
        <v>0</v>
      </c>
      <c r="X271" s="68" t="str">
        <f>VLOOKUP($A271,'Calendar ID'!$A:$C,2,false)</f>
        <v>c_db1fbd259183311b30d5bfa9e5494d85e4aa71562c2d699763ba11e15f3e8a3b@group.calendar.google.com</v>
      </c>
    </row>
    <row r="272" hidden="1">
      <c r="A272" s="16" t="s">
        <v>348</v>
      </c>
      <c r="B272" s="17">
        <v>45684.0</v>
      </c>
      <c r="C272" s="16" t="s">
        <v>245</v>
      </c>
      <c r="D272" s="16" t="s">
        <v>349</v>
      </c>
      <c r="E272" s="107">
        <v>45708.0</v>
      </c>
      <c r="G272" s="107">
        <v>45709.0</v>
      </c>
      <c r="H272" s="10" t="s">
        <v>31</v>
      </c>
      <c r="I272" s="16" t="s">
        <v>350</v>
      </c>
      <c r="J272" s="16" t="s">
        <v>43</v>
      </c>
      <c r="K272" s="23" t="s">
        <v>33</v>
      </c>
      <c r="L272" s="31">
        <f>1050/3</f>
        <v>350</v>
      </c>
      <c r="N272" s="16"/>
      <c r="O272" s="16"/>
      <c r="P272" s="16" t="s">
        <v>34</v>
      </c>
      <c r="Q272" s="17">
        <f t="shared" si="1"/>
        <v>45684</v>
      </c>
      <c r="R272" s="18">
        <f t="shared" si="50"/>
        <v>105</v>
      </c>
      <c r="S272" s="20"/>
      <c r="T272" s="68" t="str">
        <f>VLOOKUP(A272,'Calendar ID'!$A:$C,3,false)</f>
        <v>amani.mee10@gmail.com</v>
      </c>
      <c r="U272" s="69" t="b">
        <v>0</v>
      </c>
      <c r="V272" s="68" t="str">
        <f>VLOOKUP($A272,'Calendar ID'!$A:$C,2,false)</f>
        <v>c_0fe46f911aa7c417189a62fdd8716ddaaef232a02bd45c49b9c02c6d6e2e4815@group.calendar.google.com</v>
      </c>
      <c r="W272" s="69" t="b">
        <v>0</v>
      </c>
      <c r="X272" s="68" t="str">
        <f>VLOOKUP($A272,'Calendar ID'!$A:$C,2,false)</f>
        <v>c_0fe46f911aa7c417189a62fdd8716ddaaef232a02bd45c49b9c02c6d6e2e4815@group.calendar.google.com</v>
      </c>
    </row>
    <row r="273" hidden="1">
      <c r="A273" s="16" t="s">
        <v>45</v>
      </c>
      <c r="B273" s="17">
        <v>45673.0</v>
      </c>
      <c r="C273" s="16" t="s">
        <v>199</v>
      </c>
      <c r="D273" s="16" t="s">
        <v>351</v>
      </c>
      <c r="E273" s="107">
        <v>45704.0</v>
      </c>
      <c r="G273" s="107">
        <v>45714.0</v>
      </c>
      <c r="H273" s="10" t="s">
        <v>31</v>
      </c>
      <c r="I273" s="16" t="s">
        <v>352</v>
      </c>
      <c r="J273" s="16" t="s">
        <v>43</v>
      </c>
      <c r="K273" s="23" t="s">
        <v>33</v>
      </c>
      <c r="L273" s="31">
        <v>450.0</v>
      </c>
      <c r="N273" s="16"/>
      <c r="O273" s="16"/>
      <c r="P273" s="23" t="s">
        <v>34</v>
      </c>
      <c r="Q273" s="17">
        <f t="shared" si="1"/>
        <v>45673</v>
      </c>
      <c r="R273" s="15">
        <f>L273*0.25</f>
        <v>112.5</v>
      </c>
      <c r="S273" s="20"/>
      <c r="T273" s="68" t="str">
        <f>VLOOKUP(A273,'Calendar ID'!$A:$C,3,false)</f>
        <v>lilyy.nl@grapperagency.com</v>
      </c>
      <c r="U273" s="69" t="b">
        <v>1</v>
      </c>
      <c r="V273" s="70" t="s">
        <v>82</v>
      </c>
      <c r="W273" s="69" t="b">
        <v>1</v>
      </c>
      <c r="X273" s="70" t="s">
        <v>82</v>
      </c>
    </row>
    <row r="274" hidden="1">
      <c r="A274" s="16" t="s">
        <v>29</v>
      </c>
      <c r="B274" s="17">
        <v>45680.0</v>
      </c>
      <c r="C274" s="16" t="s">
        <v>347</v>
      </c>
      <c r="E274" s="107">
        <v>45704.0</v>
      </c>
      <c r="G274" s="107">
        <v>45707.0</v>
      </c>
      <c r="H274" s="10" t="s">
        <v>31</v>
      </c>
      <c r="J274" s="16" t="s">
        <v>43</v>
      </c>
      <c r="K274" s="23" t="s">
        <v>33</v>
      </c>
      <c r="L274" s="31">
        <v>200.0</v>
      </c>
      <c r="N274" s="16"/>
      <c r="O274" s="16"/>
      <c r="P274" s="23" t="s">
        <v>34</v>
      </c>
      <c r="Q274" s="17">
        <f t="shared" si="1"/>
        <v>45680</v>
      </c>
      <c r="R274" s="18">
        <f>L274*0.2</f>
        <v>40</v>
      </c>
      <c r="S274" s="20"/>
      <c r="T274" s="68" t="str">
        <f>VLOOKUP(A274,'Calendar ID'!$A:$C,3,false)</f>
        <v>pauline@grapperagency.com</v>
      </c>
      <c r="U274" s="77" t="b">
        <v>1</v>
      </c>
      <c r="V274" s="70" t="s">
        <v>82</v>
      </c>
      <c r="W274" s="77" t="b">
        <v>1</v>
      </c>
      <c r="X274" s="70" t="s">
        <v>82</v>
      </c>
    </row>
    <row r="275" hidden="1">
      <c r="A275" s="16" t="s">
        <v>353</v>
      </c>
      <c r="B275" s="17">
        <v>45681.0</v>
      </c>
      <c r="C275" s="16" t="s">
        <v>245</v>
      </c>
      <c r="D275" s="16" t="s">
        <v>349</v>
      </c>
      <c r="E275" s="107">
        <v>45708.0</v>
      </c>
      <c r="G275" s="107">
        <v>45709.0</v>
      </c>
      <c r="H275" s="10" t="s">
        <v>31</v>
      </c>
      <c r="I275" s="16" t="s">
        <v>350</v>
      </c>
      <c r="J275" s="16" t="s">
        <v>43</v>
      </c>
      <c r="K275" s="23" t="s">
        <v>33</v>
      </c>
      <c r="L275" s="31">
        <v>500.0</v>
      </c>
      <c r="N275" s="16"/>
      <c r="O275" s="16"/>
      <c r="P275" s="16" t="s">
        <v>34</v>
      </c>
      <c r="Q275" s="17">
        <f t="shared" si="1"/>
        <v>45681</v>
      </c>
      <c r="R275" s="18">
        <f t="shared" ref="R275:R276" si="51">L275*0.3</f>
        <v>150</v>
      </c>
      <c r="S275" s="20"/>
      <c r="T275" s="68" t="str">
        <f>VLOOKUP(A275,'Calendar ID'!$A:$C,3,false)</f>
        <v>hidaya.7bl@gmail.com </v>
      </c>
      <c r="U275" s="69" t="b">
        <v>0</v>
      </c>
      <c r="V275" s="70" t="s">
        <v>82</v>
      </c>
      <c r="W275" s="69" t="b">
        <v>1</v>
      </c>
      <c r="X275" s="70" t="s">
        <v>82</v>
      </c>
    </row>
    <row r="276" hidden="1">
      <c r="A276" s="16" t="s">
        <v>110</v>
      </c>
      <c r="B276" s="17">
        <v>45674.0</v>
      </c>
      <c r="C276" s="16" t="s">
        <v>64</v>
      </c>
      <c r="E276" s="107">
        <v>45707.0</v>
      </c>
      <c r="F276" s="17"/>
      <c r="G276" s="107">
        <v>45715.0</v>
      </c>
      <c r="H276" s="10" t="s">
        <v>31</v>
      </c>
      <c r="J276" s="16" t="s">
        <v>43</v>
      </c>
      <c r="K276" s="23" t="s">
        <v>33</v>
      </c>
      <c r="L276" s="31">
        <v>970.0</v>
      </c>
      <c r="N276" s="65" t="s">
        <v>354</v>
      </c>
      <c r="P276" s="16" t="s">
        <v>34</v>
      </c>
      <c r="Q276" s="17">
        <f t="shared" si="1"/>
        <v>45674</v>
      </c>
      <c r="R276" s="18">
        <f t="shared" si="51"/>
        <v>291</v>
      </c>
      <c r="S276" s="20"/>
      <c r="T276" s="68" t="str">
        <f>VLOOKUP(A276,'Calendar ID'!$A:$C,3,false)</f>
        <v>terpperrine@gmail.com</v>
      </c>
      <c r="U276" s="77" t="b">
        <v>1</v>
      </c>
      <c r="V276" s="70" t="s">
        <v>82</v>
      </c>
      <c r="W276" s="77" t="b">
        <v>1</v>
      </c>
      <c r="X276" s="70" t="s">
        <v>82</v>
      </c>
    </row>
    <row r="277" hidden="1">
      <c r="A277" s="16" t="s">
        <v>42</v>
      </c>
      <c r="B277" s="17">
        <v>45700.0</v>
      </c>
      <c r="C277" s="16" t="s">
        <v>355</v>
      </c>
      <c r="E277" s="107">
        <v>45708.0</v>
      </c>
      <c r="G277" s="107">
        <v>45710.0</v>
      </c>
      <c r="H277" s="10" t="s">
        <v>31</v>
      </c>
      <c r="I277" s="16" t="s">
        <v>356</v>
      </c>
      <c r="J277" s="16" t="s">
        <v>43</v>
      </c>
      <c r="K277" s="16" t="s">
        <v>33</v>
      </c>
      <c r="L277" s="31">
        <v>600.0</v>
      </c>
      <c r="N277" s="16"/>
      <c r="O277" s="16"/>
      <c r="P277" s="23" t="s">
        <v>34</v>
      </c>
      <c r="Q277" s="17">
        <f t="shared" si="1"/>
        <v>45700</v>
      </c>
      <c r="R277" s="18">
        <f t="shared" ref="R277:R278" si="52">L277*0.25</f>
        <v>150</v>
      </c>
      <c r="S277" s="20"/>
      <c r="T277" s="68" t="str">
        <f>VLOOKUP(A277,'Calendar ID'!$A:$C,3,false)</f>
        <v>cmepls.pro@gmail.com</v>
      </c>
      <c r="U277" s="69" t="b">
        <v>1</v>
      </c>
      <c r="V277" s="70" t="s">
        <v>82</v>
      </c>
      <c r="W277" s="69" t="b">
        <v>1</v>
      </c>
      <c r="X277" s="70" t="s">
        <v>82</v>
      </c>
    </row>
    <row r="278" hidden="1">
      <c r="A278" s="16" t="s">
        <v>290</v>
      </c>
      <c r="B278" s="17">
        <v>45684.0</v>
      </c>
      <c r="C278" s="16" t="s">
        <v>357</v>
      </c>
      <c r="E278" s="107">
        <v>45708.0</v>
      </c>
      <c r="G278" s="107">
        <v>45713.0</v>
      </c>
      <c r="H278" s="10" t="s">
        <v>31</v>
      </c>
      <c r="J278" s="16" t="s">
        <v>43</v>
      </c>
      <c r="K278" s="23" t="s">
        <v>33</v>
      </c>
      <c r="L278" s="31">
        <v>700.0</v>
      </c>
      <c r="N278" s="16"/>
      <c r="O278" s="16"/>
      <c r="P278" s="16" t="s">
        <v>34</v>
      </c>
      <c r="Q278" s="17">
        <f t="shared" si="1"/>
        <v>45684</v>
      </c>
      <c r="R278" s="18">
        <f t="shared" si="52"/>
        <v>175</v>
      </c>
      <c r="S278" s="20"/>
      <c r="T278" s="68" t="str">
        <f>VLOOKUP(A278,'Calendar ID'!$A:$C,3,false)</f>
        <v>hello.gurbet@gmail.com </v>
      </c>
      <c r="U278" s="77" t="b">
        <v>1</v>
      </c>
      <c r="V278" s="70" t="s">
        <v>82</v>
      </c>
      <c r="W278" s="77" t="b">
        <v>1</v>
      </c>
      <c r="X278" s="70" t="s">
        <v>82</v>
      </c>
    </row>
    <row r="279" hidden="1">
      <c r="A279" s="16" t="s">
        <v>290</v>
      </c>
      <c r="B279" s="17">
        <v>45684.0</v>
      </c>
      <c r="C279" s="16" t="s">
        <v>191</v>
      </c>
      <c r="E279" s="107">
        <v>45709.0</v>
      </c>
      <c r="G279" s="17"/>
      <c r="H279" s="10" t="s">
        <v>31</v>
      </c>
      <c r="J279" s="16" t="s">
        <v>43</v>
      </c>
      <c r="K279" s="23" t="s">
        <v>33</v>
      </c>
      <c r="L279" s="31">
        <v>2000.0</v>
      </c>
      <c r="N279" s="16"/>
      <c r="P279" s="16" t="s">
        <v>34</v>
      </c>
      <c r="Q279" s="17">
        <f t="shared" si="1"/>
        <v>45684</v>
      </c>
      <c r="R279" s="18">
        <f t="shared" ref="R279:R280" si="53">L279*0.3</f>
        <v>600</v>
      </c>
      <c r="S279" s="20"/>
      <c r="T279" s="68" t="str">
        <f>VLOOKUP(A279,'Calendar ID'!$A:$C,3,false)</f>
        <v>hello.gurbet@gmail.com </v>
      </c>
      <c r="U279" s="77" t="b">
        <v>1</v>
      </c>
      <c r="V279" s="70" t="s">
        <v>82</v>
      </c>
      <c r="W279" s="77" t="b">
        <v>0</v>
      </c>
      <c r="X279" s="68" t="str">
        <f>VLOOKUP($A279,'Calendar ID'!$A:$C,2,false)</f>
        <v>c_db1fbd259183311b30d5bfa9e5494d85e4aa71562c2d699763ba11e15f3e8a3b@group.calendar.google.com</v>
      </c>
    </row>
    <row r="280" hidden="1">
      <c r="A280" s="16" t="s">
        <v>215</v>
      </c>
      <c r="B280" s="17">
        <v>45706.0</v>
      </c>
      <c r="C280" s="16" t="s">
        <v>358</v>
      </c>
      <c r="E280" s="107">
        <v>45709.0</v>
      </c>
      <c r="G280" s="107">
        <v>45713.0</v>
      </c>
      <c r="H280" s="10" t="s">
        <v>31</v>
      </c>
      <c r="J280" s="16" t="s">
        <v>43</v>
      </c>
      <c r="K280" s="16" t="s">
        <v>33</v>
      </c>
      <c r="L280" s="31">
        <v>800.0</v>
      </c>
      <c r="N280" s="16"/>
      <c r="O280" s="16" t="s">
        <v>359</v>
      </c>
      <c r="P280" s="23" t="s">
        <v>34</v>
      </c>
      <c r="Q280" s="17">
        <f t="shared" si="1"/>
        <v>45706</v>
      </c>
      <c r="R280" s="18">
        <f t="shared" si="53"/>
        <v>240</v>
      </c>
      <c r="S280" s="20"/>
      <c r="T280" s="68" t="str">
        <f>VLOOKUP(A280,'Calendar ID'!$A:$C,3,false)</f>
        <v>iimslmapro@outlook.fr</v>
      </c>
      <c r="U280" s="71" t="b">
        <v>0</v>
      </c>
      <c r="V280" s="68" t="str">
        <f>VLOOKUP($A280,'Calendar ID'!$A:$C,2,false)</f>
        <v>c_a80d776e58d8881ef4e876da99555e813842eeed9733f23e6f4b85d237e1fdec@group.calendar.google.com</v>
      </c>
      <c r="W280" s="69" t="b">
        <v>1</v>
      </c>
      <c r="X280" s="70" t="s">
        <v>82</v>
      </c>
    </row>
    <row r="281" hidden="1">
      <c r="A281" s="16" t="s">
        <v>213</v>
      </c>
      <c r="B281" s="17">
        <v>45686.0</v>
      </c>
      <c r="C281" s="16" t="s">
        <v>167</v>
      </c>
      <c r="E281" s="107">
        <v>45711.0</v>
      </c>
      <c r="G281" s="107">
        <v>45713.0</v>
      </c>
      <c r="H281" s="10" t="s">
        <v>31</v>
      </c>
      <c r="I281" s="16" t="s">
        <v>360</v>
      </c>
      <c r="J281" s="16" t="s">
        <v>43</v>
      </c>
      <c r="K281" s="23" t="s">
        <v>33</v>
      </c>
      <c r="L281" s="31">
        <v>1200.0</v>
      </c>
      <c r="N281" s="16"/>
      <c r="O281" s="16"/>
      <c r="P281" s="16" t="s">
        <v>34</v>
      </c>
      <c r="Q281" s="17">
        <f t="shared" si="1"/>
        <v>45686</v>
      </c>
      <c r="R281" s="18">
        <f>L281*0.25</f>
        <v>300</v>
      </c>
      <c r="S281" s="20"/>
      <c r="T281" s="68" t="str">
        <f>VLOOKUP(A281,'Calendar ID'!$A:$C,3,false)</f>
        <v>anaiswry@yahoo.fr</v>
      </c>
      <c r="U281" s="77" t="b">
        <v>1</v>
      </c>
      <c r="V281" s="70" t="s">
        <v>82</v>
      </c>
      <c r="W281" s="77" t="b">
        <v>0</v>
      </c>
      <c r="X281" s="68" t="str">
        <f>VLOOKUP($A281,'Calendar ID'!$A:$C,2,false)</f>
        <v>c_2754856c5047affc6767bb85fb787591389bf7d14d3afd368efdff9979492ab5@group.calendar.google.com</v>
      </c>
    </row>
    <row r="282" hidden="1">
      <c r="A282" s="16" t="s">
        <v>45</v>
      </c>
      <c r="B282" s="17">
        <v>45666.0</v>
      </c>
      <c r="C282" s="16" t="s">
        <v>304</v>
      </c>
      <c r="E282" s="107">
        <v>45715.0</v>
      </c>
      <c r="F282" s="17"/>
      <c r="G282" s="86">
        <v>45701.0</v>
      </c>
      <c r="H282" s="10" t="s">
        <v>31</v>
      </c>
      <c r="I282" s="16" t="s">
        <v>361</v>
      </c>
      <c r="J282" s="16" t="s">
        <v>43</v>
      </c>
      <c r="K282" s="23" t="s">
        <v>33</v>
      </c>
      <c r="L282" s="31">
        <v>700.0</v>
      </c>
      <c r="N282" s="16"/>
      <c r="O282" s="16" t="s">
        <v>362</v>
      </c>
      <c r="P282" s="16" t="s">
        <v>34</v>
      </c>
      <c r="Q282" s="17">
        <f t="shared" si="1"/>
        <v>45666</v>
      </c>
      <c r="R282" s="18">
        <f t="shared" ref="R282:R289" si="54">L282*0.3</f>
        <v>210</v>
      </c>
      <c r="S282" s="20"/>
      <c r="T282" s="68" t="str">
        <f>VLOOKUP(A282,'Calendar ID'!$A:$C,3,false)</f>
        <v>lilyy.nl@grapperagency.com</v>
      </c>
      <c r="U282" s="69" t="b">
        <v>1</v>
      </c>
      <c r="V282" s="70" t="s">
        <v>82</v>
      </c>
      <c r="W282" s="69" t="b">
        <v>0</v>
      </c>
      <c r="X282" s="68" t="str">
        <f>VLOOKUP($A282,'Calendar ID'!$A:$C,2,false)</f>
        <v>c_665764ca21c8e4b3814e25bf24bc7074fa55890dce5d4073abb0fdddc70649d4@group.calendar.google.com</v>
      </c>
    </row>
    <row r="283" hidden="1">
      <c r="A283" s="16" t="s">
        <v>110</v>
      </c>
      <c r="B283" s="17">
        <v>45702.0</v>
      </c>
      <c r="C283" s="16" t="s">
        <v>160</v>
      </c>
      <c r="E283" s="107">
        <v>45712.0</v>
      </c>
      <c r="G283" s="107">
        <v>45713.0</v>
      </c>
      <c r="H283" s="10" t="s">
        <v>31</v>
      </c>
      <c r="I283" s="16" t="s">
        <v>363</v>
      </c>
      <c r="J283" s="16" t="s">
        <v>43</v>
      </c>
      <c r="K283" s="16" t="s">
        <v>33</v>
      </c>
      <c r="L283" s="31">
        <v>1850.0</v>
      </c>
      <c r="N283" s="16"/>
      <c r="O283" s="16"/>
      <c r="P283" s="23" t="s">
        <v>34</v>
      </c>
      <c r="Q283" s="17">
        <f t="shared" si="1"/>
        <v>45702</v>
      </c>
      <c r="R283" s="18">
        <f t="shared" si="54"/>
        <v>555</v>
      </c>
      <c r="S283" s="20"/>
      <c r="T283" s="68" t="str">
        <f>VLOOKUP(A283,'Calendar ID'!$A:$C,3,false)</f>
        <v>terpperrine@gmail.com</v>
      </c>
      <c r="U283" s="69" t="b">
        <v>1</v>
      </c>
      <c r="V283" s="70" t="s">
        <v>82</v>
      </c>
      <c r="W283" s="69" t="b">
        <v>1</v>
      </c>
      <c r="X283" s="70" t="s">
        <v>82</v>
      </c>
    </row>
    <row r="284" hidden="1">
      <c r="A284" s="16" t="s">
        <v>353</v>
      </c>
      <c r="B284" s="17">
        <v>45673.0</v>
      </c>
      <c r="C284" s="16" t="s">
        <v>304</v>
      </c>
      <c r="E284" s="107">
        <v>45717.0</v>
      </c>
      <c r="F284" s="17"/>
      <c r="G284" s="86">
        <v>45701.0</v>
      </c>
      <c r="H284" s="10" t="s">
        <v>31</v>
      </c>
      <c r="J284" s="16" t="s">
        <v>43</v>
      </c>
      <c r="K284" s="23" t="s">
        <v>33</v>
      </c>
      <c r="L284" s="31">
        <v>1200.0</v>
      </c>
      <c r="N284" s="16"/>
      <c r="O284" s="16"/>
      <c r="P284" s="23" t="s">
        <v>34</v>
      </c>
      <c r="Q284" s="17">
        <f t="shared" si="1"/>
        <v>45673</v>
      </c>
      <c r="R284" s="15">
        <f t="shared" si="54"/>
        <v>360</v>
      </c>
      <c r="S284" s="20"/>
      <c r="T284" s="68" t="str">
        <f>VLOOKUP(A284,'Calendar ID'!$A:$C,3,false)</f>
        <v>hidaya.7bl@gmail.com </v>
      </c>
      <c r="U284" s="69" t="b">
        <v>0</v>
      </c>
      <c r="V284" s="70" t="s">
        <v>82</v>
      </c>
      <c r="W284" s="71" t="b">
        <v>0</v>
      </c>
      <c r="X284" s="68" t="str">
        <f>VLOOKUP($A284,'Calendar ID'!$A:$C,2,false)</f>
        <v>c_056be6e79a6fa62e8f2a68280313995615b47a17f2b3679481d262413ec95701@group.calendar.google.com</v>
      </c>
    </row>
    <row r="285" hidden="1">
      <c r="A285" s="16" t="s">
        <v>290</v>
      </c>
      <c r="B285" s="17">
        <v>45684.0</v>
      </c>
      <c r="C285" s="16" t="s">
        <v>37</v>
      </c>
      <c r="E285" s="107">
        <v>45713.0</v>
      </c>
      <c r="F285" s="17"/>
      <c r="G285" s="17"/>
      <c r="H285" s="10" t="s">
        <v>31</v>
      </c>
      <c r="J285" s="16" t="s">
        <v>43</v>
      </c>
      <c r="K285" s="23" t="s">
        <v>33</v>
      </c>
      <c r="L285" s="31">
        <v>400.0</v>
      </c>
      <c r="N285" s="16"/>
      <c r="O285" s="16"/>
      <c r="P285" s="16" t="s">
        <v>34</v>
      </c>
      <c r="Q285" s="17">
        <f t="shared" si="1"/>
        <v>45684</v>
      </c>
      <c r="R285" s="18">
        <f t="shared" si="54"/>
        <v>120</v>
      </c>
      <c r="S285" s="20"/>
      <c r="T285" s="68" t="str">
        <f>VLOOKUP(A285,'Calendar ID'!$A:$C,3,false)</f>
        <v>hello.gurbet@gmail.com </v>
      </c>
      <c r="U285" s="77" t="b">
        <v>0</v>
      </c>
      <c r="V285" s="68" t="str">
        <f>VLOOKUP($A285,'Calendar ID'!$A:$C,2,false)</f>
        <v>c_db1fbd259183311b30d5bfa9e5494d85e4aa71562c2d699763ba11e15f3e8a3b@group.calendar.google.com</v>
      </c>
      <c r="W285" s="77" t="b">
        <v>0</v>
      </c>
      <c r="X285" s="68" t="str">
        <f>VLOOKUP($A285,'Calendar ID'!$A:$C,2,false)</f>
        <v>c_db1fbd259183311b30d5bfa9e5494d85e4aa71562c2d699763ba11e15f3e8a3b@group.calendar.google.com</v>
      </c>
    </row>
    <row r="286" hidden="1">
      <c r="A286" s="16" t="s">
        <v>364</v>
      </c>
      <c r="B286" s="17">
        <v>45708.0</v>
      </c>
      <c r="C286" s="16" t="s">
        <v>316</v>
      </c>
      <c r="E286" s="102">
        <v>45728.0</v>
      </c>
      <c r="G286" s="102">
        <v>45726.0</v>
      </c>
      <c r="H286" s="10" t="s">
        <v>31</v>
      </c>
      <c r="I286" s="16" t="s">
        <v>365</v>
      </c>
      <c r="J286" s="16" t="s">
        <v>43</v>
      </c>
      <c r="K286" s="16" t="s">
        <v>33</v>
      </c>
      <c r="L286" s="31">
        <v>600.0</v>
      </c>
      <c r="N286" s="16"/>
      <c r="O286" s="16"/>
      <c r="P286" s="23" t="s">
        <v>34</v>
      </c>
      <c r="Q286" s="17">
        <f t="shared" si="1"/>
        <v>45708</v>
      </c>
      <c r="R286" s="18">
        <f t="shared" si="54"/>
        <v>180</v>
      </c>
      <c r="S286" s="20"/>
      <c r="T286" s="68" t="str">
        <f>VLOOKUP(A286,'Calendar ID'!$A:$C,3,false)</f>
        <v>Sirine.yza@gmail.com</v>
      </c>
      <c r="U286" s="71" t="b">
        <v>0</v>
      </c>
      <c r="V286" s="68" t="str">
        <f>VLOOKUP($A286,'Calendar ID'!$A:$C,2,false)</f>
        <v>c_4bf2087a99450838a520f4ce4fc6de01f87130a4f381347449792eaf1546cc46@group.calendar.google.com</v>
      </c>
      <c r="W286" s="71" t="b">
        <v>0</v>
      </c>
      <c r="X286" s="68" t="str">
        <f>VLOOKUP($A286,'Calendar ID'!$A:$C,2,false)</f>
        <v>c_4bf2087a99450838a520f4ce4fc6de01f87130a4f381347449792eaf1546cc46@group.calendar.google.com</v>
      </c>
    </row>
    <row r="287" hidden="1">
      <c r="A287" s="16" t="s">
        <v>237</v>
      </c>
      <c r="B287" s="17">
        <v>45703.0</v>
      </c>
      <c r="C287" s="16" t="s">
        <v>245</v>
      </c>
      <c r="D287" s="16" t="s">
        <v>366</v>
      </c>
      <c r="E287" s="94">
        <v>45718.0</v>
      </c>
      <c r="F287" s="107">
        <v>45717.0</v>
      </c>
      <c r="G287" s="28">
        <v>45747.0</v>
      </c>
      <c r="H287" s="10" t="s">
        <v>31</v>
      </c>
      <c r="J287" s="16" t="s">
        <v>43</v>
      </c>
      <c r="K287" s="16" t="s">
        <v>33</v>
      </c>
      <c r="L287" s="31">
        <v>300.0</v>
      </c>
      <c r="N287" s="16"/>
      <c r="O287" s="16"/>
      <c r="P287" s="23" t="s">
        <v>34</v>
      </c>
      <c r="Q287" s="17">
        <f t="shared" si="1"/>
        <v>45703</v>
      </c>
      <c r="R287" s="18">
        <f t="shared" si="54"/>
        <v>90</v>
      </c>
      <c r="S287" s="20"/>
      <c r="T287" s="68" t="str">
        <f>VLOOKUP(A287,'Calendar ID'!$A:$C,3,false)</f>
        <v>shaaadl.pro@gmail.com</v>
      </c>
      <c r="U287" s="71" t="b">
        <v>0</v>
      </c>
      <c r="V287" s="68" t="str">
        <f>VLOOKUP($A287,'Calendar ID'!$A:$C,2,false)</f>
        <v>c_9384058245a0bc66157c09691047ea8f88622323c6761b8606c18d9b08ee0bf8@group.calendar.google.com</v>
      </c>
      <c r="W287" s="71" t="b">
        <v>0</v>
      </c>
      <c r="X287" s="68" t="str">
        <f>VLOOKUP($A287,'Calendar ID'!$A:$C,2,false)</f>
        <v>c_9384058245a0bc66157c09691047ea8f88622323c6761b8606c18d9b08ee0bf8@group.calendar.google.com</v>
      </c>
    </row>
    <row r="288" hidden="1">
      <c r="A288" s="16" t="s">
        <v>91</v>
      </c>
      <c r="B288" s="17">
        <v>45625.0</v>
      </c>
      <c r="C288" s="16" t="s">
        <v>245</v>
      </c>
      <c r="D288" s="16" t="s">
        <v>250</v>
      </c>
      <c r="E288" s="98">
        <v>45677.0</v>
      </c>
      <c r="G288" s="17"/>
      <c r="H288" s="10" t="s">
        <v>31</v>
      </c>
      <c r="I288" s="16" t="s">
        <v>313</v>
      </c>
      <c r="J288" s="16" t="s">
        <v>43</v>
      </c>
      <c r="K288" s="23" t="s">
        <v>33</v>
      </c>
      <c r="L288" s="31">
        <v>300.0</v>
      </c>
      <c r="N288" s="16"/>
      <c r="O288" s="16"/>
      <c r="P288" s="23" t="s">
        <v>34</v>
      </c>
      <c r="Q288" s="17">
        <f t="shared" si="1"/>
        <v>45625</v>
      </c>
      <c r="R288" s="18">
        <f t="shared" si="54"/>
        <v>90</v>
      </c>
      <c r="S288" s="20"/>
      <c r="T288" s="68" t="str">
        <f>VLOOKUP(A288,'Calendar ID'!$A:$C,3,false)</f>
        <v>juliane.bernard57@icloud.com</v>
      </c>
      <c r="U288" s="71" t="b">
        <v>0</v>
      </c>
      <c r="V288" s="68" t="str">
        <f>VLOOKUP($A288,'Calendar ID'!$A:$C,2,false)</f>
        <v>c_f6970d92e9be72b1307e3c015a265d69ae87140c691e7728bc83462544d82455@group.calendar.google.com</v>
      </c>
      <c r="W288" s="71" t="b">
        <v>0</v>
      </c>
      <c r="X288" s="68" t="str">
        <f>VLOOKUP($A288,'Calendar ID'!$A:$C,2,false)</f>
        <v>c_f6970d92e9be72b1307e3c015a265d69ae87140c691e7728bc83462544d82455@group.calendar.google.com</v>
      </c>
    </row>
    <row r="289" hidden="1">
      <c r="A289" s="16" t="s">
        <v>213</v>
      </c>
      <c r="B289" s="17">
        <v>45694.0</v>
      </c>
      <c r="C289" s="16" t="s">
        <v>311</v>
      </c>
      <c r="E289" s="107">
        <v>45716.0</v>
      </c>
      <c r="G289" s="94">
        <v>45720.0</v>
      </c>
      <c r="H289" s="10" t="s">
        <v>31</v>
      </c>
      <c r="J289" s="16" t="s">
        <v>43</v>
      </c>
      <c r="K289" s="16" t="s">
        <v>33</v>
      </c>
      <c r="L289" s="31">
        <v>500.0</v>
      </c>
      <c r="N289" s="16"/>
      <c r="O289" s="16"/>
      <c r="P289" s="23" t="s">
        <v>34</v>
      </c>
      <c r="Q289" s="17">
        <f t="shared" si="1"/>
        <v>45694</v>
      </c>
      <c r="R289" s="18">
        <f t="shared" si="54"/>
        <v>150</v>
      </c>
      <c r="S289" s="20"/>
      <c r="T289" s="68" t="str">
        <f>VLOOKUP(A289,'Calendar ID'!$A:$C,3,false)</f>
        <v>anaiswry@yahoo.fr</v>
      </c>
      <c r="U289" s="69" t="b">
        <v>0</v>
      </c>
      <c r="V289" s="68" t="str">
        <f>VLOOKUP($A289,'Calendar ID'!$A:$C,2,false)</f>
        <v>c_2754856c5047affc6767bb85fb787591389bf7d14d3afd368efdff9979492ab5@group.calendar.google.com</v>
      </c>
      <c r="W289" s="69" t="b">
        <v>0</v>
      </c>
      <c r="X289" s="68" t="str">
        <f>VLOOKUP($A289,'Calendar ID'!$A:$C,2,false)</f>
        <v>c_2754856c5047affc6767bb85fb787591389bf7d14d3afd368efdff9979492ab5@group.calendar.google.com</v>
      </c>
    </row>
    <row r="290" hidden="1">
      <c r="A290" s="111" t="s">
        <v>29</v>
      </c>
      <c r="B290" s="112">
        <v>45703.0</v>
      </c>
      <c r="C290" s="111" t="s">
        <v>245</v>
      </c>
      <c r="D290" s="111" t="s">
        <v>366</v>
      </c>
      <c r="E290" s="94">
        <v>45721.0</v>
      </c>
      <c r="F290" s="107">
        <v>45717.0</v>
      </c>
      <c r="G290" s="28">
        <v>45747.0</v>
      </c>
      <c r="H290" s="10" t="s">
        <v>31</v>
      </c>
      <c r="I290" s="113"/>
      <c r="J290" s="111" t="s">
        <v>43</v>
      </c>
      <c r="K290" s="111" t="s">
        <v>33</v>
      </c>
      <c r="L290" s="114">
        <v>200.0</v>
      </c>
      <c r="M290" s="113"/>
      <c r="N290" s="111"/>
      <c r="O290" s="111"/>
      <c r="P290" s="115" t="s">
        <v>34</v>
      </c>
      <c r="Q290" s="17">
        <f t="shared" si="1"/>
        <v>45703</v>
      </c>
      <c r="R290" s="76">
        <f>L290*0.2</f>
        <v>40</v>
      </c>
      <c r="S290" s="116"/>
      <c r="T290" s="117" t="str">
        <f>VLOOKUP(A290,'Calendar ID'!$A:$C,3,false)</f>
        <v>pauline@grapperagency.com</v>
      </c>
      <c r="U290" s="118" t="b">
        <v>0</v>
      </c>
      <c r="V290" s="117" t="str">
        <f>VLOOKUP($A290,'Calendar ID'!$A:$C,2,false)</f>
        <v>c_a715193c206b2aa1e4b81b8a3772df33bf92c92611202a890a6bccecb2131fcb@group.calendar.google.com</v>
      </c>
      <c r="W290" s="118" t="b">
        <v>0</v>
      </c>
      <c r="X290" s="117" t="str">
        <f>VLOOKUP($A290,'Calendar ID'!$A:$C,2,false)</f>
        <v>c_a715193c206b2aa1e4b81b8a3772df33bf92c92611202a890a6bccecb2131fcb@group.calendar.google.com</v>
      </c>
      <c r="Y290" s="113"/>
      <c r="Z290" s="113"/>
      <c r="AA290" s="113"/>
      <c r="AB290" s="113"/>
      <c r="AC290" s="113"/>
    </row>
    <row r="291" hidden="1">
      <c r="A291" s="16" t="s">
        <v>353</v>
      </c>
      <c r="B291" s="17">
        <v>45702.0</v>
      </c>
      <c r="C291" s="16" t="s">
        <v>367</v>
      </c>
      <c r="E291" s="107">
        <v>45717.0</v>
      </c>
      <c r="G291" s="94">
        <v>45720.0</v>
      </c>
      <c r="H291" s="10" t="s">
        <v>31</v>
      </c>
      <c r="J291" s="16" t="s">
        <v>43</v>
      </c>
      <c r="K291" s="16" t="s">
        <v>33</v>
      </c>
      <c r="L291" s="31">
        <v>1250.0</v>
      </c>
      <c r="N291" s="16"/>
      <c r="O291" s="16"/>
      <c r="P291" s="23" t="s">
        <v>34</v>
      </c>
      <c r="Q291" s="17">
        <f t="shared" si="1"/>
        <v>45702</v>
      </c>
      <c r="R291" s="18">
        <f t="shared" ref="R291:R297" si="55">L291*0.3</f>
        <v>375</v>
      </c>
      <c r="S291" s="20"/>
      <c r="T291" s="68" t="str">
        <f>VLOOKUP(A291,'Calendar ID'!$A:$C,3,false)</f>
        <v>hidaya.7bl@gmail.com </v>
      </c>
      <c r="U291" s="69" t="b">
        <v>0</v>
      </c>
      <c r="V291" s="68" t="str">
        <f>VLOOKUP($A291,'Calendar ID'!$A:$C,2,false)</f>
        <v>c_056be6e79a6fa62e8f2a68280313995615b47a17f2b3679481d262413ec95701@group.calendar.google.com</v>
      </c>
      <c r="W291" s="69" t="b">
        <v>0</v>
      </c>
      <c r="X291" s="68" t="str">
        <f>VLOOKUP($A291,'Calendar ID'!$A:$C,2,false)</f>
        <v>c_056be6e79a6fa62e8f2a68280313995615b47a17f2b3679481d262413ec95701@group.calendar.google.com</v>
      </c>
    </row>
    <row r="292" hidden="1">
      <c r="A292" s="16" t="s">
        <v>368</v>
      </c>
      <c r="B292" s="17">
        <v>45703.0</v>
      </c>
      <c r="C292" s="16" t="s">
        <v>245</v>
      </c>
      <c r="D292" s="16" t="s">
        <v>369</v>
      </c>
      <c r="E292" s="94">
        <v>45723.0</v>
      </c>
      <c r="G292" s="102">
        <v>45731.0</v>
      </c>
      <c r="H292" s="10" t="s">
        <v>31</v>
      </c>
      <c r="J292" s="16" t="s">
        <v>43</v>
      </c>
      <c r="K292" s="16" t="s">
        <v>33</v>
      </c>
      <c r="L292" s="31">
        <v>300.0</v>
      </c>
      <c r="N292" s="65" t="s">
        <v>370</v>
      </c>
      <c r="O292" s="16"/>
      <c r="P292" s="23" t="s">
        <v>34</v>
      </c>
      <c r="Q292" s="17">
        <f t="shared" si="1"/>
        <v>45703</v>
      </c>
      <c r="R292" s="18">
        <f t="shared" si="55"/>
        <v>90</v>
      </c>
      <c r="S292" s="20"/>
      <c r="T292" s="68" t="str">
        <f>VLOOKUP(A292,'Calendar ID'!$A:$C,3,false)</f>
        <v>aubeneauu@gmail.com </v>
      </c>
      <c r="U292" s="69" t="b">
        <v>1</v>
      </c>
      <c r="V292" s="70" t="s">
        <v>82</v>
      </c>
      <c r="W292" s="69" t="b">
        <v>1</v>
      </c>
      <c r="X292" s="70" t="s">
        <v>82</v>
      </c>
    </row>
    <row r="293" hidden="1">
      <c r="A293" s="16" t="s">
        <v>244</v>
      </c>
      <c r="B293" s="17">
        <v>45625.0</v>
      </c>
      <c r="C293" s="16" t="s">
        <v>245</v>
      </c>
      <c r="D293" s="16" t="s">
        <v>369</v>
      </c>
      <c r="E293" s="119">
        <v>45724.0</v>
      </c>
      <c r="F293" s="8"/>
      <c r="G293" s="120">
        <v>45728.0</v>
      </c>
      <c r="H293" s="10" t="s">
        <v>31</v>
      </c>
      <c r="J293" s="16" t="s">
        <v>43</v>
      </c>
      <c r="K293" s="23" t="s">
        <v>33</v>
      </c>
      <c r="L293" s="31">
        <v>300.0</v>
      </c>
      <c r="N293" s="65" t="s">
        <v>370</v>
      </c>
      <c r="O293" s="16"/>
      <c r="P293" s="23" t="s">
        <v>34</v>
      </c>
      <c r="Q293" s="17">
        <f t="shared" si="1"/>
        <v>45625</v>
      </c>
      <c r="R293" s="18">
        <f t="shared" si="55"/>
        <v>90</v>
      </c>
      <c r="S293" s="20"/>
      <c r="T293" s="68" t="str">
        <f>VLOOKUP(A293,'Calendar ID'!$A:$C,3,false)</f>
        <v>jasminepro26@icloud.com </v>
      </c>
      <c r="U293" s="69" t="b">
        <v>1</v>
      </c>
      <c r="V293" s="70" t="s">
        <v>82</v>
      </c>
      <c r="W293" s="69" t="b">
        <v>1</v>
      </c>
      <c r="X293" s="70" t="s">
        <v>82</v>
      </c>
    </row>
    <row r="294" hidden="1">
      <c r="A294" s="16" t="s">
        <v>283</v>
      </c>
      <c r="B294" s="17">
        <v>45700.0</v>
      </c>
      <c r="C294" s="16" t="s">
        <v>291</v>
      </c>
      <c r="E294" s="107">
        <v>45717.0</v>
      </c>
      <c r="G294" s="17"/>
      <c r="H294" s="10" t="s">
        <v>31</v>
      </c>
      <c r="J294" s="16" t="s">
        <v>43</v>
      </c>
      <c r="K294" s="16" t="s">
        <v>33</v>
      </c>
      <c r="L294" s="31">
        <v>940.0</v>
      </c>
      <c r="N294" s="16"/>
      <c r="O294" s="16"/>
      <c r="P294" s="23" t="s">
        <v>34</v>
      </c>
      <c r="Q294" s="17">
        <f t="shared" si="1"/>
        <v>45700</v>
      </c>
      <c r="R294" s="18">
        <f t="shared" si="55"/>
        <v>282</v>
      </c>
      <c r="S294" s="20"/>
      <c r="T294" s="68" t="str">
        <f>VLOOKUP(A294,'Calendar ID'!$A:$C,3,false)</f>
        <v>moped@grapperagency.com</v>
      </c>
      <c r="U294" s="69" t="b">
        <v>0</v>
      </c>
      <c r="V294" s="68" t="str">
        <f>VLOOKUP($A294,'Calendar ID'!$A:$C,2,false)</f>
        <v>c_82243c858a94977b161cc883035793aa376a03b467dcc33d001d9ca49835cdb3@group.calendar.google.com</v>
      </c>
      <c r="W294" s="69" t="b">
        <v>0</v>
      </c>
      <c r="X294" s="68" t="str">
        <f>VLOOKUP($A294,'Calendar ID'!$A:$C,2,false)</f>
        <v>c_82243c858a94977b161cc883035793aa376a03b467dcc33d001d9ca49835cdb3@group.calendar.google.com</v>
      </c>
    </row>
    <row r="295" hidden="1">
      <c r="A295" s="16" t="s">
        <v>290</v>
      </c>
      <c r="B295" s="17">
        <v>45709.0</v>
      </c>
      <c r="C295" s="16" t="s">
        <v>371</v>
      </c>
      <c r="E295" s="94">
        <v>45721.0</v>
      </c>
      <c r="H295" s="10" t="s">
        <v>31</v>
      </c>
      <c r="I295" s="16" t="s">
        <v>372</v>
      </c>
      <c r="J295" s="16" t="s">
        <v>43</v>
      </c>
      <c r="K295" s="16" t="s">
        <v>33</v>
      </c>
      <c r="L295" s="31">
        <v>2500.0</v>
      </c>
      <c r="N295" s="16"/>
      <c r="O295" s="16" t="s">
        <v>373</v>
      </c>
      <c r="P295" s="23" t="s">
        <v>34</v>
      </c>
      <c r="Q295" s="17">
        <f t="shared" si="1"/>
        <v>45709</v>
      </c>
      <c r="R295" s="18">
        <f t="shared" si="55"/>
        <v>750</v>
      </c>
      <c r="S295" s="20"/>
      <c r="T295" s="68" t="str">
        <f>VLOOKUP(A295,'Calendar ID'!$A:$C,3,false)</f>
        <v>hello.gurbet@gmail.com </v>
      </c>
      <c r="U295" s="71" t="b">
        <v>0</v>
      </c>
      <c r="V295" s="68" t="str">
        <f>VLOOKUP($A295,'Calendar ID'!$A:$C,2,false)</f>
        <v>c_db1fbd259183311b30d5bfa9e5494d85e4aa71562c2d699763ba11e15f3e8a3b@group.calendar.google.com</v>
      </c>
      <c r="W295" s="71" t="b">
        <v>0</v>
      </c>
      <c r="X295" s="68" t="str">
        <f>VLOOKUP($A295,'Calendar ID'!$A:$C,2,false)</f>
        <v>c_db1fbd259183311b30d5bfa9e5494d85e4aa71562c2d699763ba11e15f3e8a3b@group.calendar.google.com</v>
      </c>
    </row>
    <row r="296" hidden="1">
      <c r="A296" s="16" t="s">
        <v>213</v>
      </c>
      <c r="B296" s="17">
        <v>45747.0</v>
      </c>
      <c r="C296" s="16" t="s">
        <v>316</v>
      </c>
      <c r="E296" s="33">
        <v>45763.0</v>
      </c>
      <c r="F296" s="17"/>
      <c r="G296" s="35">
        <v>45768.0</v>
      </c>
      <c r="H296" s="10" t="s">
        <v>31</v>
      </c>
      <c r="I296" s="16" t="s">
        <v>374</v>
      </c>
      <c r="J296" s="16" t="s">
        <v>43</v>
      </c>
      <c r="K296" s="16" t="s">
        <v>33</v>
      </c>
      <c r="L296" s="31">
        <v>850.0</v>
      </c>
      <c r="N296" s="16"/>
      <c r="O296" s="16"/>
      <c r="P296" s="10" t="s">
        <v>34</v>
      </c>
      <c r="Q296" s="17">
        <f t="shared" si="1"/>
        <v>45747</v>
      </c>
      <c r="R296" s="18">
        <f t="shared" si="55"/>
        <v>255</v>
      </c>
      <c r="S296" s="20"/>
      <c r="T296" s="68" t="str">
        <f>VLOOKUP(A296,'Calendar ID'!$A:$C,3,false)</f>
        <v>anaiswry@yahoo.fr</v>
      </c>
      <c r="U296" s="69" t="b">
        <v>1</v>
      </c>
      <c r="V296" s="70" t="s">
        <v>82</v>
      </c>
      <c r="W296" s="69" t="b">
        <v>1</v>
      </c>
      <c r="X296" s="70" t="s">
        <v>82</v>
      </c>
    </row>
    <row r="297" hidden="1">
      <c r="A297" s="16" t="s">
        <v>110</v>
      </c>
      <c r="B297" s="17">
        <v>45714.0</v>
      </c>
      <c r="C297" s="16" t="s">
        <v>191</v>
      </c>
      <c r="E297" s="102">
        <v>45725.0</v>
      </c>
      <c r="G297" s="102">
        <v>45729.0</v>
      </c>
      <c r="H297" s="10" t="s">
        <v>31</v>
      </c>
      <c r="I297" s="121" t="s">
        <v>375</v>
      </c>
      <c r="J297" s="16" t="s">
        <v>43</v>
      </c>
      <c r="K297" s="16" t="s">
        <v>33</v>
      </c>
      <c r="L297" s="31">
        <v>1850.0</v>
      </c>
      <c r="N297" s="16"/>
      <c r="O297" s="16"/>
      <c r="P297" s="23" t="s">
        <v>34</v>
      </c>
      <c r="Q297" s="17">
        <f t="shared" si="1"/>
        <v>45714</v>
      </c>
      <c r="R297" s="18">
        <f t="shared" si="55"/>
        <v>555</v>
      </c>
      <c r="S297" s="20"/>
      <c r="T297" s="68" t="str">
        <f>VLOOKUP(A297,'Calendar ID'!$A:$C,3,false)</f>
        <v>terpperrine@gmail.com</v>
      </c>
      <c r="U297" s="71" t="b">
        <v>0</v>
      </c>
      <c r="V297" s="68" t="str">
        <f>VLOOKUP($A297,'Calendar ID'!$A:$C,2,false)</f>
        <v>c_3454aaede6db5cd8de24b4c70b8c6f3570b98e436e1f71e91d12b7a673ab3f97@group.calendar.google.com</v>
      </c>
      <c r="W297" s="69" t="b">
        <v>1</v>
      </c>
      <c r="X297" s="70" t="s">
        <v>82</v>
      </c>
    </row>
    <row r="298" hidden="1">
      <c r="A298" s="16" t="s">
        <v>42</v>
      </c>
      <c r="B298" s="17">
        <v>45714.0</v>
      </c>
      <c r="C298" s="16" t="s">
        <v>376</v>
      </c>
      <c r="E298" s="102">
        <v>45726.0</v>
      </c>
      <c r="G298" s="122">
        <v>45732.0</v>
      </c>
      <c r="H298" s="10" t="s">
        <v>31</v>
      </c>
      <c r="I298" s="16" t="s">
        <v>377</v>
      </c>
      <c r="J298" s="16" t="s">
        <v>43</v>
      </c>
      <c r="K298" s="16" t="s">
        <v>33</v>
      </c>
      <c r="L298" s="31">
        <v>500.0</v>
      </c>
      <c r="N298" s="16"/>
      <c r="O298" s="16"/>
      <c r="P298" s="23" t="s">
        <v>34</v>
      </c>
      <c r="Q298" s="17">
        <f t="shared" si="1"/>
        <v>45714</v>
      </c>
      <c r="R298" s="18">
        <f>L298*0.25</f>
        <v>125</v>
      </c>
      <c r="S298" s="20"/>
      <c r="T298" s="68" t="str">
        <f>VLOOKUP(A298,'Calendar ID'!$A:$C,3,false)</f>
        <v>cmepls.pro@gmail.com</v>
      </c>
      <c r="U298" s="69" t="b">
        <v>1</v>
      </c>
      <c r="V298" s="70" t="s">
        <v>82</v>
      </c>
      <c r="W298" s="69" t="b">
        <v>1</v>
      </c>
      <c r="X298" s="70" t="s">
        <v>82</v>
      </c>
    </row>
    <row r="299" hidden="1">
      <c r="A299" s="16" t="s">
        <v>213</v>
      </c>
      <c r="B299" s="17">
        <v>45716.0</v>
      </c>
      <c r="C299" s="16" t="s">
        <v>376</v>
      </c>
      <c r="E299" s="102">
        <v>45726.0</v>
      </c>
      <c r="G299" s="122">
        <v>45732.0</v>
      </c>
      <c r="H299" s="10" t="s">
        <v>31</v>
      </c>
      <c r="I299" s="16" t="s">
        <v>377</v>
      </c>
      <c r="J299" s="16" t="s">
        <v>43</v>
      </c>
      <c r="K299" s="16" t="s">
        <v>33</v>
      </c>
      <c r="L299" s="31">
        <v>600.0</v>
      </c>
      <c r="N299" s="16"/>
      <c r="O299" s="16"/>
      <c r="P299" s="23" t="s">
        <v>34</v>
      </c>
      <c r="Q299" s="17">
        <f t="shared" si="1"/>
        <v>45716</v>
      </c>
      <c r="R299" s="18">
        <f>L299*0.3</f>
        <v>180</v>
      </c>
      <c r="S299" s="20"/>
      <c r="T299" s="68" t="str">
        <f>VLOOKUP(A299,'Calendar ID'!$A:$C,3,false)</f>
        <v>anaiswry@yahoo.fr</v>
      </c>
      <c r="U299" s="69" t="b">
        <v>1</v>
      </c>
      <c r="V299" s="70" t="s">
        <v>82</v>
      </c>
      <c r="W299" s="69" t="b">
        <v>1</v>
      </c>
      <c r="X299" s="70" t="s">
        <v>82</v>
      </c>
    </row>
    <row r="300" hidden="1">
      <c r="A300" s="16" t="s">
        <v>213</v>
      </c>
      <c r="B300" s="17">
        <v>45713.0</v>
      </c>
      <c r="C300" s="16" t="s">
        <v>93</v>
      </c>
      <c r="E300" s="102">
        <v>45727.0</v>
      </c>
      <c r="F300" s="107">
        <v>45716.0</v>
      </c>
      <c r="G300" s="122">
        <v>45734.0</v>
      </c>
      <c r="H300" s="10" t="s">
        <v>31</v>
      </c>
      <c r="I300" s="16" t="s">
        <v>378</v>
      </c>
      <c r="J300" s="16" t="s">
        <v>43</v>
      </c>
      <c r="K300" s="16" t="s">
        <v>33</v>
      </c>
      <c r="L300" s="31" t="s">
        <v>56</v>
      </c>
      <c r="N300" s="16"/>
      <c r="O300" s="16"/>
      <c r="P300" s="16"/>
      <c r="Q300" s="17">
        <f t="shared" si="1"/>
        <v>45713</v>
      </c>
      <c r="S300" s="20"/>
      <c r="T300" s="68" t="str">
        <f>VLOOKUP(A300,'Calendar ID'!$A:$C,3,false)</f>
        <v>anaiswry@yahoo.fr</v>
      </c>
      <c r="U300" s="69" t="b">
        <v>1</v>
      </c>
      <c r="V300" s="70" t="s">
        <v>82</v>
      </c>
      <c r="W300" s="71" t="b">
        <v>0</v>
      </c>
      <c r="X300" s="68" t="str">
        <f>VLOOKUP($A300,'Calendar ID'!$A:$C,2,false)</f>
        <v>c_2754856c5047affc6767bb85fb787591389bf7d14d3afd368efdff9979492ab5@group.calendar.google.com</v>
      </c>
    </row>
    <row r="301" hidden="1">
      <c r="A301" s="16" t="s">
        <v>280</v>
      </c>
      <c r="B301" s="17">
        <v>45703.0</v>
      </c>
      <c r="C301" s="16" t="s">
        <v>245</v>
      </c>
      <c r="D301" s="16" t="s">
        <v>369</v>
      </c>
      <c r="E301" s="102">
        <v>45730.0</v>
      </c>
      <c r="G301" s="122">
        <v>45738.0</v>
      </c>
      <c r="H301" s="10" t="s">
        <v>31</v>
      </c>
      <c r="J301" s="16" t="s">
        <v>43</v>
      </c>
      <c r="K301" s="16" t="s">
        <v>33</v>
      </c>
      <c r="L301" s="31">
        <v>200.0</v>
      </c>
      <c r="N301" s="16"/>
      <c r="O301" s="16"/>
      <c r="P301" s="23" t="s">
        <v>34</v>
      </c>
      <c r="Q301" s="17">
        <f t="shared" si="1"/>
        <v>45703</v>
      </c>
      <c r="R301" s="18">
        <f t="shared" ref="R301:R303" si="56">L301*0.3</f>
        <v>60</v>
      </c>
      <c r="S301" s="20"/>
      <c r="T301" s="68" t="str">
        <f>VLOOKUP(A301,'Calendar ID'!$A:$C,3,false)</f>
        <v>ciman530@gmail.com</v>
      </c>
      <c r="U301" s="71" t="b">
        <v>0</v>
      </c>
      <c r="V301" s="68" t="str">
        <f>VLOOKUP($A301,'Calendar ID'!$A:$C,2,false)</f>
        <v>c_0d9eaa4cfb55a8e552117f53a91a7c3c2f5164632253d0e265f7de4e3a4737c4@group.calendar.google.com</v>
      </c>
      <c r="W301" s="71" t="b">
        <v>0</v>
      </c>
      <c r="X301" s="68" t="str">
        <f>VLOOKUP($A301,'Calendar ID'!$A:$C,2,false)</f>
        <v>c_0d9eaa4cfb55a8e552117f53a91a7c3c2f5164632253d0e265f7de4e3a4737c4@group.calendar.google.com</v>
      </c>
    </row>
    <row r="302" hidden="1">
      <c r="A302" s="16" t="s">
        <v>91</v>
      </c>
      <c r="B302" s="17">
        <v>45747.0</v>
      </c>
      <c r="C302" s="16" t="s">
        <v>316</v>
      </c>
      <c r="E302" s="35">
        <v>45769.0</v>
      </c>
      <c r="F302" s="17"/>
      <c r="G302" s="35">
        <v>45770.0</v>
      </c>
      <c r="H302" s="10" t="s">
        <v>31</v>
      </c>
      <c r="I302" s="16" t="s">
        <v>379</v>
      </c>
      <c r="J302" s="16" t="s">
        <v>43</v>
      </c>
      <c r="K302" s="16" t="s">
        <v>33</v>
      </c>
      <c r="L302" s="31">
        <v>400.0</v>
      </c>
      <c r="N302" s="65" t="s">
        <v>380</v>
      </c>
      <c r="O302" s="16"/>
      <c r="P302" s="10" t="s">
        <v>34</v>
      </c>
      <c r="Q302" s="17">
        <f t="shared" si="1"/>
        <v>45747</v>
      </c>
      <c r="R302" s="18">
        <f t="shared" si="56"/>
        <v>120</v>
      </c>
      <c r="S302" s="20"/>
      <c r="T302" s="68" t="str">
        <f>VLOOKUP(A302,'Calendar ID'!$A:$C,3,false)</f>
        <v>juliane.bernard57@icloud.com</v>
      </c>
      <c r="U302" s="71" t="b">
        <v>0</v>
      </c>
      <c r="V302" s="68" t="str">
        <f>VLOOKUP($A302,'Calendar ID'!$A:$C,2,false)</f>
        <v>c_f6970d92e9be72b1307e3c015a265d69ae87140c691e7728bc83462544d82455@group.calendar.google.com</v>
      </c>
      <c r="W302" s="69" t="b">
        <v>1</v>
      </c>
      <c r="X302" s="70" t="s">
        <v>82</v>
      </c>
    </row>
    <row r="303" hidden="1">
      <c r="A303" s="16" t="s">
        <v>272</v>
      </c>
      <c r="B303" s="17">
        <v>45625.0</v>
      </c>
      <c r="C303" s="16" t="s">
        <v>245</v>
      </c>
      <c r="D303" s="16" t="s">
        <v>381</v>
      </c>
      <c r="E303" s="122">
        <v>45732.0</v>
      </c>
      <c r="G303" s="94">
        <v>45745.0</v>
      </c>
      <c r="H303" s="10" t="s">
        <v>31</v>
      </c>
      <c r="I303" s="16" t="s">
        <v>313</v>
      </c>
      <c r="J303" s="16" t="s">
        <v>43</v>
      </c>
      <c r="K303" s="23" t="s">
        <v>33</v>
      </c>
      <c r="L303" s="31">
        <v>500.0</v>
      </c>
      <c r="N303" s="16"/>
      <c r="O303" s="16"/>
      <c r="P303" s="23" t="s">
        <v>34</v>
      </c>
      <c r="Q303" s="17">
        <f t="shared" si="1"/>
        <v>45625</v>
      </c>
      <c r="R303" s="18">
        <f t="shared" si="56"/>
        <v>150</v>
      </c>
      <c r="S303" s="20"/>
      <c r="T303" s="68" t="str">
        <f>VLOOKUP(A303,'Calendar ID'!$A:$C,3,false)</f>
        <v>truttirachel@gmail.com</v>
      </c>
      <c r="U303" s="69" t="b">
        <v>0</v>
      </c>
      <c r="V303" s="68" t="str">
        <f>VLOOKUP($A303,'Calendar ID'!$A:$C,2,false)</f>
        <v>c_14943542450de5ffc0c20a93db15c7c0757a89aaa373292182138a3a691be245@group.calendar.google.com</v>
      </c>
      <c r="W303" s="69" t="b">
        <v>1</v>
      </c>
      <c r="X303" s="70" t="s">
        <v>247</v>
      </c>
    </row>
    <row r="304" hidden="1">
      <c r="A304" s="16" t="s">
        <v>42</v>
      </c>
      <c r="B304" s="17">
        <v>45625.0</v>
      </c>
      <c r="C304" s="16" t="s">
        <v>245</v>
      </c>
      <c r="D304" s="16" t="s">
        <v>382</v>
      </c>
      <c r="E304" s="122">
        <f>G304-7</f>
        <v>45733</v>
      </c>
      <c r="G304" s="123">
        <v>45740.0</v>
      </c>
      <c r="H304" s="10" t="s">
        <v>31</v>
      </c>
      <c r="I304" s="23" t="s">
        <v>383</v>
      </c>
      <c r="J304" s="16" t="s">
        <v>43</v>
      </c>
      <c r="K304" s="23" t="s">
        <v>33</v>
      </c>
      <c r="L304" s="31">
        <v>500.0</v>
      </c>
      <c r="N304" s="16"/>
      <c r="O304" s="16"/>
      <c r="P304" s="23" t="s">
        <v>34</v>
      </c>
      <c r="Q304" s="17">
        <f t="shared" si="1"/>
        <v>45625</v>
      </c>
      <c r="R304" s="18">
        <f>L304*0.25</f>
        <v>125</v>
      </c>
      <c r="S304" s="20"/>
      <c r="T304" s="68" t="str">
        <f>VLOOKUP(A304,'Calendar ID'!$A:$C,3,false)</f>
        <v>cmepls.pro@gmail.com</v>
      </c>
      <c r="U304" s="69" t="b">
        <v>1</v>
      </c>
      <c r="V304" s="70" t="s">
        <v>82</v>
      </c>
      <c r="W304" s="69" t="b">
        <v>1</v>
      </c>
      <c r="X304" s="70" t="s">
        <v>82</v>
      </c>
    </row>
    <row r="305" hidden="1">
      <c r="A305" s="16" t="s">
        <v>157</v>
      </c>
      <c r="B305" s="17">
        <v>45714.0</v>
      </c>
      <c r="C305" s="16" t="s">
        <v>191</v>
      </c>
      <c r="E305" s="102">
        <v>45729.0</v>
      </c>
      <c r="G305" s="102">
        <v>45730.0</v>
      </c>
      <c r="H305" s="10" t="s">
        <v>31</v>
      </c>
      <c r="I305" s="16" t="s">
        <v>384</v>
      </c>
      <c r="J305" s="16" t="s">
        <v>43</v>
      </c>
      <c r="K305" s="16" t="s">
        <v>33</v>
      </c>
      <c r="L305" s="31">
        <v>650.0</v>
      </c>
      <c r="N305" s="16"/>
      <c r="O305" s="16"/>
      <c r="P305" s="23" t="s">
        <v>34</v>
      </c>
      <c r="Q305" s="17">
        <f t="shared" si="1"/>
        <v>45714</v>
      </c>
      <c r="R305" s="18">
        <f>L305*0.3</f>
        <v>195</v>
      </c>
      <c r="S305" s="20"/>
      <c r="T305" s="68" t="str">
        <f>VLOOKUP(A305,'Calendar ID'!$A:$C,3,false)</f>
        <v>jeannebayart@gmail.com</v>
      </c>
      <c r="U305" s="71" t="b">
        <v>0</v>
      </c>
      <c r="V305" s="68" t="str">
        <f>VLOOKUP($A305,'Calendar ID'!$A:$C,2,false)</f>
        <v>c_d2ee2c2110f1f2bc5b089d0edb8b480581f78d93077274c225fcfc530518b2ca@group.calendar.google.com</v>
      </c>
      <c r="W305" s="71" t="b">
        <v>0</v>
      </c>
      <c r="X305" s="68" t="str">
        <f>VLOOKUP($A305,'Calendar ID'!$A:$C,2,false)</f>
        <v>c_d2ee2c2110f1f2bc5b089d0edb8b480581f78d93077274c225fcfc530518b2ca@group.calendar.google.com</v>
      </c>
    </row>
    <row r="306" hidden="1">
      <c r="A306" s="16" t="s">
        <v>45</v>
      </c>
      <c r="B306" s="17">
        <v>45684.0</v>
      </c>
      <c r="C306" s="16" t="s">
        <v>199</v>
      </c>
      <c r="D306" s="89" t="s">
        <v>385</v>
      </c>
      <c r="E306" s="102">
        <v>45729.0</v>
      </c>
      <c r="F306" s="86">
        <v>45703.0</v>
      </c>
      <c r="G306" s="28">
        <v>45747.0</v>
      </c>
      <c r="H306" s="10" t="s">
        <v>31</v>
      </c>
      <c r="J306" s="16" t="s">
        <v>43</v>
      </c>
      <c r="K306" s="23" t="s">
        <v>33</v>
      </c>
      <c r="L306" s="31">
        <v>450.0</v>
      </c>
      <c r="N306" s="16"/>
      <c r="O306" s="16"/>
      <c r="P306" s="16" t="s">
        <v>34</v>
      </c>
      <c r="Q306" s="17">
        <f t="shared" si="1"/>
        <v>45684</v>
      </c>
      <c r="R306" s="18">
        <f>L306*0.25</f>
        <v>112.5</v>
      </c>
      <c r="S306" s="20"/>
      <c r="T306" s="68" t="str">
        <f>VLOOKUP(A306,'Calendar ID'!$A:$C,3,false)</f>
        <v>lilyy.nl@grapperagency.com</v>
      </c>
      <c r="U306" s="77" t="b">
        <v>1</v>
      </c>
      <c r="V306" s="70" t="s">
        <v>82</v>
      </c>
      <c r="W306" s="77" t="b">
        <v>0</v>
      </c>
      <c r="X306" s="68" t="str">
        <f>VLOOKUP($A306,'Calendar ID'!$A:$C,2,false)</f>
        <v>c_665764ca21c8e4b3814e25bf24bc7074fa55890dce5d4073abb0fdddc70649d4@group.calendar.google.com</v>
      </c>
    </row>
    <row r="307" hidden="1">
      <c r="A307" s="16" t="s">
        <v>284</v>
      </c>
      <c r="B307" s="17">
        <v>45625.0</v>
      </c>
      <c r="C307" s="16" t="s">
        <v>245</v>
      </c>
      <c r="D307" s="16" t="s">
        <v>382</v>
      </c>
      <c r="E307" s="122">
        <v>45734.0</v>
      </c>
      <c r="G307" s="123">
        <v>45740.0</v>
      </c>
      <c r="H307" s="10" t="s">
        <v>31</v>
      </c>
      <c r="I307" s="23" t="s">
        <v>383</v>
      </c>
      <c r="J307" s="16" t="s">
        <v>43</v>
      </c>
      <c r="K307" s="23" t="s">
        <v>33</v>
      </c>
      <c r="L307" s="31">
        <v>300.0</v>
      </c>
      <c r="N307" s="16"/>
      <c r="O307" s="16"/>
      <c r="P307" s="23" t="s">
        <v>34</v>
      </c>
      <c r="Q307" s="17">
        <f t="shared" si="1"/>
        <v>45625</v>
      </c>
      <c r="R307" s="18">
        <f t="shared" ref="R307:R316" si="57">L307*0.3</f>
        <v>90</v>
      </c>
      <c r="S307" s="20"/>
      <c r="T307" s="68" t="str">
        <f>VLOOKUP(A307,'Calendar ID'!$A:$C,3,false)</f>
        <v>Douns.collab@gmail.com</v>
      </c>
      <c r="U307" s="69" t="b">
        <v>1</v>
      </c>
      <c r="V307" s="70" t="s">
        <v>82</v>
      </c>
      <c r="W307" s="69" t="b">
        <v>1</v>
      </c>
      <c r="X307" s="70" t="s">
        <v>82</v>
      </c>
    </row>
    <row r="308" hidden="1">
      <c r="A308" s="16" t="s">
        <v>89</v>
      </c>
      <c r="B308" s="17">
        <v>45625.0</v>
      </c>
      <c r="C308" s="16" t="s">
        <v>245</v>
      </c>
      <c r="D308" s="16" t="s">
        <v>382</v>
      </c>
      <c r="E308" s="122">
        <v>45734.0</v>
      </c>
      <c r="F308" s="17"/>
      <c r="G308" s="123">
        <v>45740.0</v>
      </c>
      <c r="H308" s="10" t="s">
        <v>31</v>
      </c>
      <c r="I308" s="23"/>
      <c r="J308" s="16" t="s">
        <v>43</v>
      </c>
      <c r="K308" s="23" t="s">
        <v>33</v>
      </c>
      <c r="L308" s="31">
        <v>200.0</v>
      </c>
      <c r="N308" s="16"/>
      <c r="O308" s="16"/>
      <c r="P308" s="23" t="s">
        <v>34</v>
      </c>
      <c r="Q308" s="17">
        <f t="shared" si="1"/>
        <v>45625</v>
      </c>
      <c r="R308" s="18">
        <f t="shared" si="57"/>
        <v>60</v>
      </c>
      <c r="S308" s="20"/>
      <c r="T308" s="68" t="str">
        <f>VLOOKUP(A308,'Calendar ID'!$A:$C,3,false)</f>
        <v>lola140204@gmail.com</v>
      </c>
      <c r="U308" s="69" t="b">
        <v>1</v>
      </c>
      <c r="V308" s="70" t="s">
        <v>82</v>
      </c>
      <c r="W308" s="69" t="b">
        <v>1</v>
      </c>
      <c r="X308" s="70" t="s">
        <v>82</v>
      </c>
    </row>
    <row r="309" hidden="1">
      <c r="A309" s="16" t="s">
        <v>89</v>
      </c>
      <c r="B309" s="17">
        <v>45707.0</v>
      </c>
      <c r="C309" s="16" t="s">
        <v>386</v>
      </c>
      <c r="E309" s="122">
        <v>45732.0</v>
      </c>
      <c r="G309" s="122">
        <v>45735.0</v>
      </c>
      <c r="H309" s="10" t="s">
        <v>31</v>
      </c>
      <c r="I309" s="16" t="s">
        <v>387</v>
      </c>
      <c r="J309" s="16" t="s">
        <v>43</v>
      </c>
      <c r="K309" s="16" t="s">
        <v>33</v>
      </c>
      <c r="L309" s="31">
        <v>750.0</v>
      </c>
      <c r="N309" s="16"/>
      <c r="O309" s="16" t="s">
        <v>388</v>
      </c>
      <c r="P309" s="23" t="s">
        <v>34</v>
      </c>
      <c r="Q309" s="17">
        <f t="shared" si="1"/>
        <v>45707</v>
      </c>
      <c r="R309" s="18">
        <f t="shared" si="57"/>
        <v>225</v>
      </c>
      <c r="S309" s="20"/>
      <c r="T309" s="20"/>
      <c r="U309" s="20"/>
      <c r="V309" s="20"/>
      <c r="W309" s="20"/>
      <c r="X309" s="20"/>
    </row>
    <row r="310" hidden="1">
      <c r="A310" s="16" t="s">
        <v>91</v>
      </c>
      <c r="B310" s="17">
        <v>45708.0</v>
      </c>
      <c r="C310" s="16" t="s">
        <v>358</v>
      </c>
      <c r="E310" s="122">
        <v>45733.0</v>
      </c>
      <c r="G310" s="17"/>
      <c r="H310" s="10" t="s">
        <v>31</v>
      </c>
      <c r="J310" s="16" t="s">
        <v>43</v>
      </c>
      <c r="K310" s="16" t="s">
        <v>33</v>
      </c>
      <c r="L310" s="31">
        <v>300.0</v>
      </c>
      <c r="N310" s="16"/>
      <c r="O310" s="16" t="s">
        <v>389</v>
      </c>
      <c r="P310" s="23" t="s">
        <v>34</v>
      </c>
      <c r="Q310" s="17">
        <f t="shared" si="1"/>
        <v>45708</v>
      </c>
      <c r="R310" s="18">
        <f t="shared" si="57"/>
        <v>90</v>
      </c>
      <c r="S310" s="20"/>
      <c r="T310" s="68" t="str">
        <f>VLOOKUP(A310,'Calendar ID'!$A:$C,3,false)</f>
        <v>juliane.bernard57@icloud.com</v>
      </c>
      <c r="U310" s="71" t="b">
        <v>0</v>
      </c>
      <c r="V310" s="68" t="str">
        <f>VLOOKUP($A310,'Calendar ID'!$A:$C,2,false)</f>
        <v>c_f6970d92e9be72b1307e3c015a265d69ae87140c691e7728bc83462544d82455@group.calendar.google.com</v>
      </c>
      <c r="W310" s="71" t="b">
        <v>0</v>
      </c>
      <c r="X310" s="68" t="str">
        <f>VLOOKUP($A310,'Calendar ID'!$A:$C,2,false)</f>
        <v>c_f6970d92e9be72b1307e3c015a265d69ae87140c691e7728bc83462544d82455@group.calendar.google.com</v>
      </c>
    </row>
    <row r="311" hidden="1">
      <c r="A311" s="16" t="s">
        <v>136</v>
      </c>
      <c r="B311" s="17">
        <v>45625.0</v>
      </c>
      <c r="C311" s="16" t="s">
        <v>245</v>
      </c>
      <c r="D311" s="16" t="s">
        <v>382</v>
      </c>
      <c r="E311" s="94">
        <v>45739.0</v>
      </c>
      <c r="G311" s="123">
        <v>45745.0</v>
      </c>
      <c r="H311" s="10" t="s">
        <v>31</v>
      </c>
      <c r="I311" s="23" t="s">
        <v>383</v>
      </c>
      <c r="J311" s="16" t="s">
        <v>43</v>
      </c>
      <c r="K311" s="23" t="s">
        <v>33</v>
      </c>
      <c r="L311" s="31">
        <f>585/3</f>
        <v>195</v>
      </c>
      <c r="N311" s="16"/>
      <c r="O311" s="16"/>
      <c r="P311" s="23" t="s">
        <v>34</v>
      </c>
      <c r="Q311" s="17">
        <f t="shared" si="1"/>
        <v>45625</v>
      </c>
      <c r="R311" s="18">
        <f t="shared" si="57"/>
        <v>58.5</v>
      </c>
      <c r="S311" s="20"/>
      <c r="T311" s="68" t="str">
        <f>VLOOKUP(A311,'Calendar ID'!$A:$C,3,false)</f>
        <v>liserdg.pro@gmail.com </v>
      </c>
      <c r="U311" s="69" t="b">
        <v>1</v>
      </c>
      <c r="V311" s="70" t="s">
        <v>82</v>
      </c>
      <c r="W311" s="69" t="b">
        <v>1</v>
      </c>
      <c r="X311" s="70" t="s">
        <v>82</v>
      </c>
    </row>
    <row r="312" hidden="1">
      <c r="A312" s="16" t="s">
        <v>76</v>
      </c>
      <c r="B312" s="17">
        <v>45625.0</v>
      </c>
      <c r="C312" s="16" t="s">
        <v>245</v>
      </c>
      <c r="D312" s="16" t="s">
        <v>382</v>
      </c>
      <c r="E312" s="94">
        <f t="shared" ref="E312:E314" si="58">G312-7</f>
        <v>45739</v>
      </c>
      <c r="G312" s="124">
        <v>45746.0</v>
      </c>
      <c r="H312" s="10" t="s">
        <v>31</v>
      </c>
      <c r="I312" s="23"/>
      <c r="J312" s="16" t="s">
        <v>43</v>
      </c>
      <c r="K312" s="23" t="s">
        <v>33</v>
      </c>
      <c r="L312" s="15">
        <f>1200/3</f>
        <v>400</v>
      </c>
      <c r="N312" s="16"/>
      <c r="O312" s="16"/>
      <c r="P312" s="23" t="s">
        <v>34</v>
      </c>
      <c r="Q312" s="17">
        <f t="shared" si="1"/>
        <v>45625</v>
      </c>
      <c r="R312" s="18">
        <f t="shared" si="57"/>
        <v>120</v>
      </c>
      <c r="S312" s="20"/>
      <c r="T312" s="68" t="str">
        <f>VLOOKUP(A312,'Calendar ID'!$A:$C,3,false)</f>
        <v>orane.baron1403@gmail.com</v>
      </c>
      <c r="U312" s="69" t="b">
        <v>1</v>
      </c>
      <c r="V312" s="70" t="s">
        <v>82</v>
      </c>
      <c r="W312" s="69" t="b">
        <v>1</v>
      </c>
      <c r="X312" s="70" t="s">
        <v>82</v>
      </c>
    </row>
    <row r="313" hidden="1">
      <c r="A313" s="16" t="s">
        <v>280</v>
      </c>
      <c r="B313" s="17">
        <v>45625.0</v>
      </c>
      <c r="C313" s="16" t="s">
        <v>245</v>
      </c>
      <c r="D313" s="16" t="s">
        <v>382</v>
      </c>
      <c r="E313" s="94">
        <f t="shared" si="58"/>
        <v>45740</v>
      </c>
      <c r="F313" s="7"/>
      <c r="G313" s="124">
        <v>45747.0</v>
      </c>
      <c r="H313" s="10" t="s">
        <v>31</v>
      </c>
      <c r="I313" s="23" t="s">
        <v>383</v>
      </c>
      <c r="J313" s="16" t="s">
        <v>43</v>
      </c>
      <c r="K313" s="23" t="s">
        <v>33</v>
      </c>
      <c r="L313" s="31">
        <v>200.0</v>
      </c>
      <c r="N313" s="16"/>
      <c r="O313" s="16"/>
      <c r="P313" s="23" t="s">
        <v>34</v>
      </c>
      <c r="Q313" s="17">
        <f t="shared" si="1"/>
        <v>45625</v>
      </c>
      <c r="R313" s="18">
        <f t="shared" si="57"/>
        <v>60</v>
      </c>
      <c r="S313" s="20"/>
      <c r="T313" s="68" t="str">
        <f>VLOOKUP(A313,'Calendar ID'!$A:$C,3,false)</f>
        <v>ciman530@gmail.com</v>
      </c>
      <c r="U313" s="69" t="b">
        <v>1</v>
      </c>
      <c r="V313" s="70" t="s">
        <v>82</v>
      </c>
      <c r="W313" s="69" t="b">
        <v>1</v>
      </c>
      <c r="X313" s="70" t="s">
        <v>82</v>
      </c>
    </row>
    <row r="314" hidden="1">
      <c r="A314" s="16" t="s">
        <v>215</v>
      </c>
      <c r="B314" s="17">
        <v>45625.0</v>
      </c>
      <c r="C314" s="16" t="s">
        <v>245</v>
      </c>
      <c r="D314" s="16" t="s">
        <v>382</v>
      </c>
      <c r="E314" s="94">
        <f t="shared" si="58"/>
        <v>45740</v>
      </c>
      <c r="G314" s="124">
        <v>45747.0</v>
      </c>
      <c r="H314" s="10" t="s">
        <v>31</v>
      </c>
      <c r="I314" s="23" t="s">
        <v>383</v>
      </c>
      <c r="J314" s="16" t="s">
        <v>43</v>
      </c>
      <c r="K314" s="23" t="s">
        <v>33</v>
      </c>
      <c r="L314" s="31">
        <v>300.0</v>
      </c>
      <c r="N314" s="65" t="s">
        <v>390</v>
      </c>
      <c r="O314" s="16"/>
      <c r="P314" s="23" t="s">
        <v>34</v>
      </c>
      <c r="Q314" s="17">
        <f t="shared" si="1"/>
        <v>45625</v>
      </c>
      <c r="R314" s="18">
        <f t="shared" si="57"/>
        <v>90</v>
      </c>
      <c r="S314" s="20"/>
      <c r="T314" s="68" t="str">
        <f>VLOOKUP(A314,'Calendar ID'!$A:$C,3,false)</f>
        <v>iimslmapro@outlook.fr</v>
      </c>
      <c r="U314" s="69" t="b">
        <v>1</v>
      </c>
      <c r="V314" s="70" t="s">
        <v>82</v>
      </c>
      <c r="W314" s="69" t="b">
        <v>1</v>
      </c>
      <c r="X314" s="70" t="s">
        <v>82</v>
      </c>
    </row>
    <row r="315" hidden="1">
      <c r="A315" s="16" t="s">
        <v>391</v>
      </c>
      <c r="B315" s="17">
        <v>45747.0</v>
      </c>
      <c r="C315" s="16" t="s">
        <v>316</v>
      </c>
      <c r="E315" s="33">
        <v>45767.0</v>
      </c>
      <c r="F315" s="17"/>
      <c r="G315" s="35">
        <v>45773.0</v>
      </c>
      <c r="H315" s="10" t="s">
        <v>31</v>
      </c>
      <c r="I315" s="16" t="s">
        <v>392</v>
      </c>
      <c r="J315" s="16" t="s">
        <v>43</v>
      </c>
      <c r="K315" s="16" t="s">
        <v>33</v>
      </c>
      <c r="L315" s="31">
        <v>300.0</v>
      </c>
      <c r="N315" s="16"/>
      <c r="O315" s="16"/>
      <c r="P315" s="10" t="s">
        <v>34</v>
      </c>
      <c r="Q315" s="17">
        <f t="shared" si="1"/>
        <v>45747</v>
      </c>
      <c r="R315" s="18">
        <f t="shared" si="57"/>
        <v>90</v>
      </c>
      <c r="S315" s="20"/>
      <c r="T315" s="68" t="str">
        <f>VLOOKUP(A315,'Calendar ID'!$A:$C,3,false)</f>
        <v>#N/A</v>
      </c>
      <c r="U315" s="71" t="b">
        <v>0</v>
      </c>
      <c r="V315" s="68" t="str">
        <f>VLOOKUP($A315,'Calendar ID'!$A:$C,2,false)</f>
        <v>#N/A</v>
      </c>
      <c r="W315" s="69" t="b">
        <v>0</v>
      </c>
      <c r="X315" s="68" t="str">
        <f>VLOOKUP($A315,'Calendar ID'!$A:$C,2,false)</f>
        <v>#N/A</v>
      </c>
    </row>
    <row r="316" hidden="1">
      <c r="A316" s="16" t="s">
        <v>91</v>
      </c>
      <c r="B316" s="17">
        <v>45625.0</v>
      </c>
      <c r="C316" s="16" t="s">
        <v>245</v>
      </c>
      <c r="D316" s="16" t="s">
        <v>382</v>
      </c>
      <c r="E316" s="125">
        <v>45742.0</v>
      </c>
      <c r="G316" s="123">
        <v>45745.0</v>
      </c>
      <c r="H316" s="10" t="s">
        <v>31</v>
      </c>
      <c r="I316" s="23"/>
      <c r="J316" s="16" t="s">
        <v>43</v>
      </c>
      <c r="K316" s="23" t="s">
        <v>33</v>
      </c>
      <c r="L316" s="31">
        <v>300.0</v>
      </c>
      <c r="N316" s="16"/>
      <c r="O316" s="16"/>
      <c r="P316" s="23" t="s">
        <v>34</v>
      </c>
      <c r="Q316" s="17">
        <f t="shared" si="1"/>
        <v>45625</v>
      </c>
      <c r="R316" s="18">
        <f t="shared" si="57"/>
        <v>90</v>
      </c>
      <c r="S316" s="20"/>
      <c r="T316" s="68" t="str">
        <f>VLOOKUP(A316,'Calendar ID'!$A:$C,3,false)</f>
        <v>juliane.bernard57@icloud.com</v>
      </c>
      <c r="U316" s="69" t="b">
        <v>1</v>
      </c>
      <c r="V316" s="70" t="s">
        <v>82</v>
      </c>
      <c r="W316" s="69" t="b">
        <v>1</v>
      </c>
      <c r="X316" s="70" t="s">
        <v>82</v>
      </c>
    </row>
    <row r="317" hidden="1">
      <c r="A317" s="16" t="s">
        <v>45</v>
      </c>
      <c r="B317" s="17">
        <v>45727.0</v>
      </c>
      <c r="C317" s="16" t="s">
        <v>67</v>
      </c>
      <c r="E317" s="122">
        <v>45735.0</v>
      </c>
      <c r="G317" s="122">
        <v>45737.0</v>
      </c>
      <c r="H317" s="10" t="s">
        <v>31</v>
      </c>
      <c r="I317" s="16" t="s">
        <v>393</v>
      </c>
      <c r="J317" s="16" t="s">
        <v>43</v>
      </c>
      <c r="K317" s="16" t="s">
        <v>33</v>
      </c>
      <c r="L317" s="31">
        <v>1250.0</v>
      </c>
      <c r="N317" s="16"/>
      <c r="O317" s="16"/>
      <c r="P317" s="23" t="s">
        <v>34</v>
      </c>
      <c r="Q317" s="17">
        <f t="shared" si="1"/>
        <v>45727</v>
      </c>
      <c r="R317" s="18">
        <f>L317*0.25</f>
        <v>312.5</v>
      </c>
      <c r="S317" s="20"/>
      <c r="T317" s="68" t="str">
        <f>VLOOKUP(A317,'Calendar ID'!$A:$C,3,false)</f>
        <v>lilyy.nl@grapperagency.com</v>
      </c>
      <c r="U317" s="69" t="b">
        <v>1</v>
      </c>
      <c r="V317" s="70" t="s">
        <v>82</v>
      </c>
      <c r="W317" s="71" t="b">
        <v>0</v>
      </c>
      <c r="X317" s="68" t="str">
        <f>VLOOKUP($A317,'Calendar ID'!$A:$C,2,false)</f>
        <v>c_665764ca21c8e4b3814e25bf24bc7074fa55890dce5d4073abb0fdddc70649d4@group.calendar.google.com</v>
      </c>
    </row>
    <row r="318" hidden="1">
      <c r="A318" s="16" t="s">
        <v>283</v>
      </c>
      <c r="B318" s="17">
        <v>45706.0</v>
      </c>
      <c r="C318" s="16" t="s">
        <v>358</v>
      </c>
      <c r="E318" s="122">
        <v>45736.0</v>
      </c>
      <c r="G318" s="17"/>
      <c r="H318" s="10" t="s">
        <v>31</v>
      </c>
      <c r="I318" s="16" t="s">
        <v>394</v>
      </c>
      <c r="J318" s="16" t="s">
        <v>43</v>
      </c>
      <c r="K318" s="16" t="s">
        <v>33</v>
      </c>
      <c r="L318" s="31">
        <v>1100.0</v>
      </c>
      <c r="N318" s="16"/>
      <c r="O318" s="16" t="s">
        <v>389</v>
      </c>
      <c r="P318" s="23" t="s">
        <v>34</v>
      </c>
      <c r="Q318" s="17">
        <f t="shared" si="1"/>
        <v>45706</v>
      </c>
      <c r="R318" s="18">
        <f t="shared" ref="R318:R319" si="59">L318*0.3</f>
        <v>330</v>
      </c>
      <c r="S318" s="20"/>
      <c r="T318" s="68" t="str">
        <f>VLOOKUP(A318,'Calendar ID'!$A:$C,3,false)</f>
        <v>moped@grapperagency.com</v>
      </c>
      <c r="U318" s="71" t="b">
        <v>0</v>
      </c>
      <c r="V318" s="68" t="str">
        <f>VLOOKUP($A318,'Calendar ID'!$A:$C,2,false)</f>
        <v>c_82243c858a94977b161cc883035793aa376a03b467dcc33d001d9ca49835cdb3@group.calendar.google.com</v>
      </c>
      <c r="W318" s="71" t="b">
        <v>0</v>
      </c>
      <c r="X318" s="68" t="str">
        <f>VLOOKUP($A318,'Calendar ID'!$A:$C,2,false)</f>
        <v>c_82243c858a94977b161cc883035793aa376a03b467dcc33d001d9ca49835cdb3@group.calendar.google.com</v>
      </c>
    </row>
    <row r="319" hidden="1">
      <c r="A319" s="16" t="s">
        <v>353</v>
      </c>
      <c r="B319" s="17">
        <v>45706.0</v>
      </c>
      <c r="C319" s="16" t="s">
        <v>358</v>
      </c>
      <c r="E319" s="94">
        <v>45742.0</v>
      </c>
      <c r="G319" s="126">
        <v>45801.0</v>
      </c>
      <c r="H319" s="10" t="s">
        <v>31</v>
      </c>
      <c r="I319" s="16" t="s">
        <v>395</v>
      </c>
      <c r="J319" s="16" t="s">
        <v>43</v>
      </c>
      <c r="K319" s="16" t="s">
        <v>33</v>
      </c>
      <c r="L319" s="31">
        <v>1100.0</v>
      </c>
      <c r="N319" s="16"/>
      <c r="O319" s="16" t="s">
        <v>389</v>
      </c>
      <c r="P319" s="23" t="s">
        <v>34</v>
      </c>
      <c r="Q319" s="17">
        <f t="shared" si="1"/>
        <v>45706</v>
      </c>
      <c r="R319" s="18">
        <f t="shared" si="59"/>
        <v>330</v>
      </c>
      <c r="S319" s="20"/>
      <c r="T319" s="68" t="str">
        <f>VLOOKUP(A319,'Calendar ID'!$A:$C,3,false)</f>
        <v>hidaya.7bl@gmail.com </v>
      </c>
      <c r="U319" s="71" t="b">
        <v>0</v>
      </c>
      <c r="V319" s="68" t="str">
        <f>VLOOKUP($A319,'Calendar ID'!$A:$C,2,false)</f>
        <v>c_056be6e79a6fa62e8f2a68280313995615b47a17f2b3679481d262413ec95701@group.calendar.google.com</v>
      </c>
      <c r="W319" s="71" t="b">
        <v>0</v>
      </c>
      <c r="X319" s="68" t="str">
        <f>VLOOKUP($A319,'Calendar ID'!$A:$C,2,false)</f>
        <v>c_056be6e79a6fa62e8f2a68280313995615b47a17f2b3679481d262413ec95701@group.calendar.google.com</v>
      </c>
    </row>
    <row r="320" hidden="1">
      <c r="A320" s="16" t="s">
        <v>45</v>
      </c>
      <c r="B320" s="17">
        <v>45678.0</v>
      </c>
      <c r="C320" s="16" t="s">
        <v>322</v>
      </c>
      <c r="D320" s="16" t="s">
        <v>396</v>
      </c>
      <c r="E320" s="94">
        <v>45742.0</v>
      </c>
      <c r="G320" s="28">
        <v>45748.0</v>
      </c>
      <c r="H320" s="10" t="s">
        <v>31</v>
      </c>
      <c r="I320" s="16" t="s">
        <v>397</v>
      </c>
      <c r="J320" s="16" t="s">
        <v>43</v>
      </c>
      <c r="K320" s="23" t="s">
        <v>33</v>
      </c>
      <c r="L320" s="31">
        <v>810.0</v>
      </c>
      <c r="N320" s="16"/>
      <c r="O320" s="16" t="s">
        <v>398</v>
      </c>
      <c r="P320" s="16" t="s">
        <v>34</v>
      </c>
      <c r="Q320" s="17">
        <f t="shared" si="1"/>
        <v>45678</v>
      </c>
      <c r="R320" s="18">
        <f>L320*0.25</f>
        <v>202.5</v>
      </c>
      <c r="S320" s="20"/>
      <c r="T320" s="68" t="str">
        <f>VLOOKUP(A320,'Calendar ID'!$A:$C,3,false)</f>
        <v>lilyy.nl@grapperagency.com</v>
      </c>
      <c r="U320" s="77" t="b">
        <v>1</v>
      </c>
      <c r="V320" s="70" t="s">
        <v>82</v>
      </c>
      <c r="W320" s="77" t="b">
        <v>1</v>
      </c>
      <c r="X320" s="70" t="s">
        <v>82</v>
      </c>
    </row>
    <row r="321" hidden="1">
      <c r="A321" s="16" t="s">
        <v>284</v>
      </c>
      <c r="B321" s="17">
        <v>45737.0</v>
      </c>
      <c r="C321" s="16" t="s">
        <v>399</v>
      </c>
      <c r="E321" s="28">
        <v>45748.0</v>
      </c>
      <c r="F321" s="17"/>
      <c r="G321" s="28">
        <v>45751.0</v>
      </c>
      <c r="H321" s="10" t="s">
        <v>31</v>
      </c>
      <c r="J321" s="16" t="s">
        <v>43</v>
      </c>
      <c r="K321" s="16" t="s">
        <v>33</v>
      </c>
      <c r="L321" s="31">
        <v>350.0</v>
      </c>
      <c r="N321" s="16"/>
      <c r="O321" s="16"/>
      <c r="P321" s="23" t="s">
        <v>34</v>
      </c>
      <c r="Q321" s="17">
        <f t="shared" si="1"/>
        <v>45737</v>
      </c>
      <c r="R321" s="18">
        <f t="shared" ref="R321:R323" si="60">L321*0.3</f>
        <v>105</v>
      </c>
      <c r="S321" s="20"/>
      <c r="T321" s="68" t="str">
        <f>VLOOKUP(A321,'Calendar ID'!$A:$C,3,false)</f>
        <v>Douns.collab@gmail.com</v>
      </c>
      <c r="U321" s="71" t="b">
        <v>0</v>
      </c>
      <c r="V321" s="68" t="str">
        <f>VLOOKUP($A321,'Calendar ID'!$A:$C,2,false)</f>
        <v>c_2208b8e561439ebc2637feb15fe2d308d5719cc64460071de6ba0c674eba6118@group.calendar.google.com</v>
      </c>
      <c r="W321" s="69" t="b">
        <v>1</v>
      </c>
      <c r="X321" s="70" t="s">
        <v>82</v>
      </c>
    </row>
    <row r="322" hidden="1">
      <c r="A322" s="16" t="s">
        <v>110</v>
      </c>
      <c r="B322" s="17">
        <v>45727.0</v>
      </c>
      <c r="C322" s="16" t="s">
        <v>37</v>
      </c>
      <c r="D322" s="16" t="s">
        <v>400</v>
      </c>
      <c r="E322" s="94">
        <v>45743.0</v>
      </c>
      <c r="G322" s="94">
        <v>45744.0</v>
      </c>
      <c r="H322" s="10" t="s">
        <v>31</v>
      </c>
      <c r="I322" s="16" t="s">
        <v>323</v>
      </c>
      <c r="J322" s="16" t="s">
        <v>43</v>
      </c>
      <c r="K322" s="16" t="s">
        <v>33</v>
      </c>
      <c r="L322" s="31">
        <v>300.0</v>
      </c>
      <c r="N322" s="16"/>
      <c r="O322" s="16"/>
      <c r="P322" s="23" t="s">
        <v>34</v>
      </c>
      <c r="Q322" s="17">
        <f t="shared" si="1"/>
        <v>45727</v>
      </c>
      <c r="R322" s="18">
        <f t="shared" si="60"/>
        <v>90</v>
      </c>
      <c r="S322" s="20"/>
      <c r="T322" s="68" t="str">
        <f>VLOOKUP(A322,'Calendar ID'!$A:$C,3,false)</f>
        <v>terpperrine@gmail.com</v>
      </c>
      <c r="U322" s="69" t="b">
        <v>1</v>
      </c>
      <c r="V322" s="70" t="s">
        <v>82</v>
      </c>
      <c r="W322" s="69" t="b">
        <v>1</v>
      </c>
      <c r="X322" s="70" t="s">
        <v>82</v>
      </c>
    </row>
    <row r="323" hidden="1">
      <c r="A323" s="16" t="s">
        <v>91</v>
      </c>
      <c r="B323" s="17">
        <v>45728.0</v>
      </c>
      <c r="C323" s="16" t="s">
        <v>376</v>
      </c>
      <c r="E323" s="28">
        <v>45746.0</v>
      </c>
      <c r="G323" s="28">
        <v>45753.0</v>
      </c>
      <c r="H323" s="10" t="s">
        <v>31</v>
      </c>
      <c r="J323" s="16" t="s">
        <v>43</v>
      </c>
      <c r="K323" s="16" t="s">
        <v>33</v>
      </c>
      <c r="L323" s="31">
        <v>300.0</v>
      </c>
      <c r="N323" s="16"/>
      <c r="O323" s="16"/>
      <c r="P323" s="23" t="s">
        <v>34</v>
      </c>
      <c r="Q323" s="17">
        <f t="shared" si="1"/>
        <v>45728</v>
      </c>
      <c r="R323" s="18">
        <f t="shared" si="60"/>
        <v>90</v>
      </c>
      <c r="S323" s="20"/>
      <c r="T323" s="68" t="str">
        <f>VLOOKUP(A323,'Calendar ID'!$A:$C,3,false)</f>
        <v>juliane.bernard57@icloud.com</v>
      </c>
      <c r="U323" s="71" t="b">
        <v>0</v>
      </c>
      <c r="V323" s="68" t="str">
        <f>VLOOKUP($A323,'Calendar ID'!$A:$C,2,false)</f>
        <v>c_f6970d92e9be72b1307e3c015a265d69ae87140c691e7728bc83462544d82455@group.calendar.google.com</v>
      </c>
      <c r="W323" s="71" t="b">
        <v>0</v>
      </c>
      <c r="X323" s="68" t="str">
        <f>VLOOKUP($A323,'Calendar ID'!$A:$C,2,false)</f>
        <v>c_f6970d92e9be72b1307e3c015a265d69ae87140c691e7728bc83462544d82455@group.calendar.google.com</v>
      </c>
    </row>
    <row r="324" hidden="1">
      <c r="A324" s="16" t="s">
        <v>29</v>
      </c>
      <c r="B324" s="17">
        <v>45727.0</v>
      </c>
      <c r="C324" s="16" t="s">
        <v>264</v>
      </c>
      <c r="E324" s="28">
        <v>45746.0</v>
      </c>
      <c r="G324" s="28">
        <v>45753.0</v>
      </c>
      <c r="H324" s="10" t="s">
        <v>31</v>
      </c>
      <c r="J324" s="16" t="s">
        <v>43</v>
      </c>
      <c r="K324" s="16" t="s">
        <v>33</v>
      </c>
      <c r="L324" s="31">
        <v>200.0</v>
      </c>
      <c r="N324" s="16"/>
      <c r="O324" s="16" t="s">
        <v>401</v>
      </c>
      <c r="P324" s="23" t="s">
        <v>34</v>
      </c>
      <c r="Q324" s="17">
        <f t="shared" si="1"/>
        <v>45727</v>
      </c>
      <c r="R324" s="18">
        <f>L324*0.2</f>
        <v>40</v>
      </c>
      <c r="S324" s="20"/>
      <c r="T324" s="68" t="str">
        <f>VLOOKUP(A324,'Calendar ID'!$A:$C,3,false)</f>
        <v>pauline@grapperagency.com</v>
      </c>
      <c r="U324" s="69" t="b">
        <v>1</v>
      </c>
      <c r="V324" s="70" t="s">
        <v>82</v>
      </c>
      <c r="W324" s="69" t="b">
        <v>1</v>
      </c>
      <c r="X324" s="19" t="s">
        <v>247</v>
      </c>
    </row>
    <row r="325" hidden="1">
      <c r="A325" s="16" t="s">
        <v>402</v>
      </c>
      <c r="B325" s="17">
        <v>45737.0</v>
      </c>
      <c r="C325" s="16" t="s">
        <v>403</v>
      </c>
      <c r="E325" s="28">
        <v>45749.0</v>
      </c>
      <c r="F325" s="17"/>
      <c r="G325" s="30">
        <v>45754.0</v>
      </c>
      <c r="H325" s="10" t="s">
        <v>31</v>
      </c>
      <c r="J325" s="16" t="s">
        <v>43</v>
      </c>
      <c r="K325" s="16" t="s">
        <v>74</v>
      </c>
      <c r="L325" s="31">
        <v>250.0</v>
      </c>
      <c r="N325" s="16"/>
      <c r="O325" s="16"/>
      <c r="P325" s="23" t="s">
        <v>34</v>
      </c>
      <c r="Q325" s="17">
        <f t="shared" si="1"/>
        <v>45737</v>
      </c>
      <c r="R325" s="18">
        <f t="shared" ref="R325:R330" si="61">L325*0.3</f>
        <v>75</v>
      </c>
      <c r="S325" s="20"/>
      <c r="T325" s="68" t="str">
        <f>VLOOKUP(A325,'Calendar ID'!$A:$C,3,false)</f>
        <v>stzmarine6@gmail.com</v>
      </c>
      <c r="U325" s="71" t="b">
        <v>0</v>
      </c>
      <c r="V325" s="68" t="str">
        <f>VLOOKUP($A325,'Calendar ID'!$A:$C,2,false)</f>
        <v>c_c2a91e309d1b6dc37cabc837fe79ebdcdbabcaff13a6376ec109ab3d73862812@group.calendar.google.com</v>
      </c>
      <c r="W325" s="69" t="b">
        <v>0</v>
      </c>
      <c r="X325" s="68" t="str">
        <f>VLOOKUP($A325,'Calendar ID'!$A:$C,2,false)</f>
        <v>c_c2a91e309d1b6dc37cabc837fe79ebdcdbabcaff13a6376ec109ab3d73862812@group.calendar.google.com</v>
      </c>
    </row>
    <row r="326" hidden="1">
      <c r="A326" s="16" t="s">
        <v>284</v>
      </c>
      <c r="B326" s="17">
        <v>45586.0</v>
      </c>
      <c r="C326" s="16" t="s">
        <v>79</v>
      </c>
      <c r="D326" s="16" t="s">
        <v>270</v>
      </c>
      <c r="E326" s="86">
        <v>45701.0</v>
      </c>
      <c r="G326" s="107">
        <v>45716.0</v>
      </c>
      <c r="H326" s="10" t="s">
        <v>31</v>
      </c>
      <c r="J326" s="16" t="s">
        <v>43</v>
      </c>
      <c r="K326" s="23" t="s">
        <v>33</v>
      </c>
      <c r="L326" s="31">
        <f t="shared" ref="L326:L327" si="62">1000/3</f>
        <v>333.3333333</v>
      </c>
      <c r="N326" s="65" t="s">
        <v>404</v>
      </c>
      <c r="O326" s="16"/>
      <c r="P326" s="16" t="s">
        <v>34</v>
      </c>
      <c r="Q326" s="17">
        <f t="shared" si="1"/>
        <v>45586</v>
      </c>
      <c r="R326" s="18">
        <f t="shared" si="61"/>
        <v>100</v>
      </c>
      <c r="S326" s="20"/>
      <c r="T326" s="68" t="str">
        <f>VLOOKUP(A326,'Calendar ID'!$A:$C,3,false)</f>
        <v>Douns.collab@gmail.com</v>
      </c>
      <c r="U326" s="77" t="b">
        <v>1</v>
      </c>
      <c r="V326" s="70" t="s">
        <v>82</v>
      </c>
      <c r="W326" s="69" t="b">
        <v>1</v>
      </c>
      <c r="X326" s="70" t="s">
        <v>82</v>
      </c>
    </row>
    <row r="327" hidden="1">
      <c r="A327" s="16" t="s">
        <v>284</v>
      </c>
      <c r="B327" s="17">
        <v>45586.0</v>
      </c>
      <c r="C327" s="16" t="s">
        <v>79</v>
      </c>
      <c r="D327" s="16" t="s">
        <v>405</v>
      </c>
      <c r="E327" s="17"/>
      <c r="G327" s="101">
        <v>45671.0</v>
      </c>
      <c r="H327" s="10" t="s">
        <v>31</v>
      </c>
      <c r="J327" s="16" t="s">
        <v>43</v>
      </c>
      <c r="K327" s="23" t="s">
        <v>33</v>
      </c>
      <c r="L327" s="31">
        <f t="shared" si="62"/>
        <v>333.3333333</v>
      </c>
      <c r="N327" s="16"/>
      <c r="O327" s="16"/>
      <c r="P327" s="16" t="s">
        <v>34</v>
      </c>
      <c r="Q327" s="17">
        <f t="shared" si="1"/>
        <v>45586</v>
      </c>
      <c r="R327" s="18">
        <f t="shared" si="61"/>
        <v>100</v>
      </c>
      <c r="S327" s="20"/>
      <c r="T327" s="68" t="str">
        <f>VLOOKUP(A327,'Calendar ID'!$A:$C,3,false)</f>
        <v>Douns.collab@gmail.com</v>
      </c>
      <c r="U327" s="77" t="b">
        <v>1</v>
      </c>
      <c r="V327" s="70" t="s">
        <v>82</v>
      </c>
      <c r="W327" s="69" t="b">
        <v>1</v>
      </c>
      <c r="X327" s="70" t="s">
        <v>82</v>
      </c>
    </row>
    <row r="328" hidden="1">
      <c r="A328" s="16" t="s">
        <v>110</v>
      </c>
      <c r="B328" s="17">
        <v>45674.0</v>
      </c>
      <c r="C328" s="16" t="s">
        <v>245</v>
      </c>
      <c r="D328" s="16" t="s">
        <v>382</v>
      </c>
      <c r="E328" s="28">
        <v>45751.0</v>
      </c>
      <c r="G328" s="127">
        <v>45757.0</v>
      </c>
      <c r="H328" s="10" t="s">
        <v>31</v>
      </c>
      <c r="I328" s="23"/>
      <c r="J328" s="16" t="s">
        <v>43</v>
      </c>
      <c r="K328" s="23" t="s">
        <v>33</v>
      </c>
      <c r="L328" s="31">
        <v>300.0</v>
      </c>
      <c r="N328" s="16"/>
      <c r="O328" s="16"/>
      <c r="P328" s="23" t="s">
        <v>34</v>
      </c>
      <c r="Q328" s="17">
        <f t="shared" si="1"/>
        <v>45674</v>
      </c>
      <c r="R328" s="18">
        <f t="shared" si="61"/>
        <v>90</v>
      </c>
      <c r="S328" s="20"/>
      <c r="T328" s="68" t="str">
        <f>VLOOKUP(A328,'Calendar ID'!$A:$C,3,false)</f>
        <v>terpperrine@gmail.com</v>
      </c>
      <c r="U328" s="69" t="b">
        <v>1</v>
      </c>
      <c r="V328" s="70" t="s">
        <v>82</v>
      </c>
      <c r="W328" s="69" t="b">
        <v>1</v>
      </c>
      <c r="X328" s="70" t="s">
        <v>82</v>
      </c>
    </row>
    <row r="329" hidden="1">
      <c r="A329" s="16" t="s">
        <v>89</v>
      </c>
      <c r="B329" s="17">
        <v>45727.0</v>
      </c>
      <c r="C329" s="16" t="s">
        <v>37</v>
      </c>
      <c r="D329" s="16" t="s">
        <v>400</v>
      </c>
      <c r="E329" s="28">
        <v>45750.0</v>
      </c>
      <c r="G329" s="94">
        <v>45742.0</v>
      </c>
      <c r="H329" s="10" t="s">
        <v>31</v>
      </c>
      <c r="I329" s="16" t="s">
        <v>406</v>
      </c>
      <c r="J329" s="16" t="s">
        <v>43</v>
      </c>
      <c r="K329" s="16" t="s">
        <v>33</v>
      </c>
      <c r="L329" s="31">
        <v>250.0</v>
      </c>
      <c r="N329" s="16"/>
      <c r="O329" s="16"/>
      <c r="P329" s="23" t="s">
        <v>34</v>
      </c>
      <c r="Q329" s="17">
        <f t="shared" si="1"/>
        <v>45727</v>
      </c>
      <c r="R329" s="18">
        <f t="shared" si="61"/>
        <v>75</v>
      </c>
      <c r="S329" s="20"/>
      <c r="T329" s="68" t="str">
        <f>VLOOKUP(A329,'Calendar ID'!$A:$C,3,false)</f>
        <v>lola140204@gmail.com</v>
      </c>
      <c r="U329" s="69" t="b">
        <v>1</v>
      </c>
      <c r="V329" s="70" t="s">
        <v>82</v>
      </c>
      <c r="W329" s="69" t="b">
        <v>1</v>
      </c>
      <c r="X329" s="70" t="s">
        <v>82</v>
      </c>
    </row>
    <row r="330" hidden="1">
      <c r="A330" s="16" t="s">
        <v>213</v>
      </c>
      <c r="B330" s="17">
        <v>45716.0</v>
      </c>
      <c r="C330" s="16" t="s">
        <v>407</v>
      </c>
      <c r="E330" s="28">
        <v>45750.0</v>
      </c>
      <c r="G330" s="30">
        <v>45756.0</v>
      </c>
      <c r="H330" s="10" t="s">
        <v>31</v>
      </c>
      <c r="J330" s="16" t="s">
        <v>43</v>
      </c>
      <c r="K330" s="16" t="s">
        <v>33</v>
      </c>
      <c r="L330" s="31">
        <v>1200.0</v>
      </c>
      <c r="N330" s="16"/>
      <c r="O330" s="16"/>
      <c r="P330" s="23" t="s">
        <v>34</v>
      </c>
      <c r="Q330" s="17">
        <f t="shared" si="1"/>
        <v>45716</v>
      </c>
      <c r="R330" s="18">
        <f t="shared" si="61"/>
        <v>360</v>
      </c>
      <c r="S330" s="20"/>
      <c r="T330" s="68" t="str">
        <f>VLOOKUP(A330,'Calendar ID'!$A:$C,3,false)</f>
        <v>anaiswry@yahoo.fr</v>
      </c>
      <c r="U330" s="71" t="b">
        <v>0</v>
      </c>
      <c r="V330" s="68" t="str">
        <f>VLOOKUP($A330,'Calendar ID'!$A:$C,2,false)</f>
        <v>c_2754856c5047affc6767bb85fb787591389bf7d14d3afd368efdff9979492ab5@group.calendar.google.com</v>
      </c>
      <c r="W330" s="71" t="b">
        <v>0</v>
      </c>
      <c r="X330" s="70" t="s">
        <v>82</v>
      </c>
    </row>
    <row r="331" hidden="1">
      <c r="A331" s="16" t="s">
        <v>29</v>
      </c>
      <c r="B331" s="17">
        <v>45733.0</v>
      </c>
      <c r="C331" s="16" t="s">
        <v>403</v>
      </c>
      <c r="E331" s="28">
        <v>45751.0</v>
      </c>
      <c r="F331" s="17"/>
      <c r="G331" s="30">
        <v>45756.0</v>
      </c>
      <c r="H331" s="10" t="s">
        <v>31</v>
      </c>
      <c r="J331" s="16" t="s">
        <v>43</v>
      </c>
      <c r="K331" s="16" t="s">
        <v>33</v>
      </c>
      <c r="L331" s="31">
        <v>200.0</v>
      </c>
      <c r="N331" s="16"/>
      <c r="O331" s="16"/>
      <c r="P331" s="23" t="s">
        <v>34</v>
      </c>
      <c r="Q331" s="17">
        <f t="shared" si="1"/>
        <v>45733</v>
      </c>
      <c r="R331" s="18">
        <f>L331*0.2</f>
        <v>40</v>
      </c>
      <c r="S331" s="20"/>
      <c r="T331" s="68" t="str">
        <f>VLOOKUP(A331,'Calendar ID'!$A:$C,3,false)</f>
        <v>pauline@grapperagency.com</v>
      </c>
      <c r="U331" s="71" t="b">
        <v>0</v>
      </c>
      <c r="V331" s="68" t="str">
        <f>VLOOKUP($A331,'Calendar ID'!$A:$C,2,false)</f>
        <v>c_a715193c206b2aa1e4b81b8a3772df33bf92c92611202a890a6bccecb2131fcb@group.calendar.google.com</v>
      </c>
      <c r="W331" s="69" t="b">
        <v>0</v>
      </c>
      <c r="X331" s="68" t="str">
        <f>VLOOKUP($A331,'Calendar ID'!$A:$C,2,false)</f>
        <v>c_a715193c206b2aa1e4b81b8a3772df33bf92c92611202a890a6bccecb2131fcb@group.calendar.google.com</v>
      </c>
    </row>
    <row r="332" hidden="1">
      <c r="A332" s="16" t="s">
        <v>283</v>
      </c>
      <c r="B332" s="17">
        <v>45740.0</v>
      </c>
      <c r="C332" s="16" t="s">
        <v>408</v>
      </c>
      <c r="E332" s="30">
        <v>45757.0</v>
      </c>
      <c r="F332" s="17"/>
      <c r="G332" s="30">
        <v>45759.0</v>
      </c>
      <c r="H332" s="10" t="s">
        <v>31</v>
      </c>
      <c r="I332" s="16" t="s">
        <v>409</v>
      </c>
      <c r="J332" s="16" t="s">
        <v>43</v>
      </c>
      <c r="K332" s="16" t="s">
        <v>33</v>
      </c>
      <c r="L332" s="31">
        <v>700.0</v>
      </c>
      <c r="N332" s="16"/>
      <c r="O332" s="16"/>
      <c r="P332" s="23" t="s">
        <v>34</v>
      </c>
      <c r="Q332" s="17">
        <f t="shared" si="1"/>
        <v>45740</v>
      </c>
      <c r="R332" s="18">
        <f t="shared" ref="R332:R333" si="63">L332*0.3</f>
        <v>210</v>
      </c>
      <c r="S332" s="20"/>
      <c r="T332" s="68" t="str">
        <f>VLOOKUP(A332,'Calendar ID'!$A:$C,3,false)</f>
        <v>moped@grapperagency.com</v>
      </c>
      <c r="U332" s="69" t="b">
        <v>1</v>
      </c>
      <c r="V332" s="70" t="s">
        <v>82</v>
      </c>
      <c r="W332" s="69" t="b">
        <v>1</v>
      </c>
      <c r="X332" s="70" t="s">
        <v>82</v>
      </c>
    </row>
    <row r="333" hidden="1">
      <c r="A333" s="16" t="s">
        <v>368</v>
      </c>
      <c r="B333" s="17">
        <v>45726.0</v>
      </c>
      <c r="C333" s="16" t="s">
        <v>410</v>
      </c>
      <c r="E333" s="30">
        <v>45758.0</v>
      </c>
      <c r="G333" s="35">
        <v>45768.0</v>
      </c>
      <c r="H333" s="10" t="s">
        <v>31</v>
      </c>
      <c r="J333" s="16" t="s">
        <v>43</v>
      </c>
      <c r="K333" s="16" t="s">
        <v>33</v>
      </c>
      <c r="L333" s="31">
        <v>600.0</v>
      </c>
      <c r="N333" s="65" t="s">
        <v>411</v>
      </c>
      <c r="O333" s="16"/>
      <c r="P333" s="23" t="s">
        <v>34</v>
      </c>
      <c r="Q333" s="17">
        <f t="shared" si="1"/>
        <v>45726</v>
      </c>
      <c r="R333" s="18">
        <f t="shared" si="63"/>
        <v>180</v>
      </c>
      <c r="S333" s="20"/>
      <c r="T333" s="68" t="str">
        <f>VLOOKUP(A333,'Calendar ID'!$A:$C,3,false)</f>
        <v>aubeneauu@gmail.com </v>
      </c>
      <c r="U333" s="69" t="b">
        <v>1</v>
      </c>
      <c r="V333" s="70" t="s">
        <v>82</v>
      </c>
      <c r="W333" s="69" t="b">
        <v>1</v>
      </c>
      <c r="X333" s="70" t="s">
        <v>82</v>
      </c>
    </row>
    <row r="334" hidden="1">
      <c r="A334" s="16" t="s">
        <v>45</v>
      </c>
      <c r="B334" s="17">
        <v>45733.0</v>
      </c>
      <c r="C334" s="16" t="s">
        <v>412</v>
      </c>
      <c r="E334" s="30">
        <v>45758.0</v>
      </c>
      <c r="G334" s="33">
        <v>45763.0</v>
      </c>
      <c r="H334" s="10" t="s">
        <v>31</v>
      </c>
      <c r="I334" s="16" t="s">
        <v>413</v>
      </c>
      <c r="J334" s="16" t="s">
        <v>43</v>
      </c>
      <c r="K334" s="16" t="s">
        <v>33</v>
      </c>
      <c r="L334" s="31">
        <v>500.0</v>
      </c>
      <c r="N334" s="65" t="s">
        <v>414</v>
      </c>
      <c r="O334" s="16" t="s">
        <v>415</v>
      </c>
      <c r="P334" s="23" t="s">
        <v>34</v>
      </c>
      <c r="Q334" s="17">
        <f t="shared" si="1"/>
        <v>45733</v>
      </c>
      <c r="R334" s="18">
        <f>L334*0.25</f>
        <v>125</v>
      </c>
      <c r="S334" s="20"/>
      <c r="T334" s="68" t="str">
        <f>VLOOKUP(A334,'Calendar ID'!$A:$C,3,false)</f>
        <v>lilyy.nl@grapperagency.com</v>
      </c>
      <c r="U334" s="71" t="b">
        <v>0</v>
      </c>
      <c r="V334" s="68" t="str">
        <f>VLOOKUP($A334,'Calendar ID'!$A:$C,2,false)</f>
        <v>c_665764ca21c8e4b3814e25bf24bc7074fa55890dce5d4073abb0fdddc70649d4@group.calendar.google.com</v>
      </c>
      <c r="W334" s="69" t="b">
        <v>1</v>
      </c>
      <c r="X334" s="70" t="s">
        <v>82</v>
      </c>
    </row>
    <row r="335" hidden="1">
      <c r="A335" s="16" t="s">
        <v>402</v>
      </c>
      <c r="B335" s="17">
        <v>45730.0</v>
      </c>
      <c r="C335" s="16" t="s">
        <v>222</v>
      </c>
      <c r="E335" s="33">
        <v>45761.0</v>
      </c>
      <c r="G335" s="33">
        <v>45766.0</v>
      </c>
      <c r="H335" s="10" t="s">
        <v>31</v>
      </c>
      <c r="J335" s="16" t="s">
        <v>43</v>
      </c>
      <c r="K335" s="16" t="s">
        <v>33</v>
      </c>
      <c r="L335" s="31">
        <v>300.0</v>
      </c>
      <c r="N335" s="65" t="s">
        <v>416</v>
      </c>
      <c r="O335" s="16"/>
      <c r="P335" s="23" t="s">
        <v>34</v>
      </c>
      <c r="Q335" s="17">
        <f t="shared" si="1"/>
        <v>45730</v>
      </c>
      <c r="R335" s="18">
        <f t="shared" ref="R335:R338" si="64">L335*0.3</f>
        <v>90</v>
      </c>
      <c r="S335" s="20"/>
      <c r="T335" s="68" t="str">
        <f>VLOOKUP(A335,'Calendar ID'!$A:$C,3,false)</f>
        <v>stzmarine6@gmail.com</v>
      </c>
      <c r="U335" s="69" t="b">
        <v>1</v>
      </c>
      <c r="V335" s="70" t="s">
        <v>82</v>
      </c>
      <c r="W335" s="71" t="b">
        <v>0</v>
      </c>
      <c r="X335" s="68" t="str">
        <f>VLOOKUP($A335,'Calendar ID'!$A:$C,2,false)</f>
        <v>c_c2a91e309d1b6dc37cabc837fe79ebdcdbabcaff13a6376ec109ab3d73862812@group.calendar.google.com</v>
      </c>
    </row>
    <row r="336" hidden="1">
      <c r="A336" s="128" t="s">
        <v>284</v>
      </c>
      <c r="B336" s="17">
        <v>45764.0</v>
      </c>
      <c r="C336" s="16" t="s">
        <v>316</v>
      </c>
      <c r="E336" s="38">
        <v>45785.0</v>
      </c>
      <c r="F336" s="17"/>
      <c r="G336" s="38">
        <v>45786.0</v>
      </c>
      <c r="H336" s="10" t="s">
        <v>31</v>
      </c>
      <c r="I336" s="16" t="s">
        <v>417</v>
      </c>
      <c r="J336" s="16" t="s">
        <v>43</v>
      </c>
      <c r="K336" s="16" t="s">
        <v>33</v>
      </c>
      <c r="L336" s="31">
        <v>450.0</v>
      </c>
      <c r="N336" s="16"/>
      <c r="O336" s="16"/>
      <c r="P336" s="10" t="s">
        <v>34</v>
      </c>
      <c r="Q336" s="17">
        <f t="shared" si="1"/>
        <v>45764</v>
      </c>
      <c r="R336" s="18">
        <f t="shared" si="64"/>
        <v>135</v>
      </c>
      <c r="S336" s="20"/>
      <c r="T336" s="68" t="str">
        <f>VLOOKUP(A336,'Calendar ID'!$A:$C,3,false)</f>
        <v>Douns.collab@gmail.com</v>
      </c>
      <c r="U336" s="69" t="b">
        <v>1</v>
      </c>
      <c r="V336" s="70" t="s">
        <v>82</v>
      </c>
      <c r="W336" s="69" t="b">
        <v>1</v>
      </c>
      <c r="X336" s="70" t="s">
        <v>82</v>
      </c>
    </row>
    <row r="337" hidden="1">
      <c r="A337" s="16" t="s">
        <v>402</v>
      </c>
      <c r="B337" s="17">
        <v>45732.0</v>
      </c>
      <c r="C337" s="16" t="s">
        <v>64</v>
      </c>
      <c r="E337" s="30">
        <v>45760.0</v>
      </c>
      <c r="G337" s="33">
        <v>45765.0</v>
      </c>
      <c r="H337" s="10" t="s">
        <v>31</v>
      </c>
      <c r="I337" s="16" t="s">
        <v>418</v>
      </c>
      <c r="J337" s="16" t="s">
        <v>43</v>
      </c>
      <c r="K337" s="16" t="s">
        <v>33</v>
      </c>
      <c r="L337" s="31">
        <v>552.0</v>
      </c>
      <c r="N337" s="65" t="s">
        <v>419</v>
      </c>
      <c r="O337" s="16"/>
      <c r="P337" s="23" t="s">
        <v>34</v>
      </c>
      <c r="Q337" s="17">
        <f t="shared" si="1"/>
        <v>45732</v>
      </c>
      <c r="R337" s="18">
        <f t="shared" si="64"/>
        <v>165.6</v>
      </c>
      <c r="S337" s="20"/>
      <c r="T337" s="68" t="str">
        <f>VLOOKUP(A337,'Calendar ID'!$A:$C,3,false)</f>
        <v>stzmarine6@gmail.com</v>
      </c>
      <c r="U337" s="69" t="b">
        <v>1</v>
      </c>
      <c r="V337" s="70" t="s">
        <v>82</v>
      </c>
      <c r="W337" s="69" t="b">
        <v>1</v>
      </c>
      <c r="X337" s="70" t="s">
        <v>82</v>
      </c>
    </row>
    <row r="338" hidden="1">
      <c r="A338" s="16" t="s">
        <v>91</v>
      </c>
      <c r="B338" s="17">
        <v>45674.0</v>
      </c>
      <c r="C338" s="16" t="s">
        <v>245</v>
      </c>
      <c r="D338" s="16" t="s">
        <v>396</v>
      </c>
      <c r="E338" s="33">
        <v>45761.0</v>
      </c>
      <c r="G338" s="33">
        <v>45763.0</v>
      </c>
      <c r="H338" s="16" t="s">
        <v>31</v>
      </c>
      <c r="I338" s="16" t="s">
        <v>313</v>
      </c>
      <c r="J338" s="16" t="s">
        <v>43</v>
      </c>
      <c r="K338" s="23" t="s">
        <v>33</v>
      </c>
      <c r="L338" s="31">
        <v>300.0</v>
      </c>
      <c r="N338" s="65" t="s">
        <v>420</v>
      </c>
      <c r="O338" s="16"/>
      <c r="P338" s="23" t="s">
        <v>34</v>
      </c>
      <c r="Q338" s="17">
        <f t="shared" si="1"/>
        <v>45674</v>
      </c>
      <c r="R338" s="18">
        <f t="shared" si="64"/>
        <v>90</v>
      </c>
      <c r="S338" s="20"/>
      <c r="T338" s="68" t="str">
        <f>VLOOKUP(A338,'Calendar ID'!$A:$C,3,false)</f>
        <v>juliane.bernard57@icloud.com</v>
      </c>
      <c r="U338" s="69" t="b">
        <v>1</v>
      </c>
      <c r="V338" s="70" t="s">
        <v>82</v>
      </c>
      <c r="W338" s="69" t="b">
        <v>1</v>
      </c>
      <c r="X338" s="70" t="s">
        <v>82</v>
      </c>
    </row>
    <row r="339" hidden="1">
      <c r="A339" s="111" t="s">
        <v>29</v>
      </c>
      <c r="B339" s="112">
        <v>45703.0</v>
      </c>
      <c r="C339" s="111" t="s">
        <v>245</v>
      </c>
      <c r="D339" s="16" t="s">
        <v>421</v>
      </c>
      <c r="E339" s="33">
        <v>45761.0</v>
      </c>
      <c r="F339" s="17"/>
      <c r="G339" s="33">
        <v>45763.0</v>
      </c>
      <c r="H339" s="16" t="s">
        <v>31</v>
      </c>
      <c r="I339" s="16"/>
      <c r="J339" s="111" t="s">
        <v>43</v>
      </c>
      <c r="K339" s="111" t="s">
        <v>33</v>
      </c>
      <c r="L339" s="114">
        <v>200.0</v>
      </c>
      <c r="M339" s="113"/>
      <c r="N339" s="129" t="s">
        <v>422</v>
      </c>
      <c r="O339" s="111"/>
      <c r="P339" s="115" t="s">
        <v>34</v>
      </c>
      <c r="Q339" s="17">
        <f t="shared" si="1"/>
        <v>45703</v>
      </c>
      <c r="R339" s="76">
        <f>L339*0.2</f>
        <v>40</v>
      </c>
      <c r="S339" s="116"/>
      <c r="T339" s="117" t="str">
        <f>VLOOKUP(A339,'Calendar ID'!$A:$C,3,false)</f>
        <v>pauline@grapperagency.com</v>
      </c>
      <c r="U339" s="130" t="b">
        <v>1</v>
      </c>
      <c r="V339" s="131" t="s">
        <v>82</v>
      </c>
      <c r="W339" s="130" t="b">
        <v>1</v>
      </c>
      <c r="X339" s="131" t="s">
        <v>82</v>
      </c>
      <c r="Y339" s="113"/>
      <c r="Z339" s="113"/>
      <c r="AA339" s="113"/>
      <c r="AB339" s="113"/>
      <c r="AC339" s="113"/>
    </row>
    <row r="340" hidden="1">
      <c r="A340" s="16" t="s">
        <v>89</v>
      </c>
      <c r="B340" s="17">
        <v>45702.0</v>
      </c>
      <c r="C340" s="16" t="s">
        <v>347</v>
      </c>
      <c r="E340" s="33">
        <v>45761.0</v>
      </c>
      <c r="G340" s="33">
        <v>45766.0</v>
      </c>
      <c r="H340" s="10" t="s">
        <v>31</v>
      </c>
      <c r="I340" s="16" t="s">
        <v>360</v>
      </c>
      <c r="J340" s="16" t="s">
        <v>43</v>
      </c>
      <c r="K340" s="16" t="s">
        <v>33</v>
      </c>
      <c r="L340" s="31">
        <v>500.0</v>
      </c>
      <c r="N340" s="16"/>
      <c r="O340" s="16"/>
      <c r="P340" s="23" t="s">
        <v>34</v>
      </c>
      <c r="Q340" s="17">
        <f t="shared" si="1"/>
        <v>45702</v>
      </c>
      <c r="R340" s="18">
        <f t="shared" ref="R340:R342" si="65">L340*0.3</f>
        <v>150</v>
      </c>
      <c r="S340" s="20"/>
      <c r="T340" s="68" t="str">
        <f>VLOOKUP(A340,'Calendar ID'!$A:$C,3,false)</f>
        <v>lola140204@gmail.com</v>
      </c>
      <c r="U340" s="69" t="b">
        <v>0</v>
      </c>
      <c r="V340" s="68" t="str">
        <f>VLOOKUP($A340,'Calendar ID'!$A:$C,2,false)</f>
        <v>c_8f3f6ef786f2df9238426a478307dbddffb576ace587133cfa65ca553e2f967a@group.calendar.google.com</v>
      </c>
      <c r="W340" s="69" t="b">
        <v>0</v>
      </c>
      <c r="X340" s="68" t="str">
        <f>VLOOKUP($A340,'Calendar ID'!$A:$C,2,false)</f>
        <v>c_8f3f6ef786f2df9238426a478307dbddffb576ace587133cfa65ca553e2f967a@group.calendar.google.com</v>
      </c>
    </row>
    <row r="341" hidden="1">
      <c r="A341" s="128" t="s">
        <v>113</v>
      </c>
      <c r="B341" s="17">
        <v>45751.0</v>
      </c>
      <c r="C341" s="16" t="s">
        <v>101</v>
      </c>
      <c r="E341" s="33">
        <v>45761.0</v>
      </c>
      <c r="F341" s="17"/>
      <c r="G341" s="33">
        <v>45765.0</v>
      </c>
      <c r="H341" s="10" t="s">
        <v>31</v>
      </c>
      <c r="I341" s="16" t="s">
        <v>423</v>
      </c>
      <c r="J341" s="16" t="s">
        <v>43</v>
      </c>
      <c r="K341" s="16" t="s">
        <v>33</v>
      </c>
      <c r="L341" s="31">
        <v>125.0</v>
      </c>
      <c r="N341" s="16"/>
      <c r="O341" s="16"/>
      <c r="P341" s="10" t="s">
        <v>34</v>
      </c>
      <c r="Q341" s="17">
        <f t="shared" si="1"/>
        <v>45751</v>
      </c>
      <c r="R341" s="18">
        <f t="shared" si="65"/>
        <v>37.5</v>
      </c>
      <c r="S341" s="20"/>
      <c r="T341" s="68" t="str">
        <f>VLOOKUP(A341,'Calendar ID'!$A:$C,3,false)</f>
        <v>lovelyMytb@gmail.com </v>
      </c>
      <c r="U341" s="69" t="b">
        <v>1</v>
      </c>
      <c r="V341" s="70" t="s">
        <v>82</v>
      </c>
      <c r="W341" s="69" t="b">
        <v>1</v>
      </c>
      <c r="X341" s="70" t="s">
        <v>82</v>
      </c>
    </row>
    <row r="342" hidden="1">
      <c r="A342" s="128" t="s">
        <v>113</v>
      </c>
      <c r="B342" s="17">
        <v>45751.0</v>
      </c>
      <c r="C342" s="16" t="s">
        <v>101</v>
      </c>
      <c r="E342" s="33">
        <v>45761.0</v>
      </c>
      <c r="F342" s="17"/>
      <c r="G342" s="33">
        <v>45765.0</v>
      </c>
      <c r="H342" s="10" t="s">
        <v>31</v>
      </c>
      <c r="J342" s="16" t="s">
        <v>43</v>
      </c>
      <c r="K342" s="16" t="s">
        <v>33</v>
      </c>
      <c r="L342" s="31">
        <v>500.0</v>
      </c>
      <c r="N342" s="16"/>
      <c r="O342" s="16"/>
      <c r="P342" s="10" t="s">
        <v>34</v>
      </c>
      <c r="Q342" s="17">
        <f t="shared" si="1"/>
        <v>45751</v>
      </c>
      <c r="R342" s="18">
        <f t="shared" si="65"/>
        <v>150</v>
      </c>
      <c r="S342" s="20"/>
      <c r="T342" s="68" t="str">
        <f>VLOOKUP(A342,'Calendar ID'!$A:$C,3,false)</f>
        <v>lovelyMytb@gmail.com </v>
      </c>
      <c r="U342" s="69" t="b">
        <v>1</v>
      </c>
      <c r="V342" s="70" t="s">
        <v>82</v>
      </c>
      <c r="W342" s="69" t="b">
        <v>1</v>
      </c>
      <c r="X342" s="70" t="s">
        <v>82</v>
      </c>
    </row>
    <row r="343" hidden="1">
      <c r="A343" s="128" t="s">
        <v>42</v>
      </c>
      <c r="B343" s="17">
        <v>45751.0</v>
      </c>
      <c r="C343" s="16" t="s">
        <v>64</v>
      </c>
      <c r="E343" s="33">
        <v>45762.0</v>
      </c>
      <c r="F343" s="17"/>
      <c r="G343" s="35">
        <v>45768.0</v>
      </c>
      <c r="H343" s="10" t="s">
        <v>31</v>
      </c>
      <c r="I343" s="16" t="s">
        <v>418</v>
      </c>
      <c r="J343" s="16" t="s">
        <v>43</v>
      </c>
      <c r="K343" s="16" t="s">
        <v>33</v>
      </c>
      <c r="L343" s="31">
        <v>700.0</v>
      </c>
      <c r="N343" s="65" t="s">
        <v>424</v>
      </c>
      <c r="O343" s="16"/>
      <c r="P343" s="10" t="s">
        <v>34</v>
      </c>
      <c r="Q343" s="17">
        <f t="shared" si="1"/>
        <v>45751</v>
      </c>
      <c r="R343" s="18">
        <f t="shared" ref="R343:R344" si="66">L343*0.25</f>
        <v>175</v>
      </c>
      <c r="S343" s="20"/>
      <c r="T343" s="68" t="str">
        <f>VLOOKUP(A343,'Calendar ID'!$A:$C,3,false)</f>
        <v>cmepls.pro@gmail.com</v>
      </c>
      <c r="U343" s="71" t="b">
        <v>0</v>
      </c>
      <c r="V343" s="68" t="str">
        <f>VLOOKUP($A343,'Calendar ID'!$A:$C,2,false)</f>
        <v>c_15e3504fd6fde5b88106b6d99934e830e051067bbd4af855bfd432d30fc2f262@group.calendar.google.com</v>
      </c>
      <c r="W343" s="71" t="b">
        <v>0</v>
      </c>
      <c r="X343" s="68" t="str">
        <f>VLOOKUP($A343,'Calendar ID'!$A:$C,2,false)</f>
        <v>c_15e3504fd6fde5b88106b6d99934e830e051067bbd4af855bfd432d30fc2f262@group.calendar.google.com</v>
      </c>
    </row>
    <row r="344" hidden="1">
      <c r="A344" s="16" t="s">
        <v>42</v>
      </c>
      <c r="B344" s="17">
        <v>45674.0</v>
      </c>
      <c r="C344" s="16" t="s">
        <v>245</v>
      </c>
      <c r="D344" s="16" t="s">
        <v>396</v>
      </c>
      <c r="E344" s="33">
        <v>45764.0</v>
      </c>
      <c r="G344" s="35">
        <v>45772.0</v>
      </c>
      <c r="H344" s="16" t="s">
        <v>31</v>
      </c>
      <c r="I344" s="16" t="s">
        <v>313</v>
      </c>
      <c r="J344" s="16" t="s">
        <v>43</v>
      </c>
      <c r="K344" s="23" t="s">
        <v>33</v>
      </c>
      <c r="L344" s="93">
        <v>500.0</v>
      </c>
      <c r="N344" s="16"/>
      <c r="O344" s="16"/>
      <c r="P344" s="23" t="s">
        <v>34</v>
      </c>
      <c r="Q344" s="17">
        <f t="shared" si="1"/>
        <v>45674</v>
      </c>
      <c r="R344" s="18">
        <f t="shared" si="66"/>
        <v>125</v>
      </c>
      <c r="S344" s="20"/>
      <c r="T344" s="68" t="str">
        <f>VLOOKUP(A344,'Calendar ID'!$A:$C,3,false)</f>
        <v>cmepls.pro@gmail.com</v>
      </c>
      <c r="U344" s="69" t="b">
        <v>1</v>
      </c>
      <c r="V344" s="70" t="s">
        <v>82</v>
      </c>
      <c r="W344" s="69" t="b">
        <v>1</v>
      </c>
      <c r="X344" s="70" t="s">
        <v>82</v>
      </c>
    </row>
    <row r="345" hidden="1">
      <c r="A345" s="16" t="s">
        <v>284</v>
      </c>
      <c r="B345" s="17">
        <v>45674.0</v>
      </c>
      <c r="C345" s="16" t="s">
        <v>245</v>
      </c>
      <c r="D345" s="16" t="s">
        <v>396</v>
      </c>
      <c r="E345" s="33">
        <v>45765.0</v>
      </c>
      <c r="G345" s="35">
        <v>45771.0</v>
      </c>
      <c r="H345" s="16" t="s">
        <v>31</v>
      </c>
      <c r="I345" s="16" t="s">
        <v>313</v>
      </c>
      <c r="J345" s="16" t="s">
        <v>43</v>
      </c>
      <c r="K345" s="23" t="s">
        <v>33</v>
      </c>
      <c r="L345" s="31">
        <v>300.0</v>
      </c>
      <c r="N345" s="16"/>
      <c r="O345" s="16"/>
      <c r="P345" s="23" t="s">
        <v>34</v>
      </c>
      <c r="Q345" s="17">
        <f t="shared" si="1"/>
        <v>45674</v>
      </c>
      <c r="R345" s="18">
        <f>L345*0.3</f>
        <v>90</v>
      </c>
      <c r="S345" s="20"/>
      <c r="T345" s="68" t="str">
        <f>VLOOKUP(A345,'Calendar ID'!$A:$C,3,false)</f>
        <v>Douns.collab@gmail.com</v>
      </c>
      <c r="U345" s="69" t="b">
        <v>0</v>
      </c>
      <c r="V345" s="70" t="s">
        <v>82</v>
      </c>
      <c r="W345" s="69" t="b">
        <v>1</v>
      </c>
      <c r="X345" s="70" t="s">
        <v>82</v>
      </c>
    </row>
    <row r="346" hidden="1">
      <c r="A346" s="128" t="s">
        <v>42</v>
      </c>
      <c r="B346" s="17">
        <v>45754.0</v>
      </c>
      <c r="C346" s="16" t="s">
        <v>101</v>
      </c>
      <c r="E346" s="33">
        <v>45763.0</v>
      </c>
      <c r="F346" s="17"/>
      <c r="G346" s="33">
        <v>45765.0</v>
      </c>
      <c r="H346" s="10" t="s">
        <v>31</v>
      </c>
      <c r="I346" s="16" t="s">
        <v>425</v>
      </c>
      <c r="J346" s="16" t="s">
        <v>43</v>
      </c>
      <c r="K346" s="16" t="s">
        <v>33</v>
      </c>
      <c r="L346" s="31">
        <v>1250.0</v>
      </c>
      <c r="N346" s="16"/>
      <c r="O346" s="16" t="s">
        <v>426</v>
      </c>
      <c r="P346" s="10" t="s">
        <v>34</v>
      </c>
      <c r="Q346" s="17">
        <f t="shared" si="1"/>
        <v>45754</v>
      </c>
      <c r="R346" s="18">
        <f>L346*0.25</f>
        <v>312.5</v>
      </c>
      <c r="S346" s="20"/>
      <c r="T346" s="68" t="str">
        <f>VLOOKUP(A346,'Calendar ID'!$A:$C,3,false)</f>
        <v>cmepls.pro@gmail.com</v>
      </c>
      <c r="U346" s="71" t="b">
        <v>0</v>
      </c>
      <c r="V346" s="68" t="str">
        <f>VLOOKUP($A346,'Calendar ID'!$A:$C,2,false)</f>
        <v>c_15e3504fd6fde5b88106b6d99934e830e051067bbd4af855bfd432d30fc2f262@group.calendar.google.com</v>
      </c>
      <c r="W346" s="71" t="b">
        <v>0</v>
      </c>
      <c r="X346" s="68" t="str">
        <f>VLOOKUP($A346,'Calendar ID'!$A:$C,2,false)</f>
        <v>c_15e3504fd6fde5b88106b6d99934e830e051067bbd4af855bfd432d30fc2f262@group.calendar.google.com</v>
      </c>
    </row>
    <row r="347" hidden="1">
      <c r="A347" s="16" t="s">
        <v>290</v>
      </c>
      <c r="B347" s="17">
        <v>45684.0</v>
      </c>
      <c r="C347" s="16" t="s">
        <v>86</v>
      </c>
      <c r="E347" s="33">
        <v>45763.0</v>
      </c>
      <c r="G347" s="35">
        <v>45773.0</v>
      </c>
      <c r="H347" s="10" t="s">
        <v>31</v>
      </c>
      <c r="J347" s="16" t="s">
        <v>43</v>
      </c>
      <c r="K347" s="23" t="s">
        <v>33</v>
      </c>
      <c r="L347" s="31">
        <v>550.13</v>
      </c>
      <c r="N347" s="16"/>
      <c r="O347" s="16"/>
      <c r="P347" s="16" t="s">
        <v>34</v>
      </c>
      <c r="Q347" s="17">
        <f t="shared" si="1"/>
        <v>45684</v>
      </c>
      <c r="R347" s="18">
        <f t="shared" ref="R347:R350" si="67">L347*0.3</f>
        <v>165.039</v>
      </c>
      <c r="S347" s="20"/>
      <c r="T347" s="68" t="str">
        <f>VLOOKUP(A347,'Calendar ID'!$A:$C,3,false)</f>
        <v>hello.gurbet@gmail.com </v>
      </c>
      <c r="U347" s="69" t="b">
        <v>1</v>
      </c>
      <c r="V347" s="70" t="s">
        <v>82</v>
      </c>
      <c r="W347" s="69" t="b">
        <v>1</v>
      </c>
      <c r="X347" s="70" t="s">
        <v>82</v>
      </c>
    </row>
    <row r="348" hidden="1">
      <c r="A348" s="128" t="s">
        <v>364</v>
      </c>
      <c r="B348" s="17">
        <v>45764.0</v>
      </c>
      <c r="C348" s="16" t="s">
        <v>316</v>
      </c>
      <c r="E348" s="38">
        <v>45785.0</v>
      </c>
      <c r="F348" s="17"/>
      <c r="G348" s="38">
        <v>45786.0</v>
      </c>
      <c r="H348" s="10" t="s">
        <v>31</v>
      </c>
      <c r="I348" s="16" t="s">
        <v>417</v>
      </c>
      <c r="J348" s="16" t="s">
        <v>43</v>
      </c>
      <c r="K348" s="16" t="s">
        <v>33</v>
      </c>
      <c r="L348" s="31">
        <v>650.0</v>
      </c>
      <c r="N348" s="16"/>
      <c r="O348" s="16"/>
      <c r="P348" s="10" t="s">
        <v>34</v>
      </c>
      <c r="Q348" s="17">
        <f t="shared" si="1"/>
        <v>45764</v>
      </c>
      <c r="R348" s="18">
        <f t="shared" si="67"/>
        <v>195</v>
      </c>
      <c r="S348" s="20"/>
      <c r="T348" s="68" t="str">
        <f>VLOOKUP(A348,'Calendar ID'!$A:$C,3,false)</f>
        <v>Sirine.yza@gmail.com</v>
      </c>
      <c r="U348" s="69" t="b">
        <v>1</v>
      </c>
      <c r="V348" s="70" t="s">
        <v>82</v>
      </c>
      <c r="W348" s="69" t="b">
        <v>1</v>
      </c>
      <c r="X348" s="70" t="s">
        <v>82</v>
      </c>
    </row>
    <row r="349" hidden="1">
      <c r="A349" s="16" t="s">
        <v>215</v>
      </c>
      <c r="B349" s="17">
        <v>45703.0</v>
      </c>
      <c r="C349" s="16" t="s">
        <v>245</v>
      </c>
      <c r="D349" s="16" t="s">
        <v>427</v>
      </c>
      <c r="E349" s="33">
        <v>45767.0</v>
      </c>
      <c r="G349" s="35">
        <v>45774.0</v>
      </c>
      <c r="H349" s="16" t="s">
        <v>31</v>
      </c>
      <c r="I349" s="16"/>
      <c r="J349" s="16" t="s">
        <v>43</v>
      </c>
      <c r="K349" s="16" t="s">
        <v>33</v>
      </c>
      <c r="L349" s="31">
        <v>300.0</v>
      </c>
      <c r="N349" s="16"/>
      <c r="O349" s="16"/>
      <c r="P349" s="23" t="s">
        <v>34</v>
      </c>
      <c r="Q349" s="17">
        <f t="shared" si="1"/>
        <v>45703</v>
      </c>
      <c r="R349" s="18">
        <f t="shared" si="67"/>
        <v>90</v>
      </c>
      <c r="S349" s="20"/>
      <c r="T349" s="68" t="str">
        <f>VLOOKUP(A349,'Calendar ID'!$A:$C,3,false)</f>
        <v>iimslmapro@outlook.fr</v>
      </c>
      <c r="U349" s="69" t="b">
        <v>1</v>
      </c>
      <c r="V349" s="70" t="s">
        <v>82</v>
      </c>
      <c r="W349" s="69" t="b">
        <v>1</v>
      </c>
      <c r="X349" s="70" t="s">
        <v>82</v>
      </c>
    </row>
    <row r="350" hidden="1">
      <c r="A350" s="16" t="s">
        <v>348</v>
      </c>
      <c r="B350" s="17">
        <v>45684.0</v>
      </c>
      <c r="C350" s="16" t="s">
        <v>245</v>
      </c>
      <c r="D350" s="16" t="s">
        <v>396</v>
      </c>
      <c r="E350" s="35">
        <v>45769.0</v>
      </c>
      <c r="G350" s="132">
        <v>45796.0</v>
      </c>
      <c r="H350" s="10" t="s">
        <v>31</v>
      </c>
      <c r="I350" s="16"/>
      <c r="J350" s="16" t="s">
        <v>43</v>
      </c>
      <c r="K350" s="23" t="s">
        <v>33</v>
      </c>
      <c r="L350" s="31">
        <f>1050/3</f>
        <v>350</v>
      </c>
      <c r="N350" s="16"/>
      <c r="O350" s="16"/>
      <c r="P350" s="16" t="s">
        <v>34</v>
      </c>
      <c r="Q350" s="17">
        <f t="shared" si="1"/>
        <v>45684</v>
      </c>
      <c r="R350" s="18">
        <f t="shared" si="67"/>
        <v>105</v>
      </c>
      <c r="S350" s="20"/>
      <c r="T350" s="68" t="str">
        <f>VLOOKUP(A350,'Calendar ID'!$A:$C,3,false)</f>
        <v>amani.mee10@gmail.com</v>
      </c>
      <c r="U350" s="69" t="b">
        <v>0</v>
      </c>
      <c r="V350" s="70" t="s">
        <v>82</v>
      </c>
      <c r="W350" s="69" t="b">
        <v>0</v>
      </c>
      <c r="X350" s="70" t="s">
        <v>82</v>
      </c>
    </row>
    <row r="351" hidden="1">
      <c r="A351" s="128" t="s">
        <v>428</v>
      </c>
      <c r="B351" s="17">
        <v>45762.0</v>
      </c>
      <c r="C351" s="16" t="s">
        <v>429</v>
      </c>
      <c r="E351" s="33">
        <v>45765.0</v>
      </c>
      <c r="F351" s="17"/>
      <c r="G351" s="17"/>
      <c r="H351" s="10" t="s">
        <v>31</v>
      </c>
      <c r="J351" s="16" t="s">
        <v>43</v>
      </c>
      <c r="K351" s="16" t="s">
        <v>33</v>
      </c>
      <c r="L351" s="31">
        <v>200.0</v>
      </c>
      <c r="N351" s="16"/>
      <c r="O351" s="16"/>
      <c r="P351" s="23"/>
      <c r="Q351" s="17">
        <f t="shared" si="1"/>
        <v>45762</v>
      </c>
      <c r="R351" s="15"/>
      <c r="S351" s="20"/>
      <c r="T351" s="68"/>
      <c r="U351" s="77"/>
      <c r="V351" s="68"/>
      <c r="W351" s="71"/>
      <c r="X351" s="20"/>
    </row>
    <row r="352" hidden="1">
      <c r="A352" s="16" t="s">
        <v>353</v>
      </c>
      <c r="B352" s="17">
        <v>45681.0</v>
      </c>
      <c r="C352" s="16" t="s">
        <v>245</v>
      </c>
      <c r="D352" s="16" t="s">
        <v>396</v>
      </c>
      <c r="E352" s="35">
        <v>45769.0</v>
      </c>
      <c r="G352" s="17"/>
      <c r="H352" s="10" t="s">
        <v>31</v>
      </c>
      <c r="J352" s="16" t="s">
        <v>43</v>
      </c>
      <c r="K352" s="23" t="s">
        <v>33</v>
      </c>
      <c r="L352" s="31">
        <v>500.0</v>
      </c>
      <c r="N352" s="16"/>
      <c r="O352" s="16"/>
      <c r="P352" s="16" t="s">
        <v>34</v>
      </c>
      <c r="Q352" s="17">
        <f t="shared" si="1"/>
        <v>45681</v>
      </c>
      <c r="R352" s="18">
        <f>L352*0.3</f>
        <v>150</v>
      </c>
      <c r="S352" s="20"/>
      <c r="T352" s="68" t="str">
        <f>VLOOKUP(A352,'Calendar ID'!$A:$C,3,false)</f>
        <v>hidaya.7bl@gmail.com </v>
      </c>
      <c r="U352" s="69" t="b">
        <v>1</v>
      </c>
      <c r="V352" s="70" t="s">
        <v>82</v>
      </c>
      <c r="W352" s="69" t="b">
        <v>1</v>
      </c>
      <c r="X352" s="70" t="s">
        <v>82</v>
      </c>
    </row>
    <row r="353" hidden="1">
      <c r="A353" s="16" t="s">
        <v>110</v>
      </c>
      <c r="B353" s="17">
        <v>45772.0</v>
      </c>
      <c r="C353" s="16" t="s">
        <v>37</v>
      </c>
      <c r="E353" s="33">
        <v>45766.0</v>
      </c>
      <c r="F353" s="17"/>
      <c r="G353" s="35">
        <v>45774.0</v>
      </c>
      <c r="H353" s="10" t="s">
        <v>31</v>
      </c>
      <c r="I353" s="16" t="s">
        <v>430</v>
      </c>
      <c r="L353" s="31"/>
      <c r="N353" s="16"/>
      <c r="O353" s="16"/>
      <c r="P353" s="23"/>
      <c r="Q353" s="17">
        <f t="shared" si="1"/>
        <v>45772</v>
      </c>
      <c r="R353" s="15"/>
      <c r="S353" s="20"/>
      <c r="T353" s="68"/>
      <c r="U353" s="77"/>
      <c r="V353" s="68"/>
      <c r="W353" s="71"/>
      <c r="X353" s="20"/>
    </row>
    <row r="354" hidden="1">
      <c r="A354" s="16" t="s">
        <v>157</v>
      </c>
      <c r="B354" s="17">
        <v>45793.0</v>
      </c>
      <c r="C354" s="16" t="s">
        <v>316</v>
      </c>
      <c r="E354" s="48">
        <v>45803.0</v>
      </c>
      <c r="F354" s="17"/>
      <c r="G354" s="48">
        <v>45807.0</v>
      </c>
      <c r="H354" s="10" t="s">
        <v>31</v>
      </c>
      <c r="I354" s="16" t="s">
        <v>431</v>
      </c>
      <c r="J354" s="16" t="s">
        <v>43</v>
      </c>
      <c r="K354" s="16" t="s">
        <v>33</v>
      </c>
      <c r="L354" s="31">
        <v>400.0</v>
      </c>
      <c r="N354" s="16"/>
      <c r="O354" s="16"/>
      <c r="P354" s="10" t="s">
        <v>34</v>
      </c>
      <c r="Q354" s="17">
        <f t="shared" si="1"/>
        <v>45793</v>
      </c>
      <c r="R354" s="18">
        <f t="shared" ref="R354:R361" si="68">L354*0.3</f>
        <v>120</v>
      </c>
      <c r="S354" s="20"/>
      <c r="T354" s="68" t="str">
        <f>VLOOKUP(A354,'Calendar ID'!$A:$C,3,false)</f>
        <v>jeannebayart@gmail.com</v>
      </c>
      <c r="U354" s="71" t="b">
        <v>0</v>
      </c>
      <c r="V354" s="68" t="str">
        <f>VLOOKUP($A354,'Calendar ID'!$A:$C,2,false)</f>
        <v>c_d2ee2c2110f1f2bc5b089d0edb8b480581f78d93077274c225fcfc530518b2ca@group.calendar.google.com</v>
      </c>
      <c r="W354" s="71" t="b">
        <v>0</v>
      </c>
      <c r="X354" s="68" t="str">
        <f>VLOOKUP($A354,'Calendar ID'!$A:$C,2,false)</f>
        <v>c_d2ee2c2110f1f2bc5b089d0edb8b480581f78d93077274c225fcfc530518b2ca@group.calendar.google.com</v>
      </c>
    </row>
    <row r="355" hidden="1">
      <c r="A355" s="16" t="s">
        <v>136</v>
      </c>
      <c r="B355" s="17">
        <v>45674.0</v>
      </c>
      <c r="C355" s="16" t="s">
        <v>245</v>
      </c>
      <c r="D355" s="16" t="s">
        <v>396</v>
      </c>
      <c r="E355" s="35">
        <v>45770.0</v>
      </c>
      <c r="G355" s="36">
        <v>45776.0</v>
      </c>
      <c r="H355" s="16" t="s">
        <v>31</v>
      </c>
      <c r="I355" s="16" t="s">
        <v>432</v>
      </c>
      <c r="J355" s="16" t="s">
        <v>43</v>
      </c>
      <c r="K355" s="23" t="s">
        <v>33</v>
      </c>
      <c r="L355" s="31">
        <v>195.0</v>
      </c>
      <c r="M355" s="16">
        <v>350.0</v>
      </c>
      <c r="N355" s="16"/>
      <c r="O355" s="16"/>
      <c r="P355" s="23" t="s">
        <v>34</v>
      </c>
      <c r="Q355" s="17">
        <f t="shared" si="1"/>
        <v>45674</v>
      </c>
      <c r="R355" s="18">
        <f t="shared" si="68"/>
        <v>58.5</v>
      </c>
      <c r="S355" s="20"/>
      <c r="T355" s="68" t="str">
        <f>VLOOKUP(A355,'Calendar ID'!$A:$C,3,false)</f>
        <v>liserdg.pro@gmail.com </v>
      </c>
      <c r="U355" s="69" t="b">
        <v>1</v>
      </c>
      <c r="V355" s="70" t="s">
        <v>82</v>
      </c>
      <c r="W355" s="69" t="b">
        <v>1</v>
      </c>
      <c r="X355" s="70" t="s">
        <v>82</v>
      </c>
    </row>
    <row r="356" hidden="1">
      <c r="A356" s="16" t="s">
        <v>89</v>
      </c>
      <c r="B356" s="17">
        <v>45674.0</v>
      </c>
      <c r="C356" s="16" t="s">
        <v>245</v>
      </c>
      <c r="D356" s="16" t="s">
        <v>396</v>
      </c>
      <c r="E356" s="35">
        <v>45770.0</v>
      </c>
      <c r="G356" s="36">
        <v>45776.0</v>
      </c>
      <c r="H356" s="16" t="s">
        <v>31</v>
      </c>
      <c r="I356" s="16" t="s">
        <v>313</v>
      </c>
      <c r="J356" s="16" t="s">
        <v>43</v>
      </c>
      <c r="K356" s="23" t="s">
        <v>33</v>
      </c>
      <c r="L356" s="31">
        <v>350.0</v>
      </c>
      <c r="N356" s="16"/>
      <c r="O356" s="16"/>
      <c r="P356" s="23" t="s">
        <v>34</v>
      </c>
      <c r="Q356" s="17">
        <f t="shared" si="1"/>
        <v>45674</v>
      </c>
      <c r="R356" s="18">
        <f t="shared" si="68"/>
        <v>105</v>
      </c>
      <c r="S356" s="20"/>
      <c r="T356" s="68" t="str">
        <f>VLOOKUP(A356,'Calendar ID'!$A:$C,3,false)</f>
        <v>lola140204@gmail.com</v>
      </c>
      <c r="U356" s="69" t="b">
        <v>1</v>
      </c>
      <c r="V356" s="70" t="s">
        <v>82</v>
      </c>
      <c r="W356" s="69" t="b">
        <v>1</v>
      </c>
      <c r="X356" s="70" t="s">
        <v>82</v>
      </c>
    </row>
    <row r="357" hidden="1">
      <c r="A357" s="128" t="s">
        <v>290</v>
      </c>
      <c r="B357" s="17">
        <v>45754.0</v>
      </c>
      <c r="C357" s="16" t="s">
        <v>211</v>
      </c>
      <c r="E357" s="35">
        <v>45769.0</v>
      </c>
      <c r="F357" s="17"/>
      <c r="G357" s="36">
        <v>45778.0</v>
      </c>
      <c r="H357" s="10" t="s">
        <v>31</v>
      </c>
      <c r="J357" s="16" t="s">
        <v>43</v>
      </c>
      <c r="K357" s="16" t="s">
        <v>33</v>
      </c>
      <c r="L357" s="31">
        <v>600.0</v>
      </c>
      <c r="N357" s="65" t="s">
        <v>433</v>
      </c>
      <c r="O357" s="16"/>
      <c r="P357" s="10" t="s">
        <v>34</v>
      </c>
      <c r="Q357" s="17">
        <f t="shared" si="1"/>
        <v>45754</v>
      </c>
      <c r="R357" s="18">
        <f t="shared" si="68"/>
        <v>180</v>
      </c>
      <c r="S357" s="20"/>
      <c r="T357" s="68" t="str">
        <f>VLOOKUP(A357,'Calendar ID'!$A:$C,3,false)</f>
        <v>hello.gurbet@gmail.com </v>
      </c>
      <c r="U357" s="71" t="b">
        <v>0</v>
      </c>
      <c r="V357" s="68" t="str">
        <f>VLOOKUP($A357,'Calendar ID'!$A:$C,2,false)</f>
        <v>c_db1fbd259183311b30d5bfa9e5494d85e4aa71562c2d699763ba11e15f3e8a3b@group.calendar.google.com</v>
      </c>
      <c r="W357" s="69" t="b">
        <v>1</v>
      </c>
      <c r="X357" s="70" t="s">
        <v>82</v>
      </c>
    </row>
    <row r="358" hidden="1">
      <c r="A358" s="16" t="s">
        <v>76</v>
      </c>
      <c r="B358" s="17">
        <v>45674.0</v>
      </c>
      <c r="C358" s="16" t="s">
        <v>245</v>
      </c>
      <c r="D358" s="16" t="s">
        <v>396</v>
      </c>
      <c r="E358" s="35">
        <v>45770.0</v>
      </c>
      <c r="G358" s="36">
        <v>45777.0</v>
      </c>
      <c r="H358" s="16" t="s">
        <v>31</v>
      </c>
      <c r="I358" s="16" t="s">
        <v>313</v>
      </c>
      <c r="J358" s="16" t="s">
        <v>43</v>
      </c>
      <c r="K358" s="23" t="s">
        <v>33</v>
      </c>
      <c r="L358" s="15">
        <f>1200/3</f>
        <v>400</v>
      </c>
      <c r="N358" s="16"/>
      <c r="O358" s="16"/>
      <c r="P358" s="23" t="s">
        <v>34</v>
      </c>
      <c r="Q358" s="17">
        <f t="shared" si="1"/>
        <v>45674</v>
      </c>
      <c r="R358" s="18">
        <f t="shared" si="68"/>
        <v>120</v>
      </c>
      <c r="S358" s="20"/>
      <c r="T358" s="68" t="str">
        <f>VLOOKUP(A358,'Calendar ID'!$A:$C,3,false)</f>
        <v>orane.baron1403@gmail.com</v>
      </c>
      <c r="U358" s="69" t="b">
        <v>1</v>
      </c>
      <c r="V358" s="70" t="s">
        <v>82</v>
      </c>
      <c r="W358" s="69" t="b">
        <v>1</v>
      </c>
      <c r="X358" s="70" t="s">
        <v>82</v>
      </c>
    </row>
    <row r="359" hidden="1">
      <c r="A359" s="16" t="s">
        <v>157</v>
      </c>
      <c r="B359" s="17">
        <v>45793.0</v>
      </c>
      <c r="C359" s="16" t="s">
        <v>316</v>
      </c>
      <c r="E359" s="48">
        <v>45803.0</v>
      </c>
      <c r="F359" s="17"/>
      <c r="G359" s="48">
        <v>45808.0</v>
      </c>
      <c r="H359" s="10" t="s">
        <v>31</v>
      </c>
      <c r="I359" s="16" t="s">
        <v>434</v>
      </c>
      <c r="J359" s="16" t="s">
        <v>43</v>
      </c>
      <c r="K359" s="16" t="s">
        <v>33</v>
      </c>
      <c r="L359" s="31">
        <v>400.0</v>
      </c>
      <c r="N359" s="16"/>
      <c r="O359" s="16"/>
      <c r="P359" s="10" t="s">
        <v>34</v>
      </c>
      <c r="Q359" s="17">
        <f t="shared" si="1"/>
        <v>45793</v>
      </c>
      <c r="R359" s="18">
        <f t="shared" si="68"/>
        <v>120</v>
      </c>
      <c r="S359" s="20"/>
      <c r="T359" s="68" t="str">
        <f>VLOOKUP(A359,'Calendar ID'!$A:$C,3,false)</f>
        <v>jeannebayart@gmail.com</v>
      </c>
      <c r="U359" s="71" t="b">
        <v>0</v>
      </c>
      <c r="V359" s="68" t="str">
        <f>VLOOKUP($A359,'Calendar ID'!$A:$C,2,false)</f>
        <v>c_d2ee2c2110f1f2bc5b089d0edb8b480581f78d93077274c225fcfc530518b2ca@group.calendar.google.com</v>
      </c>
      <c r="W359" s="71" t="b">
        <v>0</v>
      </c>
      <c r="X359" s="68" t="str">
        <f>VLOOKUP($A359,'Calendar ID'!$A:$C,2,false)</f>
        <v>c_d2ee2c2110f1f2bc5b089d0edb8b480581f78d93077274c225fcfc530518b2ca@group.calendar.google.com</v>
      </c>
    </row>
    <row r="360" hidden="1">
      <c r="A360" s="16" t="s">
        <v>280</v>
      </c>
      <c r="B360" s="17">
        <v>45674.0</v>
      </c>
      <c r="C360" s="16" t="s">
        <v>245</v>
      </c>
      <c r="D360" s="16" t="s">
        <v>396</v>
      </c>
      <c r="E360" s="35">
        <v>45771.0</v>
      </c>
      <c r="G360" s="17" t="s">
        <v>435</v>
      </c>
      <c r="H360" s="16" t="s">
        <v>31</v>
      </c>
      <c r="I360" s="16" t="s">
        <v>313</v>
      </c>
      <c r="J360" s="16" t="s">
        <v>43</v>
      </c>
      <c r="K360" s="23" t="s">
        <v>33</v>
      </c>
      <c r="L360" s="31">
        <v>200.0</v>
      </c>
      <c r="N360" s="16"/>
      <c r="O360" s="16"/>
      <c r="P360" s="23" t="s">
        <v>34</v>
      </c>
      <c r="Q360" s="17">
        <f t="shared" si="1"/>
        <v>45674</v>
      </c>
      <c r="R360" s="18">
        <f t="shared" si="68"/>
        <v>60</v>
      </c>
      <c r="S360" s="20"/>
      <c r="T360" s="68" t="str">
        <f>VLOOKUP(A360,'Calendar ID'!$A:$C,3,false)</f>
        <v>ciman530@gmail.com</v>
      </c>
      <c r="U360" s="69" t="b">
        <v>1</v>
      </c>
      <c r="V360" s="70" t="s">
        <v>82</v>
      </c>
      <c r="W360" s="69" t="b">
        <v>1</v>
      </c>
      <c r="X360" s="70" t="s">
        <v>247</v>
      </c>
    </row>
    <row r="361" hidden="1">
      <c r="A361" s="16" t="s">
        <v>436</v>
      </c>
      <c r="B361" s="17">
        <v>45737.0</v>
      </c>
      <c r="C361" s="16" t="s">
        <v>64</v>
      </c>
      <c r="E361" s="35">
        <v>45769.0</v>
      </c>
      <c r="F361" s="17"/>
      <c r="G361" s="35">
        <v>45772.0</v>
      </c>
      <c r="H361" s="10" t="s">
        <v>31</v>
      </c>
      <c r="I361" s="16" t="s">
        <v>418</v>
      </c>
      <c r="J361" s="16" t="s">
        <v>43</v>
      </c>
      <c r="K361" s="16" t="s">
        <v>33</v>
      </c>
      <c r="L361" s="31">
        <v>1400.0</v>
      </c>
      <c r="N361" s="16"/>
      <c r="O361" s="16"/>
      <c r="P361" s="23" t="s">
        <v>34</v>
      </c>
      <c r="Q361" s="17">
        <f t="shared" si="1"/>
        <v>45737</v>
      </c>
      <c r="R361" s="18">
        <f t="shared" si="68"/>
        <v>420</v>
      </c>
      <c r="S361" s="20"/>
      <c r="T361" s="68" t="str">
        <f>VLOOKUP(A361,'Calendar ID'!$A:$C,3,false)</f>
        <v>#N/A</v>
      </c>
      <c r="U361" s="71" t="b">
        <v>0</v>
      </c>
      <c r="V361" s="68" t="str">
        <f>VLOOKUP($A361,'Calendar ID'!$A:$C,2,false)</f>
        <v>#N/A</v>
      </c>
      <c r="W361" s="69" t="b">
        <v>0</v>
      </c>
      <c r="X361" s="68" t="str">
        <f>VLOOKUP($A361,'Calendar ID'!$A:$C,2,false)</f>
        <v>#N/A</v>
      </c>
    </row>
    <row r="362" hidden="1">
      <c r="A362" s="128" t="s">
        <v>76</v>
      </c>
      <c r="B362" s="17">
        <v>45761.0</v>
      </c>
      <c r="C362" s="16" t="s">
        <v>30</v>
      </c>
      <c r="E362" s="35">
        <f>G362-7</f>
        <v>45770</v>
      </c>
      <c r="F362" s="17"/>
      <c r="G362" s="36">
        <v>45777.0</v>
      </c>
      <c r="H362" s="10" t="s">
        <v>31</v>
      </c>
      <c r="J362" s="16" t="s">
        <v>43</v>
      </c>
      <c r="K362" s="16" t="s">
        <v>33</v>
      </c>
      <c r="L362" s="31"/>
      <c r="N362" s="16"/>
      <c r="O362" s="16"/>
      <c r="P362" s="23"/>
      <c r="Q362" s="17">
        <f t="shared" si="1"/>
        <v>45761</v>
      </c>
      <c r="R362" s="15"/>
      <c r="S362" s="20"/>
      <c r="T362" s="68" t="str">
        <f>VLOOKUP(A362,'Calendar ID'!$A:$C,3,false)</f>
        <v>orane.baron1403@gmail.com</v>
      </c>
      <c r="U362" s="69" t="b">
        <v>1</v>
      </c>
      <c r="V362" s="70" t="s">
        <v>82</v>
      </c>
      <c r="W362" s="69" t="b">
        <v>1</v>
      </c>
      <c r="X362" s="70" t="s">
        <v>82</v>
      </c>
    </row>
    <row r="363" hidden="1">
      <c r="A363" s="16" t="s">
        <v>215</v>
      </c>
      <c r="B363" s="17">
        <v>45674.0</v>
      </c>
      <c r="C363" s="16" t="s">
        <v>245</v>
      </c>
      <c r="D363" s="16" t="s">
        <v>396</v>
      </c>
      <c r="E363" s="35">
        <v>45771.0</v>
      </c>
      <c r="G363" s="17" t="s">
        <v>435</v>
      </c>
      <c r="H363" s="16" t="s">
        <v>31</v>
      </c>
      <c r="I363" s="16" t="s">
        <v>313</v>
      </c>
      <c r="J363" s="16" t="s">
        <v>43</v>
      </c>
      <c r="K363" s="23" t="s">
        <v>33</v>
      </c>
      <c r="L363" s="31">
        <v>300.0</v>
      </c>
      <c r="N363" s="16"/>
      <c r="O363" s="16"/>
      <c r="P363" s="23" t="s">
        <v>34</v>
      </c>
      <c r="Q363" s="17">
        <f t="shared" si="1"/>
        <v>45674</v>
      </c>
      <c r="R363" s="18">
        <f t="shared" ref="R363:R365" si="69">L363*0.3</f>
        <v>90</v>
      </c>
      <c r="S363" s="20"/>
      <c r="T363" s="68" t="str">
        <f>VLOOKUP(A363,'Calendar ID'!$A:$C,3,false)</f>
        <v>iimslmapro@outlook.fr</v>
      </c>
      <c r="U363" s="69" t="b">
        <v>1</v>
      </c>
      <c r="V363" s="70" t="s">
        <v>82</v>
      </c>
      <c r="W363" s="69" t="b">
        <v>1</v>
      </c>
      <c r="X363" s="70" t="s">
        <v>247</v>
      </c>
    </row>
    <row r="364" hidden="1">
      <c r="A364" s="16" t="s">
        <v>91</v>
      </c>
      <c r="B364" s="17">
        <v>45703.0</v>
      </c>
      <c r="C364" s="16" t="s">
        <v>245</v>
      </c>
      <c r="D364" s="16" t="s">
        <v>366</v>
      </c>
      <c r="E364" s="94">
        <v>45718.0</v>
      </c>
      <c r="F364" s="17"/>
      <c r="G364" s="94">
        <v>45722.0</v>
      </c>
      <c r="H364" s="10" t="s">
        <v>31</v>
      </c>
      <c r="J364" s="16" t="s">
        <v>43</v>
      </c>
      <c r="K364" s="16" t="s">
        <v>33</v>
      </c>
      <c r="L364" s="31">
        <f>1050/3</f>
        <v>350</v>
      </c>
      <c r="N364" s="16"/>
      <c r="O364" s="16"/>
      <c r="P364" s="23" t="s">
        <v>34</v>
      </c>
      <c r="Q364" s="17">
        <f t="shared" si="1"/>
        <v>45703</v>
      </c>
      <c r="R364" s="18">
        <f t="shared" si="69"/>
        <v>105</v>
      </c>
      <c r="S364" s="20"/>
      <c r="T364" s="68" t="str">
        <f>VLOOKUP(A364,'Calendar ID'!$A:$C,3,false)</f>
        <v>juliane.bernard57@icloud.com</v>
      </c>
      <c r="U364" s="71" t="b">
        <v>0</v>
      </c>
      <c r="V364" s="68" t="str">
        <f>VLOOKUP($A364,'Calendar ID'!$A:$C,2,false)</f>
        <v>c_f6970d92e9be72b1307e3c015a265d69ae87140c691e7728bc83462544d82455@group.calendar.google.com</v>
      </c>
      <c r="W364" s="69" t="b">
        <v>1</v>
      </c>
      <c r="X364" s="70" t="s">
        <v>82</v>
      </c>
    </row>
    <row r="365" hidden="1">
      <c r="A365" s="16" t="s">
        <v>110</v>
      </c>
      <c r="B365" s="17">
        <v>45674.0</v>
      </c>
      <c r="C365" s="16" t="s">
        <v>245</v>
      </c>
      <c r="D365" s="16" t="s">
        <v>396</v>
      </c>
      <c r="E365" s="35">
        <v>45773.0</v>
      </c>
      <c r="G365" s="36">
        <v>45777.0</v>
      </c>
      <c r="H365" s="16" t="s">
        <v>31</v>
      </c>
      <c r="I365" s="16" t="s">
        <v>313</v>
      </c>
      <c r="J365" s="16" t="s">
        <v>43</v>
      </c>
      <c r="K365" s="23" t="s">
        <v>33</v>
      </c>
      <c r="L365" s="31">
        <v>300.0</v>
      </c>
      <c r="N365" s="16"/>
      <c r="O365" s="16"/>
      <c r="P365" s="23" t="s">
        <v>34</v>
      </c>
      <c r="Q365" s="17">
        <f t="shared" si="1"/>
        <v>45674</v>
      </c>
      <c r="R365" s="18">
        <f t="shared" si="69"/>
        <v>90</v>
      </c>
      <c r="S365" s="20"/>
      <c r="T365" s="68" t="str">
        <f>VLOOKUP(A365,'Calendar ID'!$A:$C,3,false)</f>
        <v>terpperrine@gmail.com</v>
      </c>
      <c r="U365" s="69" t="b">
        <v>1</v>
      </c>
      <c r="V365" s="70" t="s">
        <v>82</v>
      </c>
      <c r="W365" s="69" t="b">
        <v>1</v>
      </c>
      <c r="X365" s="70" t="s">
        <v>82</v>
      </c>
    </row>
    <row r="366" hidden="1">
      <c r="A366" s="16" t="s">
        <v>29</v>
      </c>
      <c r="B366" s="17">
        <v>45744.0</v>
      </c>
      <c r="C366" s="16" t="s">
        <v>347</v>
      </c>
      <c r="E366" s="35">
        <v>45770.0</v>
      </c>
      <c r="F366" s="17"/>
      <c r="G366" s="35">
        <v>45771.0</v>
      </c>
      <c r="H366" s="10" t="s">
        <v>31</v>
      </c>
      <c r="I366" s="16" t="s">
        <v>437</v>
      </c>
      <c r="J366" s="16" t="s">
        <v>43</v>
      </c>
      <c r="K366" s="16" t="s">
        <v>33</v>
      </c>
      <c r="L366" s="31">
        <v>250.0</v>
      </c>
      <c r="N366" s="16"/>
      <c r="O366" s="16"/>
      <c r="P366" s="10" t="s">
        <v>34</v>
      </c>
      <c r="Q366" s="17">
        <f t="shared" si="1"/>
        <v>45744</v>
      </c>
      <c r="R366" s="18">
        <f>L366*0.2</f>
        <v>50</v>
      </c>
      <c r="S366" s="20"/>
      <c r="T366" s="68" t="str">
        <f>VLOOKUP(A366,'Calendar ID'!$A:$C,3,false)</f>
        <v>pauline@grapperagency.com</v>
      </c>
      <c r="U366" s="69" t="b">
        <v>1</v>
      </c>
      <c r="V366" s="70" t="s">
        <v>82</v>
      </c>
      <c r="W366" s="69" t="b">
        <v>1</v>
      </c>
      <c r="X366" s="70" t="s">
        <v>82</v>
      </c>
    </row>
    <row r="367" hidden="1">
      <c r="A367" s="16" t="s">
        <v>364</v>
      </c>
      <c r="B367" s="17">
        <v>45740.0</v>
      </c>
      <c r="C367" s="16" t="s">
        <v>222</v>
      </c>
      <c r="E367" s="35">
        <v>45774.0</v>
      </c>
      <c r="F367" s="17"/>
      <c r="G367" s="17"/>
      <c r="H367" s="10" t="s">
        <v>31</v>
      </c>
      <c r="J367" s="16" t="s">
        <v>43</v>
      </c>
      <c r="K367" s="16" t="s">
        <v>33</v>
      </c>
      <c r="L367" s="31">
        <v>400.0</v>
      </c>
      <c r="N367" s="16"/>
      <c r="O367" s="16"/>
      <c r="P367" s="23" t="s">
        <v>34</v>
      </c>
      <c r="Q367" s="17">
        <f t="shared" si="1"/>
        <v>45740</v>
      </c>
      <c r="R367" s="18">
        <f t="shared" ref="R367:R369" si="70">L367*0.3</f>
        <v>120</v>
      </c>
      <c r="S367" s="20"/>
      <c r="T367" s="68" t="str">
        <f>VLOOKUP(A367,'Calendar ID'!$A:$C,3,false)</f>
        <v>Sirine.yza@gmail.com</v>
      </c>
      <c r="U367" s="69" t="b">
        <v>1</v>
      </c>
      <c r="V367" s="70" t="s">
        <v>82</v>
      </c>
      <c r="W367" s="69" t="b">
        <v>0</v>
      </c>
      <c r="X367" s="68" t="str">
        <f>VLOOKUP($A367,'Calendar ID'!$A:$C,2,false)</f>
        <v>c_4bf2087a99450838a520f4ce4fc6de01f87130a4f381347449792eaf1546cc46@group.calendar.google.com</v>
      </c>
    </row>
    <row r="368" hidden="1">
      <c r="A368" s="16" t="s">
        <v>436</v>
      </c>
      <c r="B368" s="17">
        <v>45722.0</v>
      </c>
      <c r="C368" s="16" t="s">
        <v>211</v>
      </c>
      <c r="E368" s="35">
        <v>45771.0</v>
      </c>
      <c r="G368" s="36">
        <v>45777.0</v>
      </c>
      <c r="H368" s="10" t="s">
        <v>31</v>
      </c>
      <c r="J368" s="16" t="s">
        <v>43</v>
      </c>
      <c r="K368" s="16" t="s">
        <v>33</v>
      </c>
      <c r="L368" s="31">
        <v>400.0</v>
      </c>
      <c r="M368" s="18">
        <f>L368-R368</f>
        <v>280</v>
      </c>
      <c r="N368" s="65" t="s">
        <v>438</v>
      </c>
      <c r="O368" s="16"/>
      <c r="P368" s="23" t="s">
        <v>34</v>
      </c>
      <c r="Q368" s="17">
        <f t="shared" si="1"/>
        <v>45722</v>
      </c>
      <c r="R368" s="18">
        <f t="shared" si="70"/>
        <v>120</v>
      </c>
      <c r="S368" s="20"/>
      <c r="T368" s="68" t="str">
        <f>VLOOKUP(A368,'Calendar ID'!$A:$C,3,false)</f>
        <v>#N/A</v>
      </c>
      <c r="U368" s="71" t="b">
        <v>0</v>
      </c>
      <c r="V368" s="68" t="str">
        <f>VLOOKUP($A368,'Calendar ID'!$A:$C,2,false)</f>
        <v>#N/A</v>
      </c>
      <c r="W368" s="71" t="b">
        <v>0</v>
      </c>
      <c r="X368" s="68" t="str">
        <f>VLOOKUP($A368,'Calendar ID'!$A:$C,2,false)</f>
        <v>#N/A</v>
      </c>
    </row>
    <row r="369" hidden="1">
      <c r="A369" s="16" t="s">
        <v>213</v>
      </c>
      <c r="B369" s="17">
        <v>45732.0</v>
      </c>
      <c r="C369" s="16" t="s">
        <v>439</v>
      </c>
      <c r="E369" s="35">
        <v>45771.0</v>
      </c>
      <c r="G369" s="35">
        <v>45771.0</v>
      </c>
      <c r="H369" s="10" t="s">
        <v>31</v>
      </c>
      <c r="J369" s="16" t="s">
        <v>43</v>
      </c>
      <c r="K369" s="16" t="s">
        <v>33</v>
      </c>
      <c r="L369" s="31">
        <v>800.0</v>
      </c>
      <c r="N369" s="16"/>
      <c r="O369" s="16" t="s">
        <v>401</v>
      </c>
      <c r="P369" s="23" t="s">
        <v>34</v>
      </c>
      <c r="Q369" s="17">
        <f t="shared" si="1"/>
        <v>45732</v>
      </c>
      <c r="R369" s="18">
        <f t="shared" si="70"/>
        <v>240</v>
      </c>
      <c r="S369" s="20"/>
      <c r="T369" s="68" t="str">
        <f>VLOOKUP(A369,'Calendar ID'!$A:$C,3,false)</f>
        <v>anaiswry@yahoo.fr</v>
      </c>
      <c r="U369" s="71" t="b">
        <v>0</v>
      </c>
      <c r="V369" s="68" t="str">
        <f>VLOOKUP($A369,'Calendar ID'!$A:$C,2,false)</f>
        <v>c_2754856c5047affc6767bb85fb787591389bf7d14d3afd368efdff9979492ab5@group.calendar.google.com</v>
      </c>
      <c r="W369" s="71" t="b">
        <v>0</v>
      </c>
      <c r="X369" s="68" t="str">
        <f>VLOOKUP($A369,'Calendar ID'!$A:$C,2,false)</f>
        <v>c_2754856c5047affc6767bb85fb787591389bf7d14d3afd368efdff9979492ab5@group.calendar.google.com</v>
      </c>
    </row>
    <row r="370" hidden="1">
      <c r="A370" s="128" t="s">
        <v>42</v>
      </c>
      <c r="B370" s="17">
        <v>45761.0</v>
      </c>
      <c r="C370" s="16" t="s">
        <v>30</v>
      </c>
      <c r="E370" s="35">
        <f>G370-7</f>
        <v>45774</v>
      </c>
      <c r="F370" s="17"/>
      <c r="G370" s="36">
        <v>45781.0</v>
      </c>
      <c r="H370" s="10" t="s">
        <v>31</v>
      </c>
      <c r="J370" s="16" t="s">
        <v>43</v>
      </c>
      <c r="K370" s="16" t="s">
        <v>33</v>
      </c>
      <c r="L370" s="31"/>
      <c r="N370" s="16"/>
      <c r="O370" s="16"/>
      <c r="P370" s="23"/>
      <c r="Q370" s="17">
        <f t="shared" si="1"/>
        <v>45761</v>
      </c>
      <c r="R370" s="15"/>
      <c r="S370" s="20"/>
      <c r="T370" s="68" t="str">
        <f>VLOOKUP($A370,'Calendar ID'!$A:$C,2,false)</f>
        <v>c_15e3504fd6fde5b88106b6d99934e830e051067bbd4af855bfd432d30fc2f262@group.calendar.google.com</v>
      </c>
      <c r="U370" s="69" t="b">
        <v>1</v>
      </c>
      <c r="V370" s="70" t="s">
        <v>82</v>
      </c>
      <c r="W370" s="69" t="b">
        <v>1</v>
      </c>
      <c r="X370" s="70" t="s">
        <v>82</v>
      </c>
    </row>
    <row r="371" hidden="1">
      <c r="A371" s="16" t="s">
        <v>237</v>
      </c>
      <c r="B371" s="17">
        <v>45727.0</v>
      </c>
      <c r="C371" s="16" t="s">
        <v>412</v>
      </c>
      <c r="E371" s="36">
        <v>45775.0</v>
      </c>
      <c r="G371" s="36">
        <v>45778.0</v>
      </c>
      <c r="H371" s="10" t="s">
        <v>31</v>
      </c>
      <c r="J371" s="16" t="s">
        <v>43</v>
      </c>
      <c r="K371" s="16" t="s">
        <v>33</v>
      </c>
      <c r="L371" s="31">
        <v>250.0</v>
      </c>
      <c r="N371" s="16"/>
      <c r="O371" s="16"/>
      <c r="P371" s="23" t="s">
        <v>34</v>
      </c>
      <c r="Q371" s="17">
        <f t="shared" si="1"/>
        <v>45727</v>
      </c>
      <c r="R371" s="18">
        <f t="shared" ref="R371:R376" si="71">L371*0.3</f>
        <v>75</v>
      </c>
      <c r="S371" s="20"/>
      <c r="T371" s="68" t="str">
        <f>VLOOKUP(A371,'Calendar ID'!$A:$C,3,false)</f>
        <v>shaaadl.pro@gmail.com</v>
      </c>
      <c r="U371" s="71" t="b">
        <v>0</v>
      </c>
      <c r="V371" s="68" t="str">
        <f>VLOOKUP($A371,'Calendar ID'!$A:$C,2,false)</f>
        <v>c_9384058245a0bc66157c09691047ea8f88622323c6761b8606c18d9b08ee0bf8@group.calendar.google.com</v>
      </c>
      <c r="W371" s="69" t="b">
        <v>1</v>
      </c>
      <c r="X371" s="70" t="s">
        <v>82</v>
      </c>
    </row>
    <row r="372" hidden="1">
      <c r="A372" s="16" t="s">
        <v>364</v>
      </c>
      <c r="B372" s="17">
        <v>45736.0</v>
      </c>
      <c r="C372" s="16" t="s">
        <v>412</v>
      </c>
      <c r="E372" s="36">
        <v>45775.0</v>
      </c>
      <c r="F372" s="17"/>
      <c r="G372" s="38">
        <v>45782.0</v>
      </c>
      <c r="H372" s="10" t="s">
        <v>31</v>
      </c>
      <c r="J372" s="16" t="s">
        <v>43</v>
      </c>
      <c r="K372" s="16" t="s">
        <v>33</v>
      </c>
      <c r="L372" s="31">
        <v>300.0</v>
      </c>
      <c r="N372" s="16"/>
      <c r="O372" s="16"/>
      <c r="P372" s="23" t="s">
        <v>34</v>
      </c>
      <c r="Q372" s="17">
        <f t="shared" si="1"/>
        <v>45736</v>
      </c>
      <c r="R372" s="18">
        <f t="shared" si="71"/>
        <v>90</v>
      </c>
      <c r="S372" s="20"/>
      <c r="T372" s="68" t="str">
        <f>VLOOKUP(A372,'Calendar ID'!$A:$C,3,false)</f>
        <v>Sirine.yza@gmail.com</v>
      </c>
      <c r="U372" s="71" t="b">
        <v>0</v>
      </c>
      <c r="V372" s="68" t="str">
        <f>VLOOKUP($A372,'Calendar ID'!$A:$C,2,false)</f>
        <v>c_4bf2087a99450838a520f4ce4fc6de01f87130a4f381347449792eaf1546cc46@group.calendar.google.com</v>
      </c>
      <c r="W372" s="69" t="b">
        <v>1</v>
      </c>
      <c r="X372" s="70" t="s">
        <v>82</v>
      </c>
    </row>
    <row r="373" hidden="1">
      <c r="A373" s="16" t="s">
        <v>244</v>
      </c>
      <c r="B373" s="17">
        <v>45722.0</v>
      </c>
      <c r="C373" s="16" t="s">
        <v>211</v>
      </c>
      <c r="E373" s="36">
        <v>45776.0</v>
      </c>
      <c r="G373" s="36">
        <v>45777.0</v>
      </c>
      <c r="H373" s="10" t="s">
        <v>31</v>
      </c>
      <c r="J373" s="16" t="s">
        <v>43</v>
      </c>
      <c r="K373" s="16" t="s">
        <v>33</v>
      </c>
      <c r="L373" s="31">
        <v>600.0</v>
      </c>
      <c r="N373" s="65" t="s">
        <v>440</v>
      </c>
      <c r="O373" s="16"/>
      <c r="P373" s="23" t="s">
        <v>34</v>
      </c>
      <c r="Q373" s="17">
        <f t="shared" si="1"/>
        <v>45722</v>
      </c>
      <c r="R373" s="18">
        <f t="shared" si="71"/>
        <v>180</v>
      </c>
      <c r="S373" s="20"/>
      <c r="T373" s="68" t="str">
        <f>VLOOKUP(A373,'Calendar ID'!$A:$C,3,false)</f>
        <v>jasminepro26@icloud.com </v>
      </c>
      <c r="U373" s="69" t="b">
        <v>1</v>
      </c>
      <c r="V373" s="70" t="s">
        <v>82</v>
      </c>
      <c r="W373" s="69" t="b">
        <v>1</v>
      </c>
      <c r="X373" s="70" t="s">
        <v>82</v>
      </c>
    </row>
    <row r="374" hidden="1">
      <c r="A374" s="16" t="s">
        <v>402</v>
      </c>
      <c r="B374" s="17">
        <v>45722.0</v>
      </c>
      <c r="C374" s="16" t="s">
        <v>211</v>
      </c>
      <c r="E374" s="36">
        <v>45776.0</v>
      </c>
      <c r="G374" s="36">
        <v>45778.0</v>
      </c>
      <c r="H374" s="10" t="s">
        <v>31</v>
      </c>
      <c r="J374" s="16" t="s">
        <v>43</v>
      </c>
      <c r="K374" s="16" t="s">
        <v>33</v>
      </c>
      <c r="L374" s="31">
        <v>600.0</v>
      </c>
      <c r="N374" s="65" t="s">
        <v>441</v>
      </c>
      <c r="O374" s="16"/>
      <c r="P374" s="23" t="s">
        <v>34</v>
      </c>
      <c r="Q374" s="17">
        <f t="shared" si="1"/>
        <v>45722</v>
      </c>
      <c r="R374" s="18">
        <f t="shared" si="71"/>
        <v>180</v>
      </c>
      <c r="S374" s="20"/>
      <c r="T374" s="68" t="str">
        <f>VLOOKUP(A374,'Calendar ID'!$A:$C,3,false)</f>
        <v>stzmarine6@gmail.com</v>
      </c>
      <c r="U374" s="69" t="b">
        <v>1</v>
      </c>
      <c r="V374" s="70" t="s">
        <v>82</v>
      </c>
      <c r="W374" s="69" t="b">
        <v>1</v>
      </c>
      <c r="X374" s="70" t="s">
        <v>82</v>
      </c>
    </row>
    <row r="375" hidden="1">
      <c r="A375" s="16" t="s">
        <v>113</v>
      </c>
      <c r="B375" s="17">
        <v>45722.0</v>
      </c>
      <c r="C375" s="16" t="s">
        <v>211</v>
      </c>
      <c r="E375" s="36">
        <v>45776.0</v>
      </c>
      <c r="G375" s="36">
        <v>45779.0</v>
      </c>
      <c r="H375" s="10" t="s">
        <v>31</v>
      </c>
      <c r="J375" s="16" t="s">
        <v>43</v>
      </c>
      <c r="K375" s="16" t="s">
        <v>33</v>
      </c>
      <c r="L375" s="31">
        <v>600.0</v>
      </c>
      <c r="M375" s="18">
        <f>L375-R375</f>
        <v>420</v>
      </c>
      <c r="N375" s="65" t="s">
        <v>442</v>
      </c>
      <c r="O375" s="16"/>
      <c r="P375" s="23" t="s">
        <v>34</v>
      </c>
      <c r="Q375" s="17">
        <f t="shared" si="1"/>
        <v>45722</v>
      </c>
      <c r="R375" s="18">
        <f t="shared" si="71"/>
        <v>180</v>
      </c>
      <c r="S375" s="20"/>
      <c r="T375" s="68" t="str">
        <f>VLOOKUP(A375,'Calendar ID'!$A:$C,3,false)</f>
        <v>lovelyMytb@gmail.com </v>
      </c>
      <c r="U375" s="71" t="b">
        <v>0</v>
      </c>
      <c r="V375" s="68" t="str">
        <f>VLOOKUP($A375,'Calendar ID'!$A:$C,2,false)</f>
        <v>c_68f94d9ebfae6399f09ec01b19d2012d5d2b7c5efbd47328c79c373cbeec7a5b@group.calendar.google.com</v>
      </c>
      <c r="W375" s="71" t="b">
        <v>0</v>
      </c>
      <c r="X375" s="68" t="str">
        <f>VLOOKUP($A375,'Calendar ID'!$A:$C,2,false)</f>
        <v>c_68f94d9ebfae6399f09ec01b19d2012d5d2b7c5efbd47328c79c373cbeec7a5b@group.calendar.google.com</v>
      </c>
    </row>
    <row r="376" hidden="1">
      <c r="A376" s="16" t="s">
        <v>443</v>
      </c>
      <c r="B376" s="17">
        <v>45703.0</v>
      </c>
      <c r="C376" s="16" t="s">
        <v>245</v>
      </c>
      <c r="D376" s="16" t="s">
        <v>444</v>
      </c>
      <c r="E376" s="36">
        <v>45781.0</v>
      </c>
      <c r="F376" s="133"/>
      <c r="G376" s="43">
        <v>45791.0</v>
      </c>
      <c r="H376" s="10" t="s">
        <v>31</v>
      </c>
      <c r="J376" s="16" t="s">
        <v>43</v>
      </c>
      <c r="K376" s="16" t="s">
        <v>33</v>
      </c>
      <c r="L376" s="31">
        <v>300.0</v>
      </c>
      <c r="N376" s="16"/>
      <c r="O376" s="16"/>
      <c r="P376" s="23" t="s">
        <v>34</v>
      </c>
      <c r="Q376" s="17">
        <f t="shared" si="1"/>
        <v>45703</v>
      </c>
      <c r="R376" s="18">
        <f t="shared" si="71"/>
        <v>90</v>
      </c>
      <c r="S376" s="20"/>
      <c r="T376" s="68" t="str">
        <f>VLOOKUP(A376,'Calendar ID'!$A:$C,3,false)</f>
        <v>Lyassa.ospro@gmail.com </v>
      </c>
      <c r="U376" s="71" t="b">
        <v>0</v>
      </c>
      <c r="V376" s="68" t="str">
        <f>VLOOKUP($A376,'Calendar ID'!$A:$C,2,false)</f>
        <v>c_2ab5bc877123c6d06b681700306d382bcc765d7810badc543daeacf05260ecd9@group.calendar.google.com</v>
      </c>
      <c r="W376" s="69" t="b">
        <v>1</v>
      </c>
      <c r="X376" s="70" t="s">
        <v>82</v>
      </c>
    </row>
    <row r="377" hidden="1">
      <c r="A377" s="128" t="s">
        <v>45</v>
      </c>
      <c r="B377" s="17">
        <v>45756.0</v>
      </c>
      <c r="C377" s="16" t="s">
        <v>67</v>
      </c>
      <c r="E377" s="36">
        <v>45777.0</v>
      </c>
      <c r="F377" s="17"/>
      <c r="G377" s="36">
        <v>45778.0</v>
      </c>
      <c r="H377" s="10" t="s">
        <v>31</v>
      </c>
      <c r="J377" s="16" t="s">
        <v>43</v>
      </c>
      <c r="K377" s="16" t="s">
        <v>33</v>
      </c>
      <c r="L377" s="31">
        <f>900+225</f>
        <v>1125</v>
      </c>
      <c r="N377" s="16"/>
      <c r="O377" s="16"/>
      <c r="P377" s="10" t="s">
        <v>34</v>
      </c>
      <c r="Q377" s="17">
        <f t="shared" si="1"/>
        <v>45756</v>
      </c>
      <c r="R377" s="18">
        <f>L377*0.25</f>
        <v>281.25</v>
      </c>
      <c r="S377" s="20"/>
      <c r="T377" s="68" t="str">
        <f>VLOOKUP(A377,'Calendar ID'!$A:$C,3,false)</f>
        <v>lilyy.nl@grapperagency.com</v>
      </c>
      <c r="U377" s="71" t="b">
        <v>0</v>
      </c>
      <c r="V377" s="68" t="str">
        <f>VLOOKUP($A377,'Calendar ID'!$A:$C,2,false)</f>
        <v>c_665764ca21c8e4b3814e25bf24bc7074fa55890dce5d4073abb0fdddc70649d4@group.calendar.google.com</v>
      </c>
      <c r="W377" s="71" t="b">
        <v>0</v>
      </c>
      <c r="X377" s="68" t="str">
        <f>VLOOKUP($A377,'Calendar ID'!$A:$C,2,false)</f>
        <v>c_665764ca21c8e4b3814e25bf24bc7074fa55890dce5d4073abb0fdddc70649d4@group.calendar.google.com</v>
      </c>
    </row>
    <row r="378" hidden="1">
      <c r="A378" s="128" t="s">
        <v>213</v>
      </c>
      <c r="B378" s="17">
        <v>45758.0</v>
      </c>
      <c r="C378" s="16" t="s">
        <v>188</v>
      </c>
      <c r="E378" s="36">
        <v>45778.0</v>
      </c>
      <c r="F378" s="17"/>
      <c r="G378" s="44">
        <v>45800.0</v>
      </c>
      <c r="H378" s="10" t="s">
        <v>31</v>
      </c>
      <c r="I378" s="16" t="s">
        <v>445</v>
      </c>
      <c r="J378" s="16" t="s">
        <v>43</v>
      </c>
      <c r="K378" s="16" t="s">
        <v>33</v>
      </c>
      <c r="L378" s="31">
        <v>1500.0</v>
      </c>
      <c r="N378" s="16"/>
      <c r="O378" s="16"/>
      <c r="P378" s="10" t="s">
        <v>34</v>
      </c>
      <c r="Q378" s="17">
        <f t="shared" si="1"/>
        <v>45758</v>
      </c>
      <c r="R378" s="18">
        <f t="shared" ref="R378:R381" si="72">L378*0.3</f>
        <v>450</v>
      </c>
      <c r="S378" s="20"/>
      <c r="T378" s="68" t="str">
        <f>VLOOKUP(A378,'Calendar ID'!$A:$C,3,false)</f>
        <v>anaiswry@yahoo.fr</v>
      </c>
      <c r="U378" s="71" t="b">
        <v>0</v>
      </c>
      <c r="V378" s="68" t="str">
        <f>VLOOKUP($A378,'Calendar ID'!$A:$C,2,false)</f>
        <v>c_2754856c5047affc6767bb85fb787591389bf7d14d3afd368efdff9979492ab5@group.calendar.google.com</v>
      </c>
      <c r="W378" s="71" t="b">
        <v>0</v>
      </c>
      <c r="X378" s="68" t="str">
        <f>VLOOKUP($A378,'Calendar ID'!$A:$C,2,false)</f>
        <v>c_2754856c5047affc6767bb85fb787591389bf7d14d3afd368efdff9979492ab5@group.calendar.google.com</v>
      </c>
    </row>
    <row r="379" hidden="1">
      <c r="A379" s="128" t="s">
        <v>215</v>
      </c>
      <c r="B379" s="17">
        <v>45729.0</v>
      </c>
      <c r="C379" s="16" t="s">
        <v>245</v>
      </c>
      <c r="D379" s="16" t="s">
        <v>444</v>
      </c>
      <c r="E379" s="38">
        <v>45783.0</v>
      </c>
      <c r="G379" s="38">
        <v>45785.0</v>
      </c>
      <c r="H379" s="10" t="s">
        <v>31</v>
      </c>
      <c r="J379" s="16" t="s">
        <v>43</v>
      </c>
      <c r="K379" s="16" t="s">
        <v>33</v>
      </c>
      <c r="L379" s="31">
        <v>300.0</v>
      </c>
      <c r="N379" s="16"/>
      <c r="O379" s="16"/>
      <c r="P379" s="23" t="s">
        <v>34</v>
      </c>
      <c r="Q379" s="17">
        <f t="shared" si="1"/>
        <v>45729</v>
      </c>
      <c r="R379" s="18">
        <f t="shared" si="72"/>
        <v>90</v>
      </c>
      <c r="S379" s="20"/>
      <c r="T379" s="68" t="str">
        <f>VLOOKUP(A379,'Calendar ID'!$A:$C,3,false)</f>
        <v>iimslmapro@outlook.fr</v>
      </c>
      <c r="U379" s="69" t="b">
        <v>1</v>
      </c>
      <c r="V379" s="70" t="s">
        <v>247</v>
      </c>
      <c r="W379" s="69" t="b">
        <v>1</v>
      </c>
      <c r="X379" s="68" t="str">
        <f>VLOOKUP($A379,'Calendar ID'!$A:$C,2,false)</f>
        <v>c_a80d776e58d8881ef4e876da99555e813842eeed9733f23e6f4b85d237e1fdec@group.calendar.google.com</v>
      </c>
    </row>
    <row r="380" ht="15.75" hidden="1" customHeight="1">
      <c r="A380" s="16" t="s">
        <v>276</v>
      </c>
      <c r="B380" s="17">
        <v>45729.0</v>
      </c>
      <c r="C380" s="16" t="s">
        <v>245</v>
      </c>
      <c r="D380" s="16" t="s">
        <v>444</v>
      </c>
      <c r="E380" s="38">
        <v>45783.0</v>
      </c>
      <c r="G380" s="44">
        <v>45798.0</v>
      </c>
      <c r="H380" s="10" t="s">
        <v>31</v>
      </c>
      <c r="J380" s="16" t="s">
        <v>43</v>
      </c>
      <c r="K380" s="16" t="s">
        <v>33</v>
      </c>
      <c r="L380" s="31">
        <v>300.0</v>
      </c>
      <c r="N380" s="65" t="s">
        <v>446</v>
      </c>
      <c r="O380" s="16"/>
      <c r="P380" s="23" t="s">
        <v>34</v>
      </c>
      <c r="Q380" s="17">
        <f t="shared" si="1"/>
        <v>45729</v>
      </c>
      <c r="R380" s="18">
        <f t="shared" si="72"/>
        <v>90</v>
      </c>
      <c r="S380" s="20"/>
      <c r="T380" s="68" t="str">
        <f>VLOOKUP(A380,'Calendar ID'!$A:$C,3,false)</f>
        <v>arwen.mechineau@outlook.fr</v>
      </c>
      <c r="U380" s="69" t="b">
        <v>1</v>
      </c>
      <c r="V380" s="70" t="s">
        <v>247</v>
      </c>
      <c r="W380" s="69" t="b">
        <v>1</v>
      </c>
      <c r="X380" s="68" t="str">
        <f>VLOOKUP($A380,'Calendar ID'!$A:$C,2,false)</f>
        <v>c_df86b3d6c5aa83af7e7dadc1108907ecb89d8fc7e4b645a62e375b31e7b5e3a3@group.calendar.google.com</v>
      </c>
    </row>
    <row r="381" hidden="1">
      <c r="A381" s="134" t="s">
        <v>113</v>
      </c>
      <c r="B381" s="11">
        <v>45729.0</v>
      </c>
      <c r="C381" s="7" t="s">
        <v>245</v>
      </c>
      <c r="D381" s="16" t="s">
        <v>444</v>
      </c>
      <c r="E381" s="135">
        <v>45784.0</v>
      </c>
      <c r="F381" s="26"/>
      <c r="G381" s="135">
        <v>45786.0</v>
      </c>
      <c r="H381" s="10" t="s">
        <v>31</v>
      </c>
      <c r="I381" s="7"/>
      <c r="J381" s="7" t="s">
        <v>43</v>
      </c>
      <c r="K381" s="7" t="s">
        <v>33</v>
      </c>
      <c r="L381" s="15">
        <v>300.0</v>
      </c>
      <c r="M381" s="7"/>
      <c r="N381" s="23"/>
      <c r="O381" s="23"/>
      <c r="P381" s="23" t="s">
        <v>34</v>
      </c>
      <c r="Q381" s="17">
        <f t="shared" si="1"/>
        <v>45729</v>
      </c>
      <c r="R381" s="18">
        <f t="shared" si="72"/>
        <v>90</v>
      </c>
      <c r="S381" s="68"/>
      <c r="T381" s="68" t="str">
        <f>VLOOKUP(A381,'Calendar ID'!$A:$C,3,false)</f>
        <v>lovelyMytb@gmail.com </v>
      </c>
      <c r="U381" s="71" t="b">
        <v>1</v>
      </c>
      <c r="V381" s="70" t="s">
        <v>247</v>
      </c>
      <c r="W381" s="71" t="b">
        <v>1</v>
      </c>
      <c r="X381" s="68" t="str">
        <f>VLOOKUP($A381,'Calendar ID'!$A:$C,2,false)</f>
        <v>c_68f94d9ebfae6399f09ec01b19d2012d5d2b7c5efbd47328c79c373cbeec7a5b@group.calendar.google.com</v>
      </c>
      <c r="Y381" s="7"/>
      <c r="Z381" s="7"/>
      <c r="AA381" s="7"/>
      <c r="AB381" s="7"/>
      <c r="AC381" s="7"/>
    </row>
    <row r="382" hidden="1">
      <c r="A382" s="16" t="s">
        <v>42</v>
      </c>
      <c r="B382" s="17">
        <v>45755.0</v>
      </c>
      <c r="C382" s="16" t="s">
        <v>211</v>
      </c>
      <c r="E382" s="36">
        <f>G382-7</f>
        <v>45780</v>
      </c>
      <c r="F382" s="17"/>
      <c r="G382" s="38">
        <v>45787.0</v>
      </c>
      <c r="H382" s="10" t="s">
        <v>31</v>
      </c>
      <c r="I382" s="16" t="s">
        <v>447</v>
      </c>
      <c r="J382" s="16" t="s">
        <v>43</v>
      </c>
      <c r="K382" s="16" t="s">
        <v>33</v>
      </c>
      <c r="L382" s="31">
        <v>600.0</v>
      </c>
      <c r="N382" s="16"/>
      <c r="O382" s="16"/>
      <c r="P382" s="10" t="s">
        <v>34</v>
      </c>
      <c r="Q382" s="17">
        <f t="shared" si="1"/>
        <v>45755</v>
      </c>
      <c r="R382" s="18">
        <f>L382*0.25</f>
        <v>150</v>
      </c>
      <c r="S382" s="20"/>
      <c r="T382" s="68" t="str">
        <f>VLOOKUP(A382,'Calendar ID'!$A:$C,3,false)</f>
        <v>cmepls.pro@gmail.com</v>
      </c>
      <c r="U382" s="69" t="b">
        <v>1</v>
      </c>
      <c r="V382" s="70" t="s">
        <v>82</v>
      </c>
      <c r="W382" s="69" t="b">
        <v>1</v>
      </c>
      <c r="X382" s="70" t="s">
        <v>82</v>
      </c>
    </row>
    <row r="383" hidden="1">
      <c r="A383" s="16" t="s">
        <v>284</v>
      </c>
      <c r="B383" s="17">
        <v>45777.0</v>
      </c>
      <c r="C383" s="16" t="s">
        <v>399</v>
      </c>
      <c r="E383" s="38">
        <v>45784.0</v>
      </c>
      <c r="F383" s="17"/>
      <c r="G383" s="17"/>
      <c r="H383" s="10" t="s">
        <v>31</v>
      </c>
      <c r="J383" s="16" t="s">
        <v>43</v>
      </c>
      <c r="K383" s="16" t="s">
        <v>33</v>
      </c>
      <c r="L383" s="31" t="s">
        <v>56</v>
      </c>
      <c r="N383" s="16"/>
      <c r="O383" s="16"/>
      <c r="P383" s="23"/>
      <c r="Q383" s="17">
        <f t="shared" si="1"/>
        <v>45777</v>
      </c>
      <c r="R383" s="15"/>
      <c r="S383" s="20"/>
      <c r="T383" s="68"/>
      <c r="U383" s="77"/>
      <c r="V383" s="68"/>
      <c r="W383" s="71"/>
      <c r="X383" s="20"/>
    </row>
    <row r="384" hidden="1">
      <c r="A384" s="16" t="s">
        <v>244</v>
      </c>
      <c r="B384" s="17">
        <v>45703.0</v>
      </c>
      <c r="C384" s="16" t="s">
        <v>245</v>
      </c>
      <c r="D384" s="23" t="s">
        <v>444</v>
      </c>
      <c r="E384" s="38">
        <v>45785.0</v>
      </c>
      <c r="F384" s="133"/>
      <c r="G384" s="43">
        <v>45793.0</v>
      </c>
      <c r="H384" s="10" t="s">
        <v>31</v>
      </c>
      <c r="J384" s="16" t="s">
        <v>43</v>
      </c>
      <c r="K384" s="16" t="s">
        <v>33</v>
      </c>
      <c r="L384" s="31">
        <v>300.0</v>
      </c>
      <c r="N384" s="16"/>
      <c r="O384" s="16"/>
      <c r="P384" s="23" t="s">
        <v>34</v>
      </c>
      <c r="Q384" s="17">
        <f t="shared" si="1"/>
        <v>45703</v>
      </c>
      <c r="R384" s="18">
        <f t="shared" ref="R384:R386" si="73">L384*0.3</f>
        <v>90</v>
      </c>
      <c r="S384" s="20"/>
      <c r="T384" s="68" t="str">
        <f>VLOOKUP(A384,'Calendar ID'!$A:$C,3,false)</f>
        <v>jasminepro26@icloud.com </v>
      </c>
      <c r="U384" s="71" t="b">
        <v>0</v>
      </c>
      <c r="V384" s="68" t="str">
        <f>VLOOKUP($A384,'Calendar ID'!$A:$C,2,false)</f>
        <v>c_b534e1be73647e660d74cbb308a8c39b0102a8b56261b3886e0967d9ee34f368@group.calendar.google.com</v>
      </c>
      <c r="W384" s="71" t="b">
        <v>0</v>
      </c>
      <c r="X384" s="68" t="str">
        <f>VLOOKUP($A384,'Calendar ID'!$A:$C,2,false)</f>
        <v>c_b534e1be73647e660d74cbb308a8c39b0102a8b56261b3886e0967d9ee34f368@group.calendar.google.com</v>
      </c>
    </row>
    <row r="385" hidden="1">
      <c r="A385" s="16" t="s">
        <v>448</v>
      </c>
      <c r="B385" s="17">
        <v>45722.0</v>
      </c>
      <c r="C385" s="16" t="s">
        <v>211</v>
      </c>
      <c r="E385" s="38">
        <v>45782.0</v>
      </c>
      <c r="G385" s="44">
        <v>45802.0</v>
      </c>
      <c r="H385" s="10" t="s">
        <v>31</v>
      </c>
      <c r="J385" s="16" t="s">
        <v>43</v>
      </c>
      <c r="K385" s="16" t="s">
        <v>33</v>
      </c>
      <c r="L385" s="31">
        <v>300.0</v>
      </c>
      <c r="N385" s="65" t="s">
        <v>449</v>
      </c>
      <c r="O385" s="16"/>
      <c r="P385" s="23" t="s">
        <v>34</v>
      </c>
      <c r="Q385" s="17">
        <f t="shared" si="1"/>
        <v>45722</v>
      </c>
      <c r="R385" s="18">
        <f t="shared" si="73"/>
        <v>90</v>
      </c>
      <c r="S385" s="20"/>
      <c r="T385" s="68" t="str">
        <f>VLOOKUP(A385,'Calendar ID'!$A:$C,3,false)</f>
        <v>farahdisiaque@gmail.com</v>
      </c>
      <c r="U385" s="69" t="b">
        <v>1</v>
      </c>
      <c r="V385" s="70" t="s">
        <v>82</v>
      </c>
      <c r="W385" s="69" t="b">
        <v>1</v>
      </c>
      <c r="X385" s="70" t="s">
        <v>82</v>
      </c>
    </row>
    <row r="386" hidden="1">
      <c r="A386" s="134" t="s">
        <v>450</v>
      </c>
      <c r="B386" s="11">
        <v>45729.0</v>
      </c>
      <c r="C386" s="7" t="s">
        <v>245</v>
      </c>
      <c r="D386" s="16" t="s">
        <v>444</v>
      </c>
      <c r="E386" s="38">
        <v>45785.0</v>
      </c>
      <c r="F386" s="26"/>
      <c r="G386" s="132">
        <v>45796.0</v>
      </c>
      <c r="H386" s="10" t="s">
        <v>31</v>
      </c>
      <c r="I386" s="7"/>
      <c r="J386" s="7" t="s">
        <v>43</v>
      </c>
      <c r="K386" s="7" t="s">
        <v>33</v>
      </c>
      <c r="L386" s="15">
        <v>300.0</v>
      </c>
      <c r="M386" s="7"/>
      <c r="N386" s="23"/>
      <c r="O386" s="23"/>
      <c r="P386" s="23" t="s">
        <v>34</v>
      </c>
      <c r="Q386" s="17">
        <f t="shared" si="1"/>
        <v>45729</v>
      </c>
      <c r="R386" s="18">
        <f t="shared" si="73"/>
        <v>90</v>
      </c>
      <c r="S386" s="68"/>
      <c r="T386" s="68" t="str">
        <f>VLOOKUP(A386,'Calendar ID'!$A:$C,3,false)</f>
        <v>#N/A</v>
      </c>
      <c r="U386" s="71" t="b">
        <v>1</v>
      </c>
      <c r="V386" s="70" t="s">
        <v>247</v>
      </c>
      <c r="W386" s="71" t="b">
        <v>1</v>
      </c>
      <c r="X386" s="68" t="str">
        <f>VLOOKUP($A386,'Calendar ID'!$A:$C,2,false)</f>
        <v>#N/A</v>
      </c>
      <c r="Y386" s="7"/>
      <c r="Z386" s="7"/>
      <c r="AA386" s="7"/>
      <c r="AB386" s="7"/>
      <c r="AC386" s="7"/>
    </row>
    <row r="387" hidden="1">
      <c r="A387" s="16" t="s">
        <v>45</v>
      </c>
      <c r="B387" s="17">
        <v>45729.0</v>
      </c>
      <c r="C387" s="16" t="s">
        <v>245</v>
      </c>
      <c r="D387" s="16" t="s">
        <v>444</v>
      </c>
      <c r="E387" s="38">
        <v>45785.0</v>
      </c>
      <c r="G387" s="44">
        <v>45798.0</v>
      </c>
      <c r="H387" s="10" t="s">
        <v>31</v>
      </c>
      <c r="J387" s="16" t="s">
        <v>43</v>
      </c>
      <c r="K387" s="16" t="s">
        <v>33</v>
      </c>
      <c r="L387" s="31">
        <v>300.0</v>
      </c>
      <c r="N387" s="16"/>
      <c r="O387" s="16"/>
      <c r="P387" s="23" t="s">
        <v>34</v>
      </c>
      <c r="Q387" s="17">
        <f t="shared" si="1"/>
        <v>45729</v>
      </c>
      <c r="R387" s="18">
        <f>L387*0.25</f>
        <v>75</v>
      </c>
      <c r="S387" s="20"/>
      <c r="T387" s="68" t="str">
        <f>VLOOKUP(A387,'Calendar ID'!$A:$C,3,false)</f>
        <v>lilyy.nl@grapperagency.com</v>
      </c>
      <c r="U387" s="71" t="b">
        <v>0</v>
      </c>
      <c r="V387" s="68" t="str">
        <f>VLOOKUP($A387,'Calendar ID'!$A:$C,2,false)</f>
        <v>c_665764ca21c8e4b3814e25bf24bc7074fa55890dce5d4073abb0fdddc70649d4@group.calendar.google.com</v>
      </c>
      <c r="W387" s="71" t="b">
        <v>0</v>
      </c>
      <c r="X387" s="68" t="str">
        <f>VLOOKUP($A387,'Calendar ID'!$A:$C,2,false)</f>
        <v>c_665764ca21c8e4b3814e25bf24bc7074fa55890dce5d4073abb0fdddc70649d4@group.calendar.google.com</v>
      </c>
    </row>
    <row r="388" hidden="1">
      <c r="A388" s="16" t="s">
        <v>436</v>
      </c>
      <c r="B388" s="17">
        <v>45727.0</v>
      </c>
      <c r="C388" s="16" t="s">
        <v>412</v>
      </c>
      <c r="E388" s="38">
        <v>45782.0</v>
      </c>
      <c r="G388" s="17"/>
      <c r="H388" s="10" t="s">
        <v>31</v>
      </c>
      <c r="I388" s="16" t="s">
        <v>451</v>
      </c>
      <c r="J388" s="16" t="s">
        <v>43</v>
      </c>
      <c r="K388" s="16" t="s">
        <v>33</v>
      </c>
      <c r="L388" s="31">
        <v>500.0</v>
      </c>
      <c r="N388" s="16"/>
      <c r="O388" s="16"/>
      <c r="P388" s="23" t="s">
        <v>34</v>
      </c>
      <c r="Q388" s="17">
        <f t="shared" si="1"/>
        <v>45727</v>
      </c>
      <c r="R388" s="18">
        <f t="shared" ref="R388:R392" si="74">L388*0.3</f>
        <v>150</v>
      </c>
      <c r="S388" s="20"/>
      <c r="T388" s="68" t="str">
        <f>VLOOKUP(A388,'Calendar ID'!$A:$C,3,false)</f>
        <v>#N/A</v>
      </c>
      <c r="U388" s="71" t="b">
        <v>0</v>
      </c>
      <c r="V388" s="68" t="str">
        <f>VLOOKUP($A388,'Calendar ID'!$A:$C,2,false)</f>
        <v>#N/A</v>
      </c>
      <c r="W388" s="71" t="b">
        <v>0</v>
      </c>
      <c r="X388" s="68" t="str">
        <f>VLOOKUP($A388,'Calendar ID'!$A:$C,2,false)</f>
        <v>#N/A</v>
      </c>
    </row>
    <row r="389" hidden="1">
      <c r="A389" s="128" t="s">
        <v>213</v>
      </c>
      <c r="B389" s="17">
        <v>45768.0</v>
      </c>
      <c r="C389" s="16" t="s">
        <v>62</v>
      </c>
      <c r="E389" s="38">
        <v>45784.0</v>
      </c>
      <c r="F389" s="17"/>
      <c r="G389" s="38">
        <v>45785.0</v>
      </c>
      <c r="H389" s="10" t="s">
        <v>31</v>
      </c>
      <c r="I389" s="16" t="s">
        <v>452</v>
      </c>
      <c r="J389" s="16" t="s">
        <v>43</v>
      </c>
      <c r="K389" s="16" t="s">
        <v>33</v>
      </c>
      <c r="L389" s="31">
        <v>600.0</v>
      </c>
      <c r="N389" s="16"/>
      <c r="O389" s="16"/>
      <c r="P389" s="10" t="s">
        <v>34</v>
      </c>
      <c r="Q389" s="17">
        <f t="shared" si="1"/>
        <v>45768</v>
      </c>
      <c r="R389" s="18">
        <f t="shared" si="74"/>
        <v>180</v>
      </c>
      <c r="S389" s="20"/>
      <c r="T389" s="68" t="str">
        <f>VLOOKUP(A389,'Calendar ID'!$A:$C,3,false)</f>
        <v>anaiswry@yahoo.fr</v>
      </c>
      <c r="U389" s="71" t="b">
        <v>0</v>
      </c>
      <c r="V389" s="68" t="str">
        <f>VLOOKUP($A389,'Calendar ID'!$A:$C,2,false)</f>
        <v>c_2754856c5047affc6767bb85fb787591389bf7d14d3afd368efdff9979492ab5@group.calendar.google.com</v>
      </c>
      <c r="W389" s="71" t="b">
        <v>0</v>
      </c>
      <c r="X389" s="68" t="str">
        <f>VLOOKUP($A389,'Calendar ID'!$A:$C,2,false)</f>
        <v>c_2754856c5047affc6767bb85fb787591389bf7d14d3afd368efdff9979492ab5@group.calendar.google.com</v>
      </c>
    </row>
    <row r="390" hidden="1">
      <c r="A390" s="16" t="s">
        <v>453</v>
      </c>
      <c r="B390" s="17">
        <v>45810.0</v>
      </c>
      <c r="C390" s="16" t="s">
        <v>316</v>
      </c>
      <c r="E390" s="58">
        <v>45837.0</v>
      </c>
      <c r="F390" s="17"/>
      <c r="G390" s="53">
        <v>45830.0</v>
      </c>
      <c r="H390" s="10" t="s">
        <v>31</v>
      </c>
      <c r="J390" s="16" t="s">
        <v>43</v>
      </c>
      <c r="K390" s="16" t="s">
        <v>33</v>
      </c>
      <c r="L390" s="31">
        <v>400.0</v>
      </c>
      <c r="N390" s="16"/>
      <c r="O390" s="16"/>
      <c r="P390" s="10" t="s">
        <v>34</v>
      </c>
      <c r="Q390" s="17">
        <f t="shared" si="1"/>
        <v>45810</v>
      </c>
      <c r="R390" s="18">
        <f t="shared" si="74"/>
        <v>120</v>
      </c>
      <c r="S390" s="20"/>
      <c r="T390" s="68" t="str">
        <f>VLOOKUP(A390,'Calendar ID'!$A:$C,3,false)</f>
        <v>#N/A</v>
      </c>
      <c r="U390" s="71" t="b">
        <v>0</v>
      </c>
      <c r="V390" s="68" t="str">
        <f>VLOOKUP($A390,'Calendar ID'!$A:$C,2,false)</f>
        <v>#N/A</v>
      </c>
      <c r="W390" s="71" t="b">
        <v>0</v>
      </c>
      <c r="X390" s="68" t="str">
        <f>VLOOKUP($A390,'Calendar ID'!$A:$C,2,false)</f>
        <v>#N/A</v>
      </c>
    </row>
    <row r="391" hidden="1">
      <c r="A391" s="128" t="s">
        <v>113</v>
      </c>
      <c r="B391" s="17">
        <v>45756.0</v>
      </c>
      <c r="C391" s="16" t="s">
        <v>62</v>
      </c>
      <c r="E391" s="38">
        <v>45785.0</v>
      </c>
      <c r="F391" s="17"/>
      <c r="G391" s="38">
        <v>45786.0</v>
      </c>
      <c r="H391" s="10" t="s">
        <v>31</v>
      </c>
      <c r="J391" s="16" t="s">
        <v>43</v>
      </c>
      <c r="K391" s="16" t="s">
        <v>33</v>
      </c>
      <c r="L391" s="31">
        <v>500.0</v>
      </c>
      <c r="N391" s="16"/>
      <c r="O391" s="16"/>
      <c r="P391" s="10" t="s">
        <v>34</v>
      </c>
      <c r="Q391" s="17">
        <f t="shared" si="1"/>
        <v>45756</v>
      </c>
      <c r="R391" s="18">
        <f t="shared" si="74"/>
        <v>150</v>
      </c>
      <c r="S391" s="20"/>
      <c r="T391" s="68" t="str">
        <f>VLOOKUP(A391,'Calendar ID'!$A:$C,3,false)</f>
        <v>lovelyMytb@gmail.com </v>
      </c>
      <c r="U391" s="69" t="b">
        <v>1</v>
      </c>
      <c r="V391" s="70" t="s">
        <v>82</v>
      </c>
      <c r="W391" s="69" t="b">
        <v>1</v>
      </c>
      <c r="X391" s="70" t="s">
        <v>82</v>
      </c>
    </row>
    <row r="392" hidden="1">
      <c r="A392" s="16" t="s">
        <v>364</v>
      </c>
      <c r="B392" s="17">
        <v>45818.0</v>
      </c>
      <c r="C392" s="16" t="s">
        <v>316</v>
      </c>
      <c r="E392" s="61">
        <v>45838.0</v>
      </c>
      <c r="F392" s="17"/>
      <c r="G392" s="61">
        <v>45838.0</v>
      </c>
      <c r="H392" s="10" t="s">
        <v>31</v>
      </c>
      <c r="J392" s="16" t="s">
        <v>43</v>
      </c>
      <c r="K392" s="23" t="s">
        <v>33</v>
      </c>
      <c r="L392" s="31">
        <v>650.0</v>
      </c>
      <c r="N392" s="16"/>
      <c r="O392" s="16"/>
      <c r="P392" s="16" t="s">
        <v>34</v>
      </c>
      <c r="Q392" s="17">
        <f t="shared" si="1"/>
        <v>45818</v>
      </c>
      <c r="R392" s="18">
        <f t="shared" si="74"/>
        <v>195</v>
      </c>
      <c r="S392" s="20"/>
      <c r="T392" s="68"/>
      <c r="U392" s="77"/>
      <c r="V392" s="68"/>
      <c r="W392" s="71"/>
      <c r="X392" s="20"/>
    </row>
    <row r="393" hidden="1">
      <c r="A393" s="111" t="s">
        <v>29</v>
      </c>
      <c r="B393" s="112">
        <v>45703.0</v>
      </c>
      <c r="C393" s="111" t="s">
        <v>245</v>
      </c>
      <c r="D393" s="16" t="s">
        <v>454</v>
      </c>
      <c r="E393" s="43">
        <v>45791.0</v>
      </c>
      <c r="F393" s="17"/>
      <c r="G393" s="44">
        <v>45797.0</v>
      </c>
      <c r="H393" s="10" t="s">
        <v>31</v>
      </c>
      <c r="I393" s="113"/>
      <c r="J393" s="111" t="s">
        <v>43</v>
      </c>
      <c r="K393" s="111" t="s">
        <v>33</v>
      </c>
      <c r="L393" s="114">
        <v>200.0</v>
      </c>
      <c r="M393" s="113"/>
      <c r="N393" s="136" t="s">
        <v>455</v>
      </c>
      <c r="O393" s="111"/>
      <c r="P393" s="115" t="s">
        <v>34</v>
      </c>
      <c r="Q393" s="17">
        <f t="shared" si="1"/>
        <v>45703</v>
      </c>
      <c r="R393" s="76">
        <f>L393*0.2</f>
        <v>40</v>
      </c>
      <c r="S393" s="116"/>
      <c r="T393" s="117" t="str">
        <f>VLOOKUP(A393,'Calendar ID'!$A:$C,3,false)</f>
        <v>pauline@grapperagency.com</v>
      </c>
      <c r="U393" s="130" t="b">
        <v>1</v>
      </c>
      <c r="V393" s="131" t="s">
        <v>82</v>
      </c>
      <c r="W393" s="130" t="b">
        <v>1</v>
      </c>
      <c r="X393" s="131" t="s">
        <v>82</v>
      </c>
      <c r="Y393" s="113"/>
      <c r="Z393" s="113"/>
      <c r="AA393" s="113"/>
      <c r="AB393" s="113"/>
      <c r="AC393" s="113"/>
    </row>
    <row r="394" hidden="1">
      <c r="A394" s="16" t="s">
        <v>436</v>
      </c>
      <c r="B394" s="17">
        <v>45746.0</v>
      </c>
      <c r="C394" s="16" t="s">
        <v>456</v>
      </c>
      <c r="E394" s="38">
        <v>45786.0</v>
      </c>
      <c r="F394" s="17"/>
      <c r="G394" s="17"/>
      <c r="H394" s="10" t="s">
        <v>31</v>
      </c>
      <c r="J394" s="16" t="s">
        <v>43</v>
      </c>
      <c r="K394" s="16" t="s">
        <v>33</v>
      </c>
      <c r="L394" s="31">
        <v>395.09</v>
      </c>
      <c r="N394" s="16"/>
      <c r="O394" s="16"/>
      <c r="P394" s="10" t="s">
        <v>34</v>
      </c>
      <c r="Q394" s="17">
        <f t="shared" si="1"/>
        <v>45746</v>
      </c>
      <c r="R394" s="18">
        <f t="shared" ref="R394:R397" si="75">L394*0.3</f>
        <v>118.527</v>
      </c>
      <c r="S394" s="20"/>
      <c r="T394" s="68" t="str">
        <f>VLOOKUP(A394,'Calendar ID'!$A:$C,3,false)</f>
        <v>#N/A</v>
      </c>
      <c r="U394" s="71" t="b">
        <v>0</v>
      </c>
      <c r="V394" s="68" t="str">
        <f>VLOOKUP($A394,'Calendar ID'!$A:$C,2,false)</f>
        <v>#N/A</v>
      </c>
      <c r="W394" s="69" t="b">
        <v>0</v>
      </c>
      <c r="X394" s="68" t="str">
        <f>VLOOKUP($A394,'Calendar ID'!$A:$C,2,false)</f>
        <v>#N/A</v>
      </c>
    </row>
    <row r="395" hidden="1">
      <c r="A395" s="16" t="s">
        <v>113</v>
      </c>
      <c r="B395" s="17">
        <v>45736.0</v>
      </c>
      <c r="C395" s="16" t="s">
        <v>457</v>
      </c>
      <c r="E395" s="43">
        <v>45790.0</v>
      </c>
      <c r="F395" s="17"/>
      <c r="G395" s="44">
        <v>45797.0</v>
      </c>
      <c r="H395" s="10" t="s">
        <v>31</v>
      </c>
      <c r="I395" s="16" t="s">
        <v>458</v>
      </c>
      <c r="J395" s="16" t="s">
        <v>43</v>
      </c>
      <c r="K395" s="16" t="s">
        <v>33</v>
      </c>
      <c r="L395" s="39">
        <f>650/2</f>
        <v>325</v>
      </c>
      <c r="N395" s="16"/>
      <c r="P395" s="23" t="s">
        <v>34</v>
      </c>
      <c r="Q395" s="17">
        <f t="shared" si="1"/>
        <v>45736</v>
      </c>
      <c r="R395" s="40">
        <f t="shared" si="75"/>
        <v>97.5</v>
      </c>
      <c r="S395" s="20"/>
      <c r="T395" s="68" t="str">
        <f>VLOOKUP(A395,'Calendar ID'!$A:$C,3,false)</f>
        <v>lovelyMytb@gmail.com </v>
      </c>
      <c r="U395" s="69" t="b">
        <v>1</v>
      </c>
      <c r="V395" s="70" t="s">
        <v>82</v>
      </c>
      <c r="W395" s="69" t="b">
        <v>1</v>
      </c>
      <c r="X395" s="70" t="s">
        <v>247</v>
      </c>
    </row>
    <row r="396" hidden="1">
      <c r="A396" s="16" t="s">
        <v>260</v>
      </c>
      <c r="B396" s="17">
        <v>45732.0</v>
      </c>
      <c r="C396" s="16" t="s">
        <v>64</v>
      </c>
      <c r="E396" s="43">
        <v>45791.0</v>
      </c>
      <c r="G396" s="43">
        <v>45792.0</v>
      </c>
      <c r="H396" s="10" t="s">
        <v>31</v>
      </c>
      <c r="I396" s="55" t="s">
        <v>459</v>
      </c>
      <c r="J396" s="16" t="s">
        <v>43</v>
      </c>
      <c r="K396" s="16" t="s">
        <v>33</v>
      </c>
      <c r="L396" s="31">
        <v>410.72</v>
      </c>
      <c r="N396" s="16"/>
      <c r="O396" s="104"/>
      <c r="P396" s="23" t="s">
        <v>34</v>
      </c>
      <c r="Q396" s="17">
        <f t="shared" si="1"/>
        <v>45732</v>
      </c>
      <c r="R396" s="18">
        <f t="shared" si="75"/>
        <v>123.216</v>
      </c>
      <c r="S396" s="20"/>
      <c r="T396" s="68" t="str">
        <f>VLOOKUP(A396,'Calendar ID'!$A:$C,3,false)</f>
        <v>asmae-nemar@hotmail.fr </v>
      </c>
      <c r="U396" s="69" t="b">
        <v>1</v>
      </c>
      <c r="V396" s="70" t="s">
        <v>82</v>
      </c>
      <c r="W396" s="69" t="b">
        <v>1</v>
      </c>
      <c r="X396" s="70" t="s">
        <v>82</v>
      </c>
    </row>
    <row r="397" hidden="1">
      <c r="A397" s="16" t="s">
        <v>260</v>
      </c>
      <c r="B397" s="17">
        <v>45732.0</v>
      </c>
      <c r="C397" s="16" t="s">
        <v>439</v>
      </c>
      <c r="E397" s="43">
        <v>45791.0</v>
      </c>
      <c r="G397" s="43">
        <v>45794.0</v>
      </c>
      <c r="H397" s="10" t="s">
        <v>31</v>
      </c>
      <c r="J397" s="16" t="s">
        <v>43</v>
      </c>
      <c r="K397" s="16" t="s">
        <v>33</v>
      </c>
      <c r="L397" s="31">
        <v>500.0</v>
      </c>
      <c r="N397" s="16"/>
      <c r="O397" s="16" t="s">
        <v>401</v>
      </c>
      <c r="P397" s="23" t="s">
        <v>34</v>
      </c>
      <c r="Q397" s="17">
        <f t="shared" si="1"/>
        <v>45732</v>
      </c>
      <c r="R397" s="18">
        <f t="shared" si="75"/>
        <v>150</v>
      </c>
      <c r="S397" s="20"/>
      <c r="T397" s="68" t="str">
        <f>VLOOKUP(A397,'Calendar ID'!$A:$C,3,false)</f>
        <v>asmae-nemar@hotmail.fr </v>
      </c>
      <c r="U397" s="71" t="b">
        <v>0</v>
      </c>
      <c r="V397" s="68" t="str">
        <f>VLOOKUP($A397,'Calendar ID'!$A:$C,2,false)</f>
        <v>c_35f3aada7c9c0ba626ac56e6cf10c5959c56663450ffd058a5bdc005508d0954@group.calendar.google.com</v>
      </c>
      <c r="W397" s="71" t="b">
        <v>0</v>
      </c>
      <c r="X397" s="68" t="str">
        <f>VLOOKUP($A397,'Calendar ID'!$A:$C,2,false)</f>
        <v>c_35f3aada7c9c0ba626ac56e6cf10c5959c56663450ffd058a5bdc005508d0954@group.calendar.google.com</v>
      </c>
    </row>
    <row r="398" hidden="1">
      <c r="A398" s="16" t="s">
        <v>42</v>
      </c>
      <c r="B398" s="17">
        <v>45742.0</v>
      </c>
      <c r="C398" s="16" t="s">
        <v>460</v>
      </c>
      <c r="E398" s="43">
        <v>45791.0</v>
      </c>
      <c r="F398" s="17"/>
      <c r="G398" s="43">
        <v>45793.0</v>
      </c>
      <c r="H398" s="10" t="s">
        <v>31</v>
      </c>
      <c r="I398" s="137" t="s">
        <v>461</v>
      </c>
      <c r="J398" s="16" t="s">
        <v>43</v>
      </c>
      <c r="K398" s="16" t="s">
        <v>33</v>
      </c>
      <c r="L398" s="31">
        <v>600.0</v>
      </c>
      <c r="N398" s="65" t="s">
        <v>462</v>
      </c>
      <c r="O398" s="16"/>
      <c r="P398" s="23" t="s">
        <v>34</v>
      </c>
      <c r="Q398" s="17">
        <f t="shared" si="1"/>
        <v>45742</v>
      </c>
      <c r="R398" s="18">
        <f>L398*0.25</f>
        <v>150</v>
      </c>
      <c r="S398" s="20"/>
      <c r="T398" s="68" t="str">
        <f>VLOOKUP(A398,'Calendar ID'!$A:$C,3,false)</f>
        <v>cmepls.pro@gmail.com</v>
      </c>
      <c r="U398" s="69" t="b">
        <v>1</v>
      </c>
      <c r="V398" s="70" t="s">
        <v>82</v>
      </c>
      <c r="W398" s="69" t="b">
        <v>1</v>
      </c>
      <c r="X398" s="70" t="s">
        <v>82</v>
      </c>
    </row>
    <row r="399" hidden="1">
      <c r="A399" s="16" t="s">
        <v>284</v>
      </c>
      <c r="B399" s="17">
        <v>45828.0</v>
      </c>
      <c r="C399" s="16" t="s">
        <v>316</v>
      </c>
      <c r="E399" s="61">
        <v>45841.0</v>
      </c>
      <c r="F399" s="17"/>
      <c r="G399" s="64">
        <v>45846.0</v>
      </c>
      <c r="H399" s="10" t="s">
        <v>31</v>
      </c>
      <c r="I399" s="16" t="s">
        <v>463</v>
      </c>
      <c r="J399" s="16" t="s">
        <v>43</v>
      </c>
      <c r="K399" s="23" t="s">
        <v>33</v>
      </c>
      <c r="L399" s="31">
        <v>550.0</v>
      </c>
      <c r="N399" s="16"/>
      <c r="O399" s="16"/>
      <c r="P399" s="16" t="s">
        <v>34</v>
      </c>
      <c r="Q399" s="17">
        <f t="shared" si="1"/>
        <v>45828</v>
      </c>
      <c r="R399" s="18">
        <f t="shared" ref="R399:R406" si="76">L399*0.3</f>
        <v>165</v>
      </c>
      <c r="S399" s="20"/>
      <c r="T399" s="68"/>
      <c r="U399" s="77"/>
      <c r="V399" s="68"/>
      <c r="W399" s="71"/>
      <c r="X399" s="20"/>
    </row>
    <row r="400" hidden="1">
      <c r="A400" s="128" t="s">
        <v>364</v>
      </c>
      <c r="B400" s="17">
        <v>45698.0</v>
      </c>
      <c r="C400" s="16" t="s">
        <v>245</v>
      </c>
      <c r="D400" s="16" t="s">
        <v>444</v>
      </c>
      <c r="E400" s="43">
        <v>45794.0</v>
      </c>
      <c r="F400" s="133"/>
      <c r="G400" s="44">
        <v>45796.0</v>
      </c>
      <c r="H400" s="10" t="s">
        <v>31</v>
      </c>
      <c r="J400" s="16" t="s">
        <v>43</v>
      </c>
      <c r="K400" s="16" t="s">
        <v>33</v>
      </c>
      <c r="L400" s="31">
        <v>300.0</v>
      </c>
      <c r="N400" s="16"/>
      <c r="O400" s="16"/>
      <c r="P400" s="23" t="s">
        <v>34</v>
      </c>
      <c r="Q400" s="17">
        <f t="shared" si="1"/>
        <v>45698</v>
      </c>
      <c r="R400" s="18">
        <f t="shared" si="76"/>
        <v>90</v>
      </c>
      <c r="S400" s="20"/>
      <c r="T400" s="68" t="str">
        <f>VLOOKUP(A400,'Calendar ID'!$A:$C,3,false)</f>
        <v>Sirine.yza@gmail.com</v>
      </c>
      <c r="U400" s="71" t="b">
        <v>0</v>
      </c>
      <c r="V400" s="68" t="str">
        <f>VLOOKUP($A400,'Calendar ID'!$A:$C,2,false)</f>
        <v>c_4bf2087a99450838a520f4ce4fc6de01f87130a4f381347449792eaf1546cc46@group.calendar.google.com</v>
      </c>
      <c r="W400" s="71" t="b">
        <v>0</v>
      </c>
      <c r="X400" s="68" t="str">
        <f>VLOOKUP($A400,'Calendar ID'!$A:$C,2,false)</f>
        <v>c_4bf2087a99450838a520f4ce4fc6de01f87130a4f381347449792eaf1546cc46@group.calendar.google.com</v>
      </c>
    </row>
    <row r="401" hidden="1">
      <c r="A401" s="16" t="s">
        <v>448</v>
      </c>
      <c r="B401" s="17">
        <v>45703.0</v>
      </c>
      <c r="C401" s="16" t="s">
        <v>245</v>
      </c>
      <c r="D401" s="23" t="s">
        <v>444</v>
      </c>
      <c r="E401" s="43">
        <v>45794.0</v>
      </c>
      <c r="F401" s="133"/>
      <c r="G401" s="17"/>
      <c r="H401" s="10" t="s">
        <v>31</v>
      </c>
      <c r="J401" s="16" t="s">
        <v>43</v>
      </c>
      <c r="K401" s="16" t="s">
        <v>33</v>
      </c>
      <c r="L401" s="31">
        <v>300.0</v>
      </c>
      <c r="N401" s="16"/>
      <c r="O401" s="16"/>
      <c r="P401" s="23" t="s">
        <v>34</v>
      </c>
      <c r="Q401" s="17">
        <f t="shared" si="1"/>
        <v>45703</v>
      </c>
      <c r="R401" s="18">
        <f t="shared" si="76"/>
        <v>90</v>
      </c>
      <c r="S401" s="20"/>
      <c r="T401" s="68" t="str">
        <f>VLOOKUP(A401,'Calendar ID'!$A:$C,3,false)</f>
        <v>farahdisiaque@gmail.com</v>
      </c>
      <c r="U401" s="71" t="b">
        <v>0</v>
      </c>
      <c r="V401" s="68" t="str">
        <f>VLOOKUP($A401,'Calendar ID'!$A:$C,2,false)</f>
        <v>c_311aaffc8651807276a982d2e3621559621998746b9adad33a9304b73b24dbd9@group.calendar.google.com</v>
      </c>
      <c r="W401" s="71" t="b">
        <v>0</v>
      </c>
      <c r="X401" s="68" t="str">
        <f>VLOOKUP($A401,'Calendar ID'!$A:$C,2,false)</f>
        <v>c_311aaffc8651807276a982d2e3621559621998746b9adad33a9304b73b24dbd9@group.calendar.google.com</v>
      </c>
    </row>
    <row r="402" hidden="1">
      <c r="A402" s="128" t="s">
        <v>213</v>
      </c>
      <c r="B402" s="17">
        <v>45751.0</v>
      </c>
      <c r="C402" s="16" t="s">
        <v>464</v>
      </c>
      <c r="E402" s="43">
        <v>45792.0</v>
      </c>
      <c r="F402" s="17"/>
      <c r="G402" s="44">
        <v>45796.0</v>
      </c>
      <c r="H402" s="10" t="s">
        <v>31</v>
      </c>
      <c r="I402" s="16" t="s">
        <v>465</v>
      </c>
      <c r="J402" s="16" t="s">
        <v>43</v>
      </c>
      <c r="K402" s="16" t="s">
        <v>33</v>
      </c>
      <c r="L402" s="31">
        <v>1200.0</v>
      </c>
      <c r="N402" s="16"/>
      <c r="O402" s="16" t="s">
        <v>466</v>
      </c>
      <c r="P402" s="10" t="s">
        <v>34</v>
      </c>
      <c r="Q402" s="17">
        <f t="shared" si="1"/>
        <v>45751</v>
      </c>
      <c r="R402" s="18">
        <f t="shared" si="76"/>
        <v>360</v>
      </c>
      <c r="S402" s="20"/>
      <c r="T402" s="68" t="str">
        <f>VLOOKUP(A402,'Calendar ID'!$A:$C,3,false)</f>
        <v>anaiswry@yahoo.fr</v>
      </c>
      <c r="U402" s="71" t="b">
        <v>0</v>
      </c>
      <c r="V402" s="68" t="str">
        <f>VLOOKUP($A402,'Calendar ID'!$A:$C,2,false)</f>
        <v>c_2754856c5047affc6767bb85fb787591389bf7d14d3afd368efdff9979492ab5@group.calendar.google.com</v>
      </c>
      <c r="W402" s="71" t="b">
        <v>0</v>
      </c>
      <c r="X402" s="68" t="str">
        <f>VLOOKUP($A402,'Calendar ID'!$A:$C,2,false)</f>
        <v>c_2754856c5047affc6767bb85fb787591389bf7d14d3afd368efdff9979492ab5@group.calendar.google.com</v>
      </c>
    </row>
    <row r="403" hidden="1">
      <c r="A403" s="16" t="s">
        <v>110</v>
      </c>
      <c r="B403" s="17">
        <v>45684.0</v>
      </c>
      <c r="C403" s="16" t="s">
        <v>86</v>
      </c>
      <c r="E403" s="43">
        <v>45793.0</v>
      </c>
      <c r="G403" s="48">
        <v>45806.0</v>
      </c>
      <c r="H403" s="10" t="s">
        <v>31</v>
      </c>
      <c r="J403" s="16" t="s">
        <v>43</v>
      </c>
      <c r="K403" s="23" t="s">
        <v>33</v>
      </c>
      <c r="L403" s="31">
        <v>508.3</v>
      </c>
      <c r="N403" s="16"/>
      <c r="O403" s="16"/>
      <c r="P403" s="16" t="s">
        <v>34</v>
      </c>
      <c r="Q403" s="17">
        <f t="shared" si="1"/>
        <v>45684</v>
      </c>
      <c r="R403" s="18">
        <f t="shared" si="76"/>
        <v>152.49</v>
      </c>
      <c r="S403" s="20"/>
      <c r="T403" s="68" t="str">
        <f>VLOOKUP(A403,'Calendar ID'!$A:$C,3,false)</f>
        <v>terpperrine@gmail.com</v>
      </c>
      <c r="U403" s="69" t="b">
        <v>1</v>
      </c>
      <c r="V403" s="70" t="s">
        <v>82</v>
      </c>
      <c r="W403" s="69" t="b">
        <v>1</v>
      </c>
      <c r="X403" s="70" t="s">
        <v>82</v>
      </c>
    </row>
    <row r="404" hidden="1">
      <c r="A404" s="16" t="s">
        <v>89</v>
      </c>
      <c r="B404" s="17">
        <v>45727.0</v>
      </c>
      <c r="C404" s="16" t="s">
        <v>37</v>
      </c>
      <c r="E404" s="43">
        <v>45793.0</v>
      </c>
      <c r="G404" s="43">
        <v>45793.0</v>
      </c>
      <c r="H404" s="10" t="s">
        <v>31</v>
      </c>
      <c r="I404" s="16" t="s">
        <v>467</v>
      </c>
      <c r="J404" s="16" t="s">
        <v>43</v>
      </c>
      <c r="K404" s="16" t="s">
        <v>33</v>
      </c>
      <c r="L404" s="31">
        <v>250.0</v>
      </c>
      <c r="N404" s="16"/>
      <c r="O404" s="16"/>
      <c r="P404" s="23" t="s">
        <v>34</v>
      </c>
      <c r="Q404" s="17">
        <f t="shared" si="1"/>
        <v>45727</v>
      </c>
      <c r="R404" s="18">
        <f t="shared" si="76"/>
        <v>75</v>
      </c>
      <c r="S404" s="20"/>
      <c r="T404" s="68" t="str">
        <f>VLOOKUP(A404,'Calendar ID'!$A:$C,3,false)</f>
        <v>lola140204@gmail.com</v>
      </c>
      <c r="U404" s="69" t="b">
        <v>1</v>
      </c>
      <c r="V404" s="70" t="s">
        <v>82</v>
      </c>
      <c r="W404" s="69" t="b">
        <v>1</v>
      </c>
      <c r="X404" s="70" t="s">
        <v>82</v>
      </c>
    </row>
    <row r="405" hidden="1">
      <c r="A405" s="16" t="s">
        <v>436</v>
      </c>
      <c r="B405" s="17">
        <v>45727.0</v>
      </c>
      <c r="C405" s="16" t="s">
        <v>376</v>
      </c>
      <c r="E405" s="44">
        <v>45798.0</v>
      </c>
      <c r="G405" s="17"/>
      <c r="H405" s="10" t="s">
        <v>31</v>
      </c>
      <c r="J405" s="16" t="s">
        <v>43</v>
      </c>
      <c r="K405" s="16" t="s">
        <v>33</v>
      </c>
      <c r="L405" s="31">
        <v>450.0</v>
      </c>
      <c r="N405" s="16"/>
      <c r="O405" s="16"/>
      <c r="P405" s="23" t="s">
        <v>34</v>
      </c>
      <c r="Q405" s="17">
        <f t="shared" si="1"/>
        <v>45727</v>
      </c>
      <c r="R405" s="18">
        <f t="shared" si="76"/>
        <v>135</v>
      </c>
      <c r="S405" s="20"/>
      <c r="T405" s="68" t="str">
        <f>VLOOKUP(A405,'Calendar ID'!$A:$C,3,false)</f>
        <v>#N/A</v>
      </c>
      <c r="U405" s="71" t="b">
        <v>0</v>
      </c>
      <c r="V405" s="68" t="str">
        <f>VLOOKUP($A405,'Calendar ID'!$A:$C,2,false)</f>
        <v>#N/A</v>
      </c>
      <c r="W405" s="71" t="b">
        <v>0</v>
      </c>
      <c r="X405" s="68" t="str">
        <f>VLOOKUP($A405,'Calendar ID'!$A:$C,2,false)</f>
        <v>#N/A</v>
      </c>
    </row>
    <row r="406" hidden="1">
      <c r="A406" s="128" t="s">
        <v>468</v>
      </c>
      <c r="B406" s="17">
        <v>45796.0</v>
      </c>
      <c r="C406" s="16" t="s">
        <v>469</v>
      </c>
      <c r="E406" s="44">
        <v>45799.0</v>
      </c>
      <c r="F406" s="44">
        <v>45798.0</v>
      </c>
      <c r="G406" s="44">
        <v>45799.0</v>
      </c>
      <c r="H406" s="10" t="s">
        <v>31</v>
      </c>
      <c r="I406" s="16" t="s">
        <v>470</v>
      </c>
      <c r="J406" s="16" t="s">
        <v>43</v>
      </c>
      <c r="K406" s="16" t="s">
        <v>33</v>
      </c>
      <c r="L406" s="31">
        <v>350.0</v>
      </c>
      <c r="N406" s="138"/>
      <c r="O406" s="16"/>
      <c r="P406" s="10" t="s">
        <v>34</v>
      </c>
      <c r="Q406" s="17">
        <f t="shared" si="1"/>
        <v>45796</v>
      </c>
      <c r="R406" s="18">
        <f t="shared" si="76"/>
        <v>105</v>
      </c>
      <c r="S406" s="20"/>
      <c r="T406" s="68" t="str">
        <f>VLOOKUP(A406,'Calendar ID'!$A:$C,3,false)</f>
        <v>nidal.daghmi.pro@gmail.com </v>
      </c>
      <c r="U406" s="71" t="b">
        <v>0</v>
      </c>
      <c r="V406" s="68" t="str">
        <f>VLOOKUP($A406,'Calendar ID'!$A:$C,2,false)</f>
        <v>c_3049f29ec7ef21ab890fb708cade8a20fa94574faa4b9a9f528d8a665fbc6262@group.calendar.google.com</v>
      </c>
      <c r="W406" s="71" t="b">
        <v>0</v>
      </c>
      <c r="X406" s="68" t="str">
        <f>VLOOKUP($A406,'Calendar ID'!$A:$C,2,false)</f>
        <v>c_3049f29ec7ef21ab890fb708cade8a20fa94574faa4b9a9f528d8a665fbc6262@group.calendar.google.com</v>
      </c>
    </row>
    <row r="407" hidden="1">
      <c r="A407" s="128" t="s">
        <v>29</v>
      </c>
      <c r="B407" s="17">
        <v>45771.0</v>
      </c>
      <c r="C407" s="16" t="s">
        <v>471</v>
      </c>
      <c r="E407" s="44">
        <v>45799.0</v>
      </c>
      <c r="F407" s="17"/>
      <c r="G407" s="44">
        <v>45800.0</v>
      </c>
      <c r="H407" s="10" t="s">
        <v>31</v>
      </c>
      <c r="J407" s="16" t="s">
        <v>43</v>
      </c>
      <c r="K407" s="16" t="s">
        <v>33</v>
      </c>
      <c r="L407" s="31">
        <v>300.0</v>
      </c>
      <c r="N407" s="65" t="s">
        <v>472</v>
      </c>
      <c r="O407" s="16"/>
      <c r="P407" s="10" t="s">
        <v>34</v>
      </c>
      <c r="Q407" s="17">
        <f t="shared" si="1"/>
        <v>45771</v>
      </c>
      <c r="R407" s="18">
        <f>L407*0.2</f>
        <v>60</v>
      </c>
      <c r="S407" s="20"/>
      <c r="T407" s="68" t="str">
        <f>VLOOKUP(A407,'Calendar ID'!$A:$C,3,false)</f>
        <v>pauline@grapperagency.com</v>
      </c>
      <c r="U407" s="71" t="b">
        <v>0</v>
      </c>
      <c r="V407" s="68" t="str">
        <f>VLOOKUP($A407,'Calendar ID'!$A:$C,2,false)</f>
        <v>c_a715193c206b2aa1e4b81b8a3772df33bf92c92611202a890a6bccecb2131fcb@group.calendar.google.com</v>
      </c>
      <c r="W407" s="71" t="b">
        <v>0</v>
      </c>
      <c r="X407" s="68" t="str">
        <f>VLOOKUP($A407,'Calendar ID'!$A:$C,2,false)</f>
        <v>c_a715193c206b2aa1e4b81b8a3772df33bf92c92611202a890a6bccecb2131fcb@group.calendar.google.com</v>
      </c>
    </row>
    <row r="408" hidden="1">
      <c r="A408" s="128" t="s">
        <v>260</v>
      </c>
      <c r="B408" s="17">
        <v>45771.0</v>
      </c>
      <c r="C408" s="16" t="s">
        <v>471</v>
      </c>
      <c r="E408" s="44">
        <v>45801.0</v>
      </c>
      <c r="F408" s="17"/>
      <c r="G408" s="48">
        <v>45808.0</v>
      </c>
      <c r="H408" s="10" t="s">
        <v>31</v>
      </c>
      <c r="J408" s="16" t="s">
        <v>43</v>
      </c>
      <c r="K408" s="16" t="s">
        <v>33</v>
      </c>
      <c r="L408" s="31">
        <v>500.0</v>
      </c>
      <c r="N408" s="16"/>
      <c r="O408" s="16"/>
      <c r="P408" s="10" t="s">
        <v>34</v>
      </c>
      <c r="Q408" s="17">
        <f t="shared" si="1"/>
        <v>45771</v>
      </c>
      <c r="R408" s="18">
        <f t="shared" ref="R408:R410" si="77">L408*0.3</f>
        <v>150</v>
      </c>
      <c r="S408" s="20"/>
      <c r="T408" s="68" t="str">
        <f>VLOOKUP(A408,'Calendar ID'!$A:$C,3,false)</f>
        <v>asmae-nemar@hotmail.fr </v>
      </c>
      <c r="U408" s="71" t="b">
        <v>0</v>
      </c>
      <c r="V408" s="68" t="str">
        <f>VLOOKUP($A408,'Calendar ID'!$A:$C,2,false)</f>
        <v>c_35f3aada7c9c0ba626ac56e6cf10c5959c56663450ffd058a5bdc005508d0954@group.calendar.google.com</v>
      </c>
      <c r="W408" s="71" t="b">
        <v>0</v>
      </c>
      <c r="X408" s="68" t="str">
        <f>VLOOKUP($A408,'Calendar ID'!$A:$C,2,false)</f>
        <v>c_35f3aada7c9c0ba626ac56e6cf10c5959c56663450ffd058a5bdc005508d0954@group.calendar.google.com</v>
      </c>
    </row>
    <row r="409" hidden="1">
      <c r="A409" s="16" t="s">
        <v>364</v>
      </c>
      <c r="B409" s="17">
        <v>45834.0</v>
      </c>
      <c r="C409" s="16" t="s">
        <v>316</v>
      </c>
      <c r="D409" s="16" t="s">
        <v>281</v>
      </c>
      <c r="E409" s="64">
        <v>45845.0</v>
      </c>
      <c r="F409" s="17"/>
      <c r="G409" s="64">
        <v>45851.0</v>
      </c>
      <c r="H409" s="10" t="s">
        <v>31</v>
      </c>
      <c r="I409" s="16"/>
      <c r="J409" s="16" t="s">
        <v>43</v>
      </c>
      <c r="K409" s="23" t="s">
        <v>33</v>
      </c>
      <c r="L409" s="31">
        <v>500.0</v>
      </c>
      <c r="N409" s="55" t="s">
        <v>473</v>
      </c>
      <c r="O409" s="16"/>
      <c r="P409" s="16" t="s">
        <v>34</v>
      </c>
      <c r="Q409" s="17">
        <f t="shared" si="1"/>
        <v>45834</v>
      </c>
      <c r="R409" s="18">
        <f t="shared" si="77"/>
        <v>150</v>
      </c>
      <c r="S409" s="20"/>
      <c r="T409" s="68"/>
      <c r="U409" s="77"/>
      <c r="V409" s="68"/>
      <c r="W409" s="71"/>
      <c r="X409" s="20"/>
    </row>
    <row r="410" hidden="1">
      <c r="A410" s="16" t="s">
        <v>237</v>
      </c>
      <c r="B410" s="17">
        <v>45834.0</v>
      </c>
      <c r="C410" s="16" t="s">
        <v>316</v>
      </c>
      <c r="D410" s="16" t="s">
        <v>281</v>
      </c>
      <c r="E410" s="67">
        <v>45853.0</v>
      </c>
      <c r="F410" s="17"/>
      <c r="G410" s="67">
        <v>45854.0</v>
      </c>
      <c r="H410" s="10" t="s">
        <v>31</v>
      </c>
      <c r="I410" s="16" t="s">
        <v>474</v>
      </c>
      <c r="J410" s="16" t="s">
        <v>43</v>
      </c>
      <c r="K410" s="23" t="s">
        <v>33</v>
      </c>
      <c r="L410" s="31">
        <v>370.0</v>
      </c>
      <c r="O410" s="16"/>
      <c r="P410" s="16" t="s">
        <v>34</v>
      </c>
      <c r="Q410" s="17">
        <f t="shared" si="1"/>
        <v>45834</v>
      </c>
      <c r="R410" s="18">
        <f t="shared" si="77"/>
        <v>111</v>
      </c>
      <c r="S410" s="20"/>
      <c r="T410" s="68"/>
      <c r="U410" s="77"/>
      <c r="V410" s="68"/>
      <c r="W410" s="71"/>
      <c r="X410" s="20"/>
    </row>
    <row r="411" hidden="1">
      <c r="A411" s="10" t="s">
        <v>45</v>
      </c>
      <c r="B411" s="11">
        <v>45586.0</v>
      </c>
      <c r="C411" s="23" t="s">
        <v>79</v>
      </c>
      <c r="D411" s="109" t="s">
        <v>342</v>
      </c>
      <c r="E411" s="17"/>
      <c r="F411" s="7"/>
      <c r="G411" s="101">
        <v>45674.0</v>
      </c>
      <c r="H411" s="10" t="s">
        <v>31</v>
      </c>
      <c r="J411" s="23" t="s">
        <v>43</v>
      </c>
      <c r="K411" s="23" t="s">
        <v>33</v>
      </c>
      <c r="L411" s="93">
        <v>500.0</v>
      </c>
      <c r="M411" s="7"/>
      <c r="N411" s="23"/>
      <c r="O411" s="23"/>
      <c r="P411" s="23" t="s">
        <v>34</v>
      </c>
      <c r="Q411" s="17">
        <f t="shared" si="1"/>
        <v>45586</v>
      </c>
      <c r="R411" s="15">
        <f>L411*0.25</f>
        <v>125</v>
      </c>
      <c r="S411" s="68"/>
      <c r="T411" s="68" t="str">
        <f>VLOOKUP(A411,'Calendar ID'!$A:$C,3,false)</f>
        <v>lilyy.nl@grapperagency.com</v>
      </c>
      <c r="U411" s="77" t="b">
        <v>0</v>
      </c>
      <c r="V411" s="68" t="str">
        <f>VLOOKUP($A411,'Calendar ID'!$A:$C,2,false)</f>
        <v>c_665764ca21c8e4b3814e25bf24bc7074fa55890dce5d4073abb0fdddc70649d4@group.calendar.google.com</v>
      </c>
      <c r="W411" s="77" t="b">
        <v>1</v>
      </c>
      <c r="X411" s="70" t="s">
        <v>82</v>
      </c>
      <c r="Y411" s="7"/>
      <c r="Z411" s="7"/>
      <c r="AA411" s="7"/>
      <c r="AB411" s="7"/>
      <c r="AC411" s="7"/>
    </row>
    <row r="412" hidden="1">
      <c r="A412" s="16" t="s">
        <v>237</v>
      </c>
      <c r="B412" s="17">
        <v>45703.0</v>
      </c>
      <c r="C412" s="16" t="s">
        <v>245</v>
      </c>
      <c r="D412" s="16" t="s">
        <v>475</v>
      </c>
      <c r="E412" s="48">
        <v>45809.0</v>
      </c>
      <c r="F412" s="17"/>
      <c r="G412" s="52">
        <v>45818.0</v>
      </c>
      <c r="H412" s="10" t="s">
        <v>31</v>
      </c>
      <c r="J412" s="16" t="s">
        <v>43</v>
      </c>
      <c r="K412" s="16" t="s">
        <v>33</v>
      </c>
      <c r="L412" s="31">
        <v>300.0</v>
      </c>
      <c r="N412" s="16"/>
      <c r="O412" s="16"/>
      <c r="P412" s="23" t="s">
        <v>34</v>
      </c>
      <c r="Q412" s="17">
        <f t="shared" si="1"/>
        <v>45703</v>
      </c>
      <c r="R412" s="18">
        <f t="shared" ref="R412:R416" si="78">L412*0.3</f>
        <v>90</v>
      </c>
      <c r="S412" s="20"/>
      <c r="T412" s="68" t="str">
        <f>VLOOKUP(A412,'Calendar ID'!$A:$C,3,false)</f>
        <v>shaaadl.pro@gmail.com</v>
      </c>
      <c r="U412" s="69" t="b">
        <v>1</v>
      </c>
      <c r="V412" s="70" t="s">
        <v>82</v>
      </c>
      <c r="W412" s="69" t="b">
        <v>1</v>
      </c>
      <c r="X412" s="70" t="s">
        <v>82</v>
      </c>
    </row>
    <row r="413" hidden="1">
      <c r="A413" s="128" t="s">
        <v>237</v>
      </c>
      <c r="B413" s="17">
        <v>45754.0</v>
      </c>
      <c r="C413" s="16" t="s">
        <v>222</v>
      </c>
      <c r="E413" s="139">
        <v>45810.0</v>
      </c>
      <c r="F413" s="17"/>
      <c r="G413" s="17"/>
      <c r="H413" s="10" t="s">
        <v>31</v>
      </c>
      <c r="J413" s="16" t="s">
        <v>43</v>
      </c>
      <c r="K413" s="16" t="s">
        <v>33</v>
      </c>
      <c r="L413" s="31">
        <v>200.0</v>
      </c>
      <c r="N413" s="16"/>
      <c r="O413" s="16"/>
      <c r="P413" s="10" t="s">
        <v>34</v>
      </c>
      <c r="Q413" s="17">
        <f t="shared" si="1"/>
        <v>45754</v>
      </c>
      <c r="R413" s="18">
        <f t="shared" si="78"/>
        <v>60</v>
      </c>
      <c r="S413" s="20"/>
      <c r="T413" s="68" t="str">
        <f>VLOOKUP(A413,'Calendar ID'!$A:$C,3,false)</f>
        <v>shaaadl.pro@gmail.com</v>
      </c>
      <c r="U413" s="71" t="b">
        <v>0</v>
      </c>
      <c r="V413" s="68" t="str">
        <f>VLOOKUP($A413,'Calendar ID'!$A:$C,2,false)</f>
        <v>c_9384058245a0bc66157c09691047ea8f88622323c6761b8606c18d9b08ee0bf8@group.calendar.google.com</v>
      </c>
      <c r="W413" s="71" t="b">
        <v>0</v>
      </c>
      <c r="X413" s="68" t="str">
        <f>VLOOKUP($A413,'Calendar ID'!$A:$C,2,false)</f>
        <v>c_9384058245a0bc66157c09691047ea8f88622323c6761b8606c18d9b08ee0bf8@group.calendar.google.com</v>
      </c>
    </row>
    <row r="414" hidden="1">
      <c r="A414" s="16" t="s">
        <v>208</v>
      </c>
      <c r="B414" s="17">
        <v>45771.0</v>
      </c>
      <c r="C414" s="16" t="s">
        <v>476</v>
      </c>
      <c r="E414" s="48">
        <v>45805.0</v>
      </c>
      <c r="F414" s="17"/>
      <c r="G414" s="36">
        <v>45779.0</v>
      </c>
      <c r="H414" s="10" t="s">
        <v>31</v>
      </c>
      <c r="J414" s="16" t="s">
        <v>43</v>
      </c>
      <c r="K414" s="16" t="s">
        <v>33</v>
      </c>
      <c r="L414" s="31">
        <v>600.0</v>
      </c>
      <c r="N414" s="16"/>
      <c r="O414" s="16"/>
      <c r="P414" s="10" t="s">
        <v>34</v>
      </c>
      <c r="Q414" s="17">
        <f t="shared" si="1"/>
        <v>45771</v>
      </c>
      <c r="R414" s="18">
        <f t="shared" si="78"/>
        <v>180</v>
      </c>
      <c r="S414" s="20"/>
      <c r="T414" s="68" t="str">
        <f>VLOOKUP(A414,'Calendar ID'!$A:$C,3,false)</f>
        <v>#N/A</v>
      </c>
      <c r="U414" s="71" t="b">
        <v>0</v>
      </c>
      <c r="V414" s="68" t="str">
        <f>VLOOKUP($A414,'Calendar ID'!$A:$C,2,false)</f>
        <v>#N/A</v>
      </c>
      <c r="W414" s="71" t="b">
        <v>0</v>
      </c>
      <c r="X414" s="68" t="str">
        <f>VLOOKUP($A414,'Calendar ID'!$A:$C,2,false)</f>
        <v>#N/A</v>
      </c>
    </row>
    <row r="415" hidden="1">
      <c r="A415" s="10" t="s">
        <v>204</v>
      </c>
      <c r="B415" s="11">
        <v>45586.0</v>
      </c>
      <c r="C415" s="23" t="s">
        <v>79</v>
      </c>
      <c r="D415" s="109" t="s">
        <v>477</v>
      </c>
      <c r="G415" s="140">
        <v>45677.0</v>
      </c>
      <c r="H415" s="10" t="s">
        <v>31</v>
      </c>
      <c r="J415" s="16" t="s">
        <v>43</v>
      </c>
      <c r="K415" s="23" t="s">
        <v>33</v>
      </c>
      <c r="L415" s="31">
        <f>3600/3</f>
        <v>1200</v>
      </c>
      <c r="N415" s="65" t="s">
        <v>478</v>
      </c>
      <c r="O415" s="16"/>
      <c r="P415" s="23" t="s">
        <v>34</v>
      </c>
      <c r="Q415" s="17">
        <f t="shared" si="1"/>
        <v>45586</v>
      </c>
      <c r="R415" s="15">
        <f t="shared" si="78"/>
        <v>360</v>
      </c>
      <c r="S415" s="20"/>
      <c r="T415" s="68" t="str">
        <f>VLOOKUP(A415,'Calendar ID'!$A:$C,3,false)</f>
        <v>marylinezh@gmail.com </v>
      </c>
      <c r="U415" s="77" t="b">
        <v>0</v>
      </c>
      <c r="V415" s="68" t="str">
        <f>VLOOKUP($A415,'Calendar ID'!$A:$C,2,false)</f>
        <v>c_3d8e6f3013c2064d1cf20c38ef5246d33ef6635ebbbd3c9abb7c506fa9eefde3@group.calendar.google.com</v>
      </c>
      <c r="W415" s="77" t="b">
        <v>1</v>
      </c>
      <c r="X415" s="70" t="s">
        <v>82</v>
      </c>
    </row>
    <row r="416" hidden="1">
      <c r="A416" s="128" t="s">
        <v>213</v>
      </c>
      <c r="B416" s="17">
        <v>45800.0</v>
      </c>
      <c r="C416" s="16" t="s">
        <v>479</v>
      </c>
      <c r="E416" s="48">
        <v>45807.0</v>
      </c>
      <c r="F416" s="17"/>
      <c r="G416" s="139">
        <v>45812.0</v>
      </c>
      <c r="H416" s="10" t="s">
        <v>31</v>
      </c>
      <c r="J416" s="16" t="s">
        <v>43</v>
      </c>
      <c r="K416" s="16" t="s">
        <v>33</v>
      </c>
      <c r="L416" s="31">
        <v>1300.0</v>
      </c>
      <c r="N416" s="16"/>
      <c r="O416" s="16"/>
      <c r="P416" s="10" t="s">
        <v>34</v>
      </c>
      <c r="Q416" s="17">
        <f t="shared" si="1"/>
        <v>45800</v>
      </c>
      <c r="R416" s="18">
        <f t="shared" si="78"/>
        <v>390</v>
      </c>
      <c r="S416" s="20"/>
      <c r="T416" s="68" t="str">
        <f>VLOOKUP(A416,'Calendar ID'!$A:$C,3,false)</f>
        <v>anaiswry@yahoo.fr</v>
      </c>
      <c r="U416" s="71" t="b">
        <v>0</v>
      </c>
      <c r="V416" s="68" t="str">
        <f>VLOOKUP($A416,'Calendar ID'!$A:$C,2,false)</f>
        <v>c_2754856c5047affc6767bb85fb787591389bf7d14d3afd368efdff9979492ab5@group.calendar.google.com</v>
      </c>
      <c r="W416" s="71" t="b">
        <v>0</v>
      </c>
      <c r="X416" s="68" t="str">
        <f>VLOOKUP($A416,'Calendar ID'!$A:$C,2,false)</f>
        <v>c_2754856c5047affc6767bb85fb787591389bf7d14d3afd368efdff9979492ab5@group.calendar.google.com</v>
      </c>
    </row>
    <row r="417" hidden="1">
      <c r="A417" s="16" t="s">
        <v>45</v>
      </c>
      <c r="B417" s="17">
        <v>45678.0</v>
      </c>
      <c r="C417" s="16" t="s">
        <v>322</v>
      </c>
      <c r="D417" s="16" t="s">
        <v>323</v>
      </c>
      <c r="E417" s="139">
        <v>45813.0</v>
      </c>
      <c r="F417" s="139">
        <v>45813.0</v>
      </c>
      <c r="G417" s="139">
        <v>45813.0</v>
      </c>
      <c r="H417" s="10" t="s">
        <v>31</v>
      </c>
      <c r="J417" s="16" t="s">
        <v>43</v>
      </c>
      <c r="K417" s="23" t="s">
        <v>33</v>
      </c>
      <c r="L417" s="31">
        <v>810.0</v>
      </c>
      <c r="N417" s="16"/>
      <c r="O417" s="16" t="s">
        <v>398</v>
      </c>
      <c r="P417" s="16" t="s">
        <v>34</v>
      </c>
      <c r="Q417" s="17">
        <f t="shared" si="1"/>
        <v>45678</v>
      </c>
      <c r="R417" s="18">
        <f>L417*0.25</f>
        <v>202.5</v>
      </c>
      <c r="S417" s="20"/>
      <c r="T417" s="68" t="str">
        <f>VLOOKUP(A417,'Calendar ID'!$A:$C,3,false)</f>
        <v>lilyy.nl@grapperagency.com</v>
      </c>
      <c r="U417" s="77" t="b">
        <v>1</v>
      </c>
      <c r="V417" s="70" t="s">
        <v>82</v>
      </c>
      <c r="W417" s="77" t="b">
        <v>1</v>
      </c>
      <c r="X417" s="70" t="s">
        <v>82</v>
      </c>
    </row>
    <row r="418" hidden="1">
      <c r="A418" s="16" t="s">
        <v>348</v>
      </c>
      <c r="B418" s="17">
        <v>45684.0</v>
      </c>
      <c r="C418" s="16" t="s">
        <v>245</v>
      </c>
      <c r="D418" s="16" t="s">
        <v>480</v>
      </c>
      <c r="E418" s="52">
        <v>45818.0</v>
      </c>
      <c r="G418" s="44">
        <v>45801.0</v>
      </c>
      <c r="H418" s="10" t="s">
        <v>31</v>
      </c>
      <c r="J418" s="16" t="s">
        <v>43</v>
      </c>
      <c r="K418" s="23" t="s">
        <v>33</v>
      </c>
      <c r="L418" s="31">
        <f>1050/3</f>
        <v>350</v>
      </c>
      <c r="N418" s="16"/>
      <c r="O418" s="16"/>
      <c r="P418" s="16" t="s">
        <v>34</v>
      </c>
      <c r="Q418" s="17">
        <f t="shared" si="1"/>
        <v>45684</v>
      </c>
      <c r="R418" s="18">
        <f t="shared" ref="R418:R419" si="79">L418*0.3</f>
        <v>105</v>
      </c>
      <c r="S418" s="20"/>
      <c r="T418" s="68" t="str">
        <f>VLOOKUP(A418,'Calendar ID'!$A:$C,3,false)</f>
        <v>amani.mee10@gmail.com</v>
      </c>
      <c r="U418" s="69" t="b">
        <v>1</v>
      </c>
      <c r="V418" s="70" t="s">
        <v>82</v>
      </c>
      <c r="W418" s="69" t="b">
        <v>1</v>
      </c>
      <c r="X418" s="70" t="s">
        <v>247</v>
      </c>
    </row>
    <row r="419" hidden="1">
      <c r="A419" s="16" t="s">
        <v>353</v>
      </c>
      <c r="B419" s="17">
        <v>45681.0</v>
      </c>
      <c r="C419" s="16" t="s">
        <v>245</v>
      </c>
      <c r="D419" s="16" t="s">
        <v>480</v>
      </c>
      <c r="E419" s="52">
        <v>45818.0</v>
      </c>
      <c r="G419" s="52">
        <v>45818.0</v>
      </c>
      <c r="H419" s="10" t="s">
        <v>31</v>
      </c>
      <c r="J419" s="16" t="s">
        <v>43</v>
      </c>
      <c r="K419" s="23" t="s">
        <v>33</v>
      </c>
      <c r="L419" s="31">
        <v>500.0</v>
      </c>
      <c r="N419" s="16"/>
      <c r="O419" s="16"/>
      <c r="P419" s="16" t="s">
        <v>34</v>
      </c>
      <c r="Q419" s="17">
        <f t="shared" si="1"/>
        <v>45681</v>
      </c>
      <c r="R419" s="18">
        <f t="shared" si="79"/>
        <v>150</v>
      </c>
      <c r="S419" s="20"/>
      <c r="T419" s="68" t="str">
        <f>VLOOKUP(A419,'Calendar ID'!$A:$C,3,false)</f>
        <v>hidaya.7bl@gmail.com </v>
      </c>
      <c r="U419" s="71" t="b">
        <v>0</v>
      </c>
      <c r="V419" s="68" t="str">
        <f>VLOOKUP($A419,'Calendar ID'!$A:$C,2,false)</f>
        <v>c_056be6e79a6fa62e8f2a68280313995615b47a17f2b3679481d262413ec95701@group.calendar.google.com</v>
      </c>
      <c r="W419" s="71" t="b">
        <v>0</v>
      </c>
      <c r="X419" s="68" t="str">
        <f>VLOOKUP($A419,'Calendar ID'!$A:$C,2,false)</f>
        <v>c_056be6e79a6fa62e8f2a68280313995615b47a17f2b3679481d262413ec95701@group.calendar.google.com</v>
      </c>
    </row>
    <row r="420" hidden="1">
      <c r="A420" s="10" t="s">
        <v>45</v>
      </c>
      <c r="B420" s="11">
        <v>45586.0</v>
      </c>
      <c r="C420" s="23" t="s">
        <v>79</v>
      </c>
      <c r="D420" s="109" t="s">
        <v>481</v>
      </c>
      <c r="E420" s="17"/>
      <c r="F420" s="7"/>
      <c r="G420" s="86">
        <v>45699.0</v>
      </c>
      <c r="H420" s="10" t="s">
        <v>31</v>
      </c>
      <c r="I420" s="16" t="s">
        <v>482</v>
      </c>
      <c r="J420" s="23" t="s">
        <v>43</v>
      </c>
      <c r="K420" s="23" t="s">
        <v>33</v>
      </c>
      <c r="L420" s="93">
        <v>500.0</v>
      </c>
      <c r="M420" s="7"/>
      <c r="N420" s="23"/>
      <c r="O420" s="23"/>
      <c r="P420" s="23" t="s">
        <v>34</v>
      </c>
      <c r="Q420" s="17">
        <f t="shared" si="1"/>
        <v>45586</v>
      </c>
      <c r="R420" s="15">
        <f>L420*0.25</f>
        <v>125</v>
      </c>
      <c r="S420" s="68"/>
      <c r="T420" s="68" t="str">
        <f>VLOOKUP(A420,'Calendar ID'!$A:$C,3,false)</f>
        <v>lilyy.nl@grapperagency.com</v>
      </c>
      <c r="U420" s="77" t="b">
        <v>0</v>
      </c>
      <c r="V420" s="68" t="str">
        <f>VLOOKUP($A420,'Calendar ID'!$A:$C,2,false)</f>
        <v>c_665764ca21c8e4b3814e25bf24bc7074fa55890dce5d4073abb0fdddc70649d4@group.calendar.google.com</v>
      </c>
      <c r="W420" s="77" t="b">
        <v>0</v>
      </c>
      <c r="X420" s="68" t="str">
        <f>VLOOKUP($A420,'Calendar ID'!$A:$C,2,false)</f>
        <v>c_665764ca21c8e4b3814e25bf24bc7074fa55890dce5d4073abb0fdddc70649d4@group.calendar.google.com</v>
      </c>
      <c r="Y420" s="7"/>
      <c r="Z420" s="7"/>
      <c r="AA420" s="7"/>
      <c r="AB420" s="7"/>
      <c r="AC420" s="7"/>
    </row>
    <row r="421" hidden="1">
      <c r="A421" s="128" t="s">
        <v>113</v>
      </c>
      <c r="B421" s="17">
        <v>45768.0</v>
      </c>
      <c r="C421" s="16" t="s">
        <v>64</v>
      </c>
      <c r="E421" s="139">
        <v>45816.0</v>
      </c>
      <c r="F421" s="17"/>
      <c r="G421" s="52">
        <v>45819.0</v>
      </c>
      <c r="H421" s="10" t="s">
        <v>31</v>
      </c>
      <c r="J421" s="16" t="s">
        <v>43</v>
      </c>
      <c r="K421" s="16" t="s">
        <v>33</v>
      </c>
      <c r="L421" s="31">
        <v>492.87</v>
      </c>
      <c r="N421" s="16"/>
      <c r="O421" s="16"/>
      <c r="P421" s="23" t="s">
        <v>34</v>
      </c>
      <c r="Q421" s="17">
        <f t="shared" si="1"/>
        <v>45768</v>
      </c>
      <c r="R421" s="18">
        <f t="shared" ref="R421:R423" si="80">L421*0.3</f>
        <v>147.861</v>
      </c>
      <c r="S421" s="20"/>
      <c r="T421" s="68"/>
      <c r="U421" s="77"/>
      <c r="V421" s="68"/>
      <c r="W421" s="71"/>
      <c r="X421" s="20"/>
    </row>
    <row r="422">
      <c r="A422" s="16" t="s">
        <v>260</v>
      </c>
      <c r="B422" s="17">
        <v>45784.0</v>
      </c>
      <c r="C422" s="16" t="s">
        <v>261</v>
      </c>
      <c r="D422" s="7" t="s">
        <v>483</v>
      </c>
      <c r="E422" s="52">
        <v>45823.0</v>
      </c>
      <c r="F422" s="17"/>
      <c r="G422" s="64">
        <v>45846.0</v>
      </c>
      <c r="H422" s="10" t="s">
        <v>210</v>
      </c>
      <c r="I422" s="16" t="s">
        <v>262</v>
      </c>
      <c r="J422" s="7" t="s">
        <v>43</v>
      </c>
      <c r="K422" s="7" t="s">
        <v>33</v>
      </c>
      <c r="L422" s="31">
        <v>300.0</v>
      </c>
      <c r="N422" s="16"/>
      <c r="O422" s="16"/>
      <c r="P422" s="23" t="s">
        <v>34</v>
      </c>
      <c r="Q422" s="17">
        <f t="shared" si="1"/>
        <v>45784</v>
      </c>
      <c r="R422" s="18">
        <f t="shared" si="80"/>
        <v>90</v>
      </c>
      <c r="S422" s="20"/>
      <c r="T422" s="68" t="str">
        <f>VLOOKUP(A422,'Calendar ID'!$A:$C,3,false)</f>
        <v>asmae-nemar@hotmail.fr </v>
      </c>
      <c r="U422" s="71" t="b">
        <v>0</v>
      </c>
      <c r="V422" s="68" t="str">
        <f>VLOOKUP($A422,'Calendar ID'!$A:$C,2,false)</f>
        <v>c_35f3aada7c9c0ba626ac56e6cf10c5959c56663450ffd058a5bdc005508d0954@group.calendar.google.com</v>
      </c>
      <c r="W422" s="71" t="b">
        <v>0</v>
      </c>
      <c r="X422" s="68" t="str">
        <f>VLOOKUP($A422,'Calendar ID'!$A:$C,2,false)</f>
        <v>c_35f3aada7c9c0ba626ac56e6cf10c5959c56663450ffd058a5bdc005508d0954@group.calendar.google.com</v>
      </c>
    </row>
    <row r="423" hidden="1">
      <c r="A423" s="16" t="s">
        <v>484</v>
      </c>
      <c r="B423" s="17">
        <v>45733.0</v>
      </c>
      <c r="C423" s="16" t="s">
        <v>485</v>
      </c>
      <c r="E423" s="52">
        <v>45819.0</v>
      </c>
      <c r="G423" s="52">
        <v>45821.0</v>
      </c>
      <c r="H423" s="10" t="s">
        <v>31</v>
      </c>
      <c r="J423" s="16" t="s">
        <v>43</v>
      </c>
      <c r="K423" s="16" t="s">
        <v>33</v>
      </c>
      <c r="L423" s="31">
        <v>1200.0</v>
      </c>
      <c r="N423" s="16"/>
      <c r="O423" s="16"/>
      <c r="P423" s="23" t="s">
        <v>34</v>
      </c>
      <c r="Q423" s="17">
        <f t="shared" si="1"/>
        <v>45733</v>
      </c>
      <c r="R423" s="18">
        <f t="shared" si="80"/>
        <v>360</v>
      </c>
      <c r="S423" s="20"/>
      <c r="T423" s="68" t="str">
        <f>VLOOKUP(A423,'Calendar ID'!$A:$C,3,false)</f>
        <v>#N/A</v>
      </c>
      <c r="U423" s="71" t="b">
        <v>0</v>
      </c>
      <c r="V423" s="68" t="str">
        <f>VLOOKUP($A423,'Calendar ID'!$A:$C,2,false)</f>
        <v>#N/A</v>
      </c>
      <c r="W423" s="71" t="b">
        <v>0</v>
      </c>
      <c r="X423" s="68" t="str">
        <f>VLOOKUP($A423,'Calendar ID'!$A:$C,2,false)</f>
        <v>#N/A</v>
      </c>
    </row>
    <row r="424" hidden="1">
      <c r="A424" s="16" t="s">
        <v>237</v>
      </c>
      <c r="B424" s="17">
        <v>45707.0</v>
      </c>
      <c r="C424" s="16" t="s">
        <v>316</v>
      </c>
      <c r="E424" s="122">
        <v>45734.0</v>
      </c>
      <c r="G424" s="17"/>
      <c r="H424" s="10" t="s">
        <v>31</v>
      </c>
      <c r="J424" s="16" t="s">
        <v>43</v>
      </c>
      <c r="K424" s="16" t="s">
        <v>74</v>
      </c>
      <c r="L424" s="31">
        <v>300.0</v>
      </c>
      <c r="N424" s="16"/>
      <c r="O424" s="16"/>
      <c r="P424" s="23" t="s">
        <v>34</v>
      </c>
      <c r="Q424" s="17">
        <f t="shared" si="1"/>
        <v>45707</v>
      </c>
      <c r="R424" s="16">
        <v>300.0</v>
      </c>
      <c r="S424" s="20"/>
      <c r="T424" s="68" t="str">
        <f>VLOOKUP(A424,'Calendar ID'!$A:$C,3,false)</f>
        <v>shaaadl.pro@gmail.com</v>
      </c>
      <c r="U424" s="69" t="b">
        <v>1</v>
      </c>
      <c r="V424" s="70" t="s">
        <v>82</v>
      </c>
      <c r="W424" s="71" t="b">
        <v>0</v>
      </c>
      <c r="X424" s="68" t="str">
        <f>VLOOKUP($A424,'Calendar ID'!$A:$C,2,false)</f>
        <v>c_9384058245a0bc66157c09691047ea8f88622323c6761b8606c18d9b08ee0bf8@group.calendar.google.com</v>
      </c>
    </row>
    <row r="425" hidden="1">
      <c r="A425" s="10" t="s">
        <v>204</v>
      </c>
      <c r="B425" s="11">
        <v>45586.0</v>
      </c>
      <c r="C425" s="23" t="s">
        <v>79</v>
      </c>
      <c r="D425" s="109" t="s">
        <v>481</v>
      </c>
      <c r="E425" s="17"/>
      <c r="G425" s="17"/>
      <c r="H425" s="10" t="s">
        <v>31</v>
      </c>
      <c r="J425" s="16" t="s">
        <v>43</v>
      </c>
      <c r="K425" s="23" t="s">
        <v>33</v>
      </c>
      <c r="L425" s="31">
        <f>3600/3</f>
        <v>1200</v>
      </c>
      <c r="N425" s="55" t="s">
        <v>486</v>
      </c>
      <c r="O425" s="16"/>
      <c r="P425" s="23" t="s">
        <v>34</v>
      </c>
      <c r="Q425" s="17">
        <f t="shared" si="1"/>
        <v>45586</v>
      </c>
      <c r="R425" s="15">
        <f>L425*0.3</f>
        <v>360</v>
      </c>
      <c r="S425" s="20"/>
      <c r="T425" s="68" t="str">
        <f>VLOOKUP(A425,'Calendar ID'!$A:$C,3,false)</f>
        <v>marylinezh@gmail.com </v>
      </c>
      <c r="U425" s="77" t="b">
        <v>0</v>
      </c>
      <c r="V425" s="68" t="str">
        <f>VLOOKUP($A425,'Calendar ID'!$A:$C,2,false)</f>
        <v>c_3d8e6f3013c2064d1cf20c38ef5246d33ef6635ebbbd3c9abb7c506fa9eefde3@group.calendar.google.com</v>
      </c>
      <c r="W425" s="77" t="b">
        <v>0</v>
      </c>
      <c r="X425" s="68" t="str">
        <f>VLOOKUP($A425,'Calendar ID'!$A:$C,2,false)</f>
        <v>c_3d8e6f3013c2064d1cf20c38ef5246d33ef6635ebbbd3c9abb7c506fa9eefde3@group.calendar.google.com</v>
      </c>
    </row>
    <row r="426" hidden="1">
      <c r="A426" s="16" t="s">
        <v>29</v>
      </c>
      <c r="B426" s="17">
        <v>45600.0</v>
      </c>
      <c r="C426" s="16" t="s">
        <v>79</v>
      </c>
      <c r="D426" s="16" t="s">
        <v>487</v>
      </c>
      <c r="E426" s="17">
        <v>45606.0</v>
      </c>
      <c r="G426" s="17">
        <v>45623.0</v>
      </c>
      <c r="H426" s="10" t="s">
        <v>31</v>
      </c>
      <c r="I426" s="16" t="s">
        <v>488</v>
      </c>
      <c r="J426" s="16" t="s">
        <v>43</v>
      </c>
      <c r="K426" s="23" t="s">
        <v>33</v>
      </c>
      <c r="L426" s="31">
        <f t="shared" ref="L426:L427" si="81">500/3</f>
        <v>166.6666667</v>
      </c>
      <c r="N426" s="55" t="s">
        <v>489</v>
      </c>
      <c r="O426" s="16"/>
      <c r="P426" s="23" t="s">
        <v>34</v>
      </c>
      <c r="Q426" s="17">
        <f t="shared" si="1"/>
        <v>45600</v>
      </c>
      <c r="R426" s="15">
        <f t="shared" ref="R426:R427" si="82">L426*0.2</f>
        <v>33.33333333</v>
      </c>
      <c r="S426" s="20"/>
      <c r="T426" s="68" t="str">
        <f>VLOOKUP(A426,'Calendar ID'!$A:$C,3,false)</f>
        <v>pauline@grapperagency.com</v>
      </c>
      <c r="U426" s="77" t="b">
        <v>0</v>
      </c>
      <c r="V426" s="68" t="str">
        <f>VLOOKUP($A426,'Calendar ID'!$A:$C,2,false)</f>
        <v>c_a715193c206b2aa1e4b81b8a3772df33bf92c92611202a890a6bccecb2131fcb@group.calendar.google.com</v>
      </c>
      <c r="W426" s="77" t="b">
        <v>0</v>
      </c>
      <c r="X426" s="68" t="str">
        <f>VLOOKUP($A426,'Calendar ID'!$A:$C,2,false)</f>
        <v>c_a715193c206b2aa1e4b81b8a3772df33bf92c92611202a890a6bccecb2131fcb@group.calendar.google.com</v>
      </c>
    </row>
    <row r="427" hidden="1">
      <c r="A427" s="16" t="s">
        <v>29</v>
      </c>
      <c r="B427" s="17">
        <v>45600.0</v>
      </c>
      <c r="C427" s="16" t="s">
        <v>79</v>
      </c>
      <c r="D427" s="16" t="s">
        <v>490</v>
      </c>
      <c r="E427" s="17">
        <v>45606.0</v>
      </c>
      <c r="G427" s="17">
        <v>45629.0</v>
      </c>
      <c r="H427" s="10" t="s">
        <v>31</v>
      </c>
      <c r="I427" s="16" t="s">
        <v>488</v>
      </c>
      <c r="J427" s="16" t="s">
        <v>43</v>
      </c>
      <c r="K427" s="23" t="s">
        <v>33</v>
      </c>
      <c r="L427" s="31">
        <f t="shared" si="81"/>
        <v>166.6666667</v>
      </c>
      <c r="N427" s="16"/>
      <c r="O427" s="16"/>
      <c r="P427" s="23" t="s">
        <v>34</v>
      </c>
      <c r="Q427" s="17">
        <f t="shared" si="1"/>
        <v>45600</v>
      </c>
      <c r="R427" s="15">
        <f t="shared" si="82"/>
        <v>33.33333333</v>
      </c>
      <c r="S427" s="20"/>
      <c r="T427" s="68" t="str">
        <f>VLOOKUP(A427,'Calendar ID'!$A:$C,3,false)</f>
        <v>pauline@grapperagency.com</v>
      </c>
      <c r="U427" s="77" t="b">
        <v>0</v>
      </c>
      <c r="V427" s="68" t="str">
        <f>VLOOKUP($A427,'Calendar ID'!$A:$C,2,false)</f>
        <v>c_a715193c206b2aa1e4b81b8a3772df33bf92c92611202a890a6bccecb2131fcb@group.calendar.google.com</v>
      </c>
      <c r="W427" s="77" t="b">
        <v>1</v>
      </c>
      <c r="X427" s="70" t="s">
        <v>82</v>
      </c>
    </row>
    <row r="428" hidden="1">
      <c r="A428" s="16" t="s">
        <v>89</v>
      </c>
      <c r="B428" s="17">
        <v>45783.0</v>
      </c>
      <c r="C428" s="16" t="s">
        <v>491</v>
      </c>
      <c r="E428" s="52">
        <v>45820.0</v>
      </c>
      <c r="F428" s="17"/>
      <c r="G428" s="52">
        <v>45821.0</v>
      </c>
      <c r="H428" s="10" t="s">
        <v>31</v>
      </c>
      <c r="J428" s="7" t="s">
        <v>43</v>
      </c>
      <c r="K428" s="7" t="s">
        <v>33</v>
      </c>
      <c r="L428" s="31">
        <v>450.0</v>
      </c>
      <c r="N428" s="16"/>
      <c r="O428" s="16"/>
      <c r="P428" s="23" t="s">
        <v>34</v>
      </c>
      <c r="Q428" s="17">
        <f t="shared" si="1"/>
        <v>45783</v>
      </c>
      <c r="R428" s="18">
        <f>L428*0.3</f>
        <v>135</v>
      </c>
      <c r="S428" s="20"/>
      <c r="T428" s="68" t="str">
        <f>VLOOKUP(A428,'Calendar ID'!$A:$C,3,false)</f>
        <v>lola140204@gmail.com</v>
      </c>
      <c r="U428" s="71" t="b">
        <v>0</v>
      </c>
      <c r="V428" s="68" t="str">
        <f>VLOOKUP($A428,'Calendar ID'!$A:$C,2,false)</f>
        <v>c_8f3f6ef786f2df9238426a478307dbddffb576ace587133cfa65ca553e2f967a@group.calendar.google.com</v>
      </c>
      <c r="W428" s="71" t="b">
        <v>0</v>
      </c>
      <c r="X428" s="68" t="str">
        <f>VLOOKUP($A428,'Calendar ID'!$A:$C,2,false)</f>
        <v>c_8f3f6ef786f2df9238426a478307dbddffb576ace587133cfa65ca553e2f967a@group.calendar.google.com</v>
      </c>
    </row>
    <row r="429" hidden="1">
      <c r="A429" s="16" t="s">
        <v>29</v>
      </c>
      <c r="B429" s="17">
        <v>45600.0</v>
      </c>
      <c r="C429" s="16" t="s">
        <v>79</v>
      </c>
      <c r="D429" s="16" t="s">
        <v>492</v>
      </c>
      <c r="E429" s="17">
        <v>45630.0</v>
      </c>
      <c r="G429" s="17">
        <v>45635.0</v>
      </c>
      <c r="H429" s="10" t="s">
        <v>31</v>
      </c>
      <c r="I429" s="16" t="s">
        <v>488</v>
      </c>
      <c r="J429" s="16" t="s">
        <v>43</v>
      </c>
      <c r="K429" s="23" t="s">
        <v>33</v>
      </c>
      <c r="L429" s="31">
        <f>500/3</f>
        <v>166.6666667</v>
      </c>
      <c r="N429" s="16"/>
      <c r="O429" s="16"/>
      <c r="P429" s="23" t="s">
        <v>34</v>
      </c>
      <c r="Q429" s="17">
        <f t="shared" si="1"/>
        <v>45600</v>
      </c>
      <c r="R429" s="15">
        <f>L429*0.2</f>
        <v>33.33333333</v>
      </c>
      <c r="S429" s="20"/>
      <c r="T429" s="68" t="str">
        <f>VLOOKUP(A429,'Calendar ID'!$A:$C,3,false)</f>
        <v>pauline@grapperagency.com</v>
      </c>
      <c r="U429" s="77" t="b">
        <v>0</v>
      </c>
      <c r="V429" s="68" t="str">
        <f>VLOOKUP($A429,'Calendar ID'!$A:$C,2,false)</f>
        <v>c_a715193c206b2aa1e4b81b8a3772df33bf92c92611202a890a6bccecb2131fcb@group.calendar.google.com</v>
      </c>
      <c r="W429" s="77" t="b">
        <v>1</v>
      </c>
      <c r="X429" s="70" t="s">
        <v>82</v>
      </c>
    </row>
    <row r="430" hidden="1">
      <c r="A430" s="16" t="s">
        <v>353</v>
      </c>
      <c r="B430" s="17">
        <v>45694.0</v>
      </c>
      <c r="C430" s="16" t="s">
        <v>79</v>
      </c>
      <c r="E430" s="28">
        <v>45749.0</v>
      </c>
      <c r="G430" s="141">
        <v>45769.0</v>
      </c>
      <c r="H430" s="10" t="s">
        <v>31</v>
      </c>
      <c r="I430" s="16" t="s">
        <v>493</v>
      </c>
      <c r="J430" s="16" t="s">
        <v>43</v>
      </c>
      <c r="K430" s="16" t="s">
        <v>33</v>
      </c>
      <c r="L430" s="31">
        <v>2500.0</v>
      </c>
      <c r="N430" s="16"/>
      <c r="O430" s="16"/>
      <c r="P430" s="23" t="s">
        <v>34</v>
      </c>
      <c r="Q430" s="17">
        <f t="shared" si="1"/>
        <v>45694</v>
      </c>
      <c r="R430" s="18">
        <f t="shared" ref="R430:R432" si="83">L430*0.3</f>
        <v>750</v>
      </c>
      <c r="S430" s="20"/>
      <c r="T430" s="68" t="str">
        <f>VLOOKUP(A430,'Calendar ID'!$A:$C,3,false)</f>
        <v>hidaya.7bl@gmail.com </v>
      </c>
      <c r="U430" s="69" t="b">
        <v>1</v>
      </c>
      <c r="V430" s="70" t="s">
        <v>82</v>
      </c>
      <c r="W430" s="69" t="b">
        <v>1</v>
      </c>
      <c r="X430" s="70" t="s">
        <v>82</v>
      </c>
    </row>
    <row r="431" hidden="1">
      <c r="A431" s="128" t="s">
        <v>290</v>
      </c>
      <c r="B431" s="17">
        <v>45801.0</v>
      </c>
      <c r="C431" s="16" t="s">
        <v>494</v>
      </c>
      <c r="E431" s="52">
        <v>45821.0</v>
      </c>
      <c r="F431" s="17"/>
      <c r="G431" s="52">
        <v>45823.0</v>
      </c>
      <c r="H431" s="10" t="s">
        <v>31</v>
      </c>
      <c r="J431" s="16" t="s">
        <v>43</v>
      </c>
      <c r="K431" s="16" t="s">
        <v>33</v>
      </c>
      <c r="L431" s="31">
        <v>1200.0</v>
      </c>
      <c r="N431" s="16"/>
      <c r="O431" s="16"/>
      <c r="P431" s="10" t="s">
        <v>34</v>
      </c>
      <c r="Q431" s="17">
        <f t="shared" si="1"/>
        <v>45801</v>
      </c>
      <c r="R431" s="18">
        <f t="shared" si="83"/>
        <v>360</v>
      </c>
      <c r="S431" s="20"/>
      <c r="T431" s="68" t="str">
        <f>VLOOKUP(A431,'Calendar ID'!$A:$C,3,false)</f>
        <v>hello.gurbet@gmail.com </v>
      </c>
      <c r="U431" s="71" t="b">
        <v>0</v>
      </c>
      <c r="V431" s="68" t="str">
        <f>VLOOKUP($A431,'Calendar ID'!$A:$C,2,false)</f>
        <v>c_db1fbd259183311b30d5bfa9e5494d85e4aa71562c2d699763ba11e15f3e8a3b@group.calendar.google.com</v>
      </c>
      <c r="W431" s="71" t="b">
        <v>0</v>
      </c>
      <c r="X431" s="68" t="str">
        <f>VLOOKUP($A431,'Calendar ID'!$A:$C,2,false)</f>
        <v>c_db1fbd259183311b30d5bfa9e5494d85e4aa71562c2d699763ba11e15f3e8a3b@group.calendar.google.com</v>
      </c>
    </row>
    <row r="432" hidden="1">
      <c r="A432" s="16" t="s">
        <v>215</v>
      </c>
      <c r="B432" s="17">
        <v>45703.0</v>
      </c>
      <c r="C432" s="16" t="s">
        <v>245</v>
      </c>
      <c r="D432" s="16" t="s">
        <v>495</v>
      </c>
      <c r="E432" s="142">
        <v>45832.0</v>
      </c>
      <c r="F432" s="143"/>
      <c r="G432" s="142">
        <v>45833.0</v>
      </c>
      <c r="H432" s="10" t="s">
        <v>31</v>
      </c>
      <c r="J432" s="16" t="s">
        <v>43</v>
      </c>
      <c r="K432" s="16" t="s">
        <v>33</v>
      </c>
      <c r="L432" s="31">
        <v>300.0</v>
      </c>
      <c r="N432" s="16"/>
      <c r="O432" s="16"/>
      <c r="P432" s="23" t="s">
        <v>34</v>
      </c>
      <c r="Q432" s="17">
        <f t="shared" si="1"/>
        <v>45703</v>
      </c>
      <c r="R432" s="18">
        <f t="shared" si="83"/>
        <v>90</v>
      </c>
      <c r="S432" s="20"/>
      <c r="T432" s="68" t="str">
        <f>VLOOKUP(A432,'Calendar ID'!$A:$C,3,false)</f>
        <v>iimslmapro@outlook.fr</v>
      </c>
      <c r="U432" s="71" t="b">
        <v>0</v>
      </c>
      <c r="V432" s="68" t="str">
        <f>VLOOKUP($A432,'Calendar ID'!$A:$C,2,false)</f>
        <v>c_a80d776e58d8881ef4e876da99555e813842eeed9733f23e6f4b85d237e1fdec@group.calendar.google.com</v>
      </c>
      <c r="W432" s="71" t="b">
        <v>0</v>
      </c>
      <c r="X432" s="68" t="str">
        <f>VLOOKUP($A432,'Calendar ID'!$A:$C,2,false)</f>
        <v>c_a80d776e58d8881ef4e876da99555e813842eeed9733f23e6f4b85d237e1fdec@group.calendar.google.com</v>
      </c>
    </row>
    <row r="433" hidden="1">
      <c r="A433" s="23" t="s">
        <v>284</v>
      </c>
      <c r="B433" s="17">
        <v>45818.0</v>
      </c>
      <c r="C433" s="16" t="s">
        <v>160</v>
      </c>
      <c r="E433" s="17"/>
      <c r="F433" s="17"/>
      <c r="G433" s="58">
        <v>45833.0</v>
      </c>
      <c r="H433" s="10" t="s">
        <v>31</v>
      </c>
      <c r="I433" s="16" t="s">
        <v>496</v>
      </c>
      <c r="J433" s="16" t="s">
        <v>97</v>
      </c>
      <c r="K433" s="23" t="s">
        <v>33</v>
      </c>
      <c r="L433" s="31" t="s">
        <v>56</v>
      </c>
      <c r="N433" s="16"/>
      <c r="O433" s="16"/>
      <c r="P433" s="23"/>
      <c r="Q433" s="17">
        <f t="shared" si="1"/>
        <v>45818</v>
      </c>
      <c r="R433" s="15"/>
      <c r="S433" s="20"/>
      <c r="T433" s="68"/>
      <c r="U433" s="77"/>
      <c r="V433" s="68"/>
      <c r="W433" s="71"/>
      <c r="X433" s="20"/>
    </row>
    <row r="434" hidden="1">
      <c r="A434" s="16" t="s">
        <v>89</v>
      </c>
      <c r="B434" s="17">
        <v>45813.0</v>
      </c>
      <c r="C434" s="16" t="s">
        <v>191</v>
      </c>
      <c r="E434" s="53">
        <v>45825.0</v>
      </c>
      <c r="F434" s="17"/>
      <c r="G434" s="53">
        <v>45826.0</v>
      </c>
      <c r="H434" s="10" t="s">
        <v>31</v>
      </c>
      <c r="J434" s="16" t="s">
        <v>43</v>
      </c>
      <c r="K434" s="16" t="s">
        <v>33</v>
      </c>
      <c r="L434" s="31">
        <v>750.0</v>
      </c>
      <c r="N434" s="16"/>
      <c r="O434" s="16"/>
      <c r="P434" s="10" t="s">
        <v>34</v>
      </c>
      <c r="Q434" s="17">
        <f t="shared" si="1"/>
        <v>45813</v>
      </c>
      <c r="R434" s="18">
        <f t="shared" ref="R434:R438" si="84">L434*0.3</f>
        <v>225</v>
      </c>
      <c r="S434" s="20"/>
      <c r="T434" s="68" t="str">
        <f>VLOOKUP(A434,'Calendar ID'!$A:$C,3,false)</f>
        <v>lola140204@gmail.com</v>
      </c>
      <c r="U434" s="71" t="b">
        <v>0</v>
      </c>
      <c r="V434" s="68" t="str">
        <f>VLOOKUP($A434,'Calendar ID'!$A:$C,2,false)</f>
        <v>c_8f3f6ef786f2df9238426a478307dbddffb576ace587133cfa65ca553e2f967a@group.calendar.google.com</v>
      </c>
      <c r="W434" s="71" t="b">
        <v>0</v>
      </c>
      <c r="X434" s="68" t="str">
        <f>VLOOKUP($A434,'Calendar ID'!$A:$C,2,false)</f>
        <v>c_8f3f6ef786f2df9238426a478307dbddffb576ace587133cfa65ca553e2f967a@group.calendar.google.com</v>
      </c>
    </row>
    <row r="435" hidden="1">
      <c r="A435" s="16" t="s">
        <v>348</v>
      </c>
      <c r="B435" s="17">
        <v>45698.0</v>
      </c>
      <c r="C435" s="16" t="s">
        <v>79</v>
      </c>
      <c r="E435" s="28">
        <v>45749.0</v>
      </c>
      <c r="G435" s="144">
        <v>45765.0</v>
      </c>
      <c r="H435" s="10" t="s">
        <v>31</v>
      </c>
      <c r="I435" s="16" t="s">
        <v>493</v>
      </c>
      <c r="J435" s="16" t="s">
        <v>43</v>
      </c>
      <c r="K435" s="16" t="s">
        <v>33</v>
      </c>
      <c r="L435" s="31">
        <v>1500.0</v>
      </c>
      <c r="N435" s="65" t="s">
        <v>497</v>
      </c>
      <c r="O435" s="16"/>
      <c r="P435" s="23" t="s">
        <v>34</v>
      </c>
      <c r="Q435" s="17">
        <f t="shared" si="1"/>
        <v>45698</v>
      </c>
      <c r="R435" s="18">
        <f t="shared" si="84"/>
        <v>450</v>
      </c>
      <c r="S435" s="20"/>
      <c r="T435" s="68" t="str">
        <f>VLOOKUP(A435,'Calendar ID'!$A:$C,3,false)</f>
        <v>amani.mee10@gmail.com</v>
      </c>
      <c r="U435" s="69" t="b">
        <v>0</v>
      </c>
      <c r="V435" s="68" t="str">
        <f>VLOOKUP($A435,'Calendar ID'!$A:$C,2,false)</f>
        <v>c_0fe46f911aa7c417189a62fdd8716ddaaef232a02bd45c49b9c02c6d6e2e4815@group.calendar.google.com</v>
      </c>
      <c r="W435" s="69" t="b">
        <v>1</v>
      </c>
      <c r="X435" s="70" t="s">
        <v>82</v>
      </c>
    </row>
    <row r="436" hidden="1">
      <c r="A436" s="145" t="s">
        <v>213</v>
      </c>
      <c r="B436" s="11">
        <v>45804.0</v>
      </c>
      <c r="C436" s="23" t="s">
        <v>498</v>
      </c>
      <c r="D436" s="7"/>
      <c r="E436" s="53">
        <v>45827.0</v>
      </c>
      <c r="F436" s="26"/>
      <c r="G436" s="58">
        <v>45834.0</v>
      </c>
      <c r="H436" s="10" t="s">
        <v>31</v>
      </c>
      <c r="I436" s="10" t="s">
        <v>499</v>
      </c>
      <c r="J436" s="23" t="s">
        <v>43</v>
      </c>
      <c r="K436" s="23" t="s">
        <v>33</v>
      </c>
      <c r="L436" s="15"/>
      <c r="M436" s="7"/>
      <c r="N436" s="23"/>
      <c r="O436" s="23"/>
      <c r="P436" s="23" t="s">
        <v>34</v>
      </c>
      <c r="Q436" s="11">
        <f t="shared" si="1"/>
        <v>45804</v>
      </c>
      <c r="R436" s="15">
        <f t="shared" si="84"/>
        <v>0</v>
      </c>
      <c r="S436" s="68"/>
      <c r="T436" s="68" t="str">
        <f>VLOOKUP(A436,'Calendar ID'!$A:$C,3,false)</f>
        <v>anaiswry@yahoo.fr</v>
      </c>
      <c r="U436" s="71" t="b">
        <v>0</v>
      </c>
      <c r="V436" s="68" t="str">
        <f>VLOOKUP($A436,'Calendar ID'!$A:$C,2,false)</f>
        <v>c_2754856c5047affc6767bb85fb787591389bf7d14d3afd368efdff9979492ab5@group.calendar.google.com</v>
      </c>
      <c r="W436" s="71" t="b">
        <v>0</v>
      </c>
      <c r="X436" s="68" t="str">
        <f>VLOOKUP($A436,'Calendar ID'!$A:$C,2,false)</f>
        <v>c_2754856c5047affc6767bb85fb787591389bf7d14d3afd368efdff9979492ab5@group.calendar.google.com</v>
      </c>
      <c r="Y436" s="7"/>
      <c r="Z436" s="7"/>
      <c r="AA436" s="7"/>
      <c r="AB436" s="7"/>
      <c r="AC436" s="7"/>
    </row>
    <row r="437" hidden="1">
      <c r="A437" s="16" t="s">
        <v>213</v>
      </c>
      <c r="B437" s="17">
        <v>45810.0</v>
      </c>
      <c r="C437" s="16" t="s">
        <v>188</v>
      </c>
      <c r="E437" s="53">
        <v>45828.0</v>
      </c>
      <c r="F437" s="17"/>
      <c r="G437" s="58">
        <v>45833.0</v>
      </c>
      <c r="H437" s="10" t="s">
        <v>31</v>
      </c>
      <c r="I437" s="16" t="s">
        <v>500</v>
      </c>
      <c r="J437" s="16" t="s">
        <v>43</v>
      </c>
      <c r="K437" s="16" t="s">
        <v>33</v>
      </c>
      <c r="L437" s="31">
        <v>1000.0</v>
      </c>
      <c r="N437" s="16"/>
      <c r="O437" s="16"/>
      <c r="P437" s="10" t="s">
        <v>34</v>
      </c>
      <c r="Q437" s="17">
        <f t="shared" si="1"/>
        <v>45810</v>
      </c>
      <c r="R437" s="18">
        <f t="shared" si="84"/>
        <v>300</v>
      </c>
      <c r="S437" s="20"/>
      <c r="T437" s="68" t="str">
        <f>VLOOKUP(A437,'Calendar ID'!$A:$C,3,false)</f>
        <v>anaiswry@yahoo.fr</v>
      </c>
      <c r="U437" s="71" t="b">
        <v>0</v>
      </c>
      <c r="V437" s="68" t="str">
        <f>VLOOKUP($A437,'Calendar ID'!$A:$C,2,false)</f>
        <v>c_2754856c5047affc6767bb85fb787591389bf7d14d3afd368efdff9979492ab5@group.calendar.google.com</v>
      </c>
      <c r="W437" s="71" t="b">
        <v>0</v>
      </c>
      <c r="X437" s="68" t="str">
        <f>VLOOKUP($A437,'Calendar ID'!$A:$C,2,false)</f>
        <v>c_2754856c5047affc6767bb85fb787591389bf7d14d3afd368efdff9979492ab5@group.calendar.google.com</v>
      </c>
    </row>
    <row r="438" hidden="1">
      <c r="A438" s="128" t="s">
        <v>213</v>
      </c>
      <c r="B438" s="17">
        <v>45804.0</v>
      </c>
      <c r="C438" s="16" t="s">
        <v>498</v>
      </c>
      <c r="E438" s="53">
        <f>G438-4</f>
        <v>45828</v>
      </c>
      <c r="F438" s="17"/>
      <c r="G438" s="58">
        <v>45832.0</v>
      </c>
      <c r="H438" s="10" t="s">
        <v>31</v>
      </c>
      <c r="I438" s="16" t="s">
        <v>501</v>
      </c>
      <c r="J438" s="16" t="s">
        <v>43</v>
      </c>
      <c r="K438" s="16" t="s">
        <v>33</v>
      </c>
      <c r="L438" s="31">
        <v>800.0</v>
      </c>
      <c r="N438" s="16"/>
      <c r="O438" s="16"/>
      <c r="P438" s="10" t="s">
        <v>34</v>
      </c>
      <c r="Q438" s="17">
        <f t="shared" si="1"/>
        <v>45804</v>
      </c>
      <c r="R438" s="18">
        <f t="shared" si="84"/>
        <v>240</v>
      </c>
      <c r="S438" s="20"/>
      <c r="T438" s="68" t="str">
        <f>VLOOKUP(A438,'Calendar ID'!$A:$C,3,false)</f>
        <v>anaiswry@yahoo.fr</v>
      </c>
      <c r="U438" s="71" t="b">
        <v>0</v>
      </c>
      <c r="V438" s="68" t="str">
        <f>VLOOKUP($A438,'Calendar ID'!$A:$C,2,false)</f>
        <v>c_2754856c5047affc6767bb85fb787591389bf7d14d3afd368efdff9979492ab5@group.calendar.google.com</v>
      </c>
      <c r="W438" s="71" t="b">
        <v>0</v>
      </c>
      <c r="X438" s="68" t="str">
        <f>VLOOKUP($A438,'Calendar ID'!$A:$C,2,false)</f>
        <v>c_2754856c5047affc6767bb85fb787591389bf7d14d3afd368efdff9979492ab5@group.calendar.google.com</v>
      </c>
    </row>
    <row r="439" hidden="1">
      <c r="A439" s="23" t="s">
        <v>91</v>
      </c>
      <c r="B439" s="17">
        <v>45818.0</v>
      </c>
      <c r="C439" s="16" t="s">
        <v>160</v>
      </c>
      <c r="E439" s="17"/>
      <c r="F439" s="17"/>
      <c r="G439" s="58">
        <v>45833.0</v>
      </c>
      <c r="H439" s="10" t="s">
        <v>31</v>
      </c>
      <c r="I439" s="16" t="s">
        <v>496</v>
      </c>
      <c r="J439" s="16" t="s">
        <v>97</v>
      </c>
      <c r="K439" s="23" t="s">
        <v>33</v>
      </c>
      <c r="L439" s="31" t="s">
        <v>56</v>
      </c>
      <c r="O439" s="16"/>
      <c r="P439" s="23"/>
      <c r="Q439" s="17">
        <f t="shared" si="1"/>
        <v>45818</v>
      </c>
      <c r="R439" s="15"/>
      <c r="S439" s="20"/>
      <c r="T439" s="68"/>
      <c r="U439" s="77"/>
      <c r="V439" s="68"/>
      <c r="W439" s="71"/>
      <c r="X439" s="20"/>
    </row>
    <row r="440" hidden="1">
      <c r="A440" s="16" t="s">
        <v>290</v>
      </c>
      <c r="B440" s="17">
        <v>45736.0</v>
      </c>
      <c r="C440" s="16" t="s">
        <v>264</v>
      </c>
      <c r="E440" s="53">
        <f>G440-7</f>
        <v>45830</v>
      </c>
      <c r="F440" s="17"/>
      <c r="G440" s="58">
        <v>45837.0</v>
      </c>
      <c r="H440" s="10" t="s">
        <v>31</v>
      </c>
      <c r="J440" s="16" t="s">
        <v>43</v>
      </c>
      <c r="K440" s="16" t="s">
        <v>33</v>
      </c>
      <c r="L440" s="31">
        <v>700.0</v>
      </c>
      <c r="N440" s="16"/>
      <c r="O440" s="16" t="s">
        <v>401</v>
      </c>
      <c r="P440" s="23" t="s">
        <v>34</v>
      </c>
      <c r="Q440" s="17">
        <f t="shared" si="1"/>
        <v>45736</v>
      </c>
      <c r="R440" s="18">
        <f t="shared" ref="R440:R442" si="85">L440*0.3</f>
        <v>210</v>
      </c>
      <c r="S440" s="20"/>
      <c r="T440" s="68" t="str">
        <f>VLOOKUP(A440,'Calendar ID'!$A:$C,3,false)</f>
        <v>hello.gurbet@gmail.com </v>
      </c>
      <c r="U440" s="71" t="b">
        <v>0</v>
      </c>
      <c r="V440" s="68" t="str">
        <f>VLOOKUP($A440,'Calendar ID'!$A:$C,2,false)</f>
        <v>c_db1fbd259183311b30d5bfa9e5494d85e4aa71562c2d699763ba11e15f3e8a3b@group.calendar.google.com</v>
      </c>
      <c r="W440" s="69" t="b">
        <v>0</v>
      </c>
      <c r="X440" s="68" t="str">
        <f>VLOOKUP($A440,'Calendar ID'!$A:$C,2,false)</f>
        <v>c_db1fbd259183311b30d5bfa9e5494d85e4aa71562c2d699763ba11e15f3e8a3b@group.calendar.google.com</v>
      </c>
    </row>
    <row r="441" hidden="1">
      <c r="A441" s="16" t="s">
        <v>364</v>
      </c>
      <c r="B441" s="17">
        <v>45820.0</v>
      </c>
      <c r="C441" s="16" t="s">
        <v>502</v>
      </c>
      <c r="E441" s="58">
        <v>45832.0</v>
      </c>
      <c r="F441" s="17"/>
      <c r="G441" s="61">
        <v>45841.0</v>
      </c>
      <c r="H441" s="10" t="s">
        <v>31</v>
      </c>
      <c r="I441" s="16" t="s">
        <v>503</v>
      </c>
      <c r="J441" s="16" t="s">
        <v>43</v>
      </c>
      <c r="K441" s="23" t="s">
        <v>33</v>
      </c>
      <c r="L441" s="31">
        <v>450.0</v>
      </c>
      <c r="N441" s="16"/>
      <c r="O441" s="16"/>
      <c r="P441" s="16" t="s">
        <v>34</v>
      </c>
      <c r="Q441" s="17">
        <f t="shared" si="1"/>
        <v>45820</v>
      </c>
      <c r="R441" s="18">
        <f t="shared" si="85"/>
        <v>135</v>
      </c>
      <c r="S441" s="20"/>
      <c r="T441" s="68"/>
      <c r="U441" s="77"/>
      <c r="V441" s="68"/>
      <c r="W441" s="71"/>
      <c r="X441" s="20"/>
    </row>
    <row r="442" hidden="1">
      <c r="A442" s="128" t="s">
        <v>348</v>
      </c>
      <c r="B442" s="17">
        <v>45805.0</v>
      </c>
      <c r="C442" s="16" t="s">
        <v>504</v>
      </c>
      <c r="E442" s="58">
        <v>45832.0</v>
      </c>
      <c r="F442" s="17"/>
      <c r="G442" s="61">
        <v>45838.0</v>
      </c>
      <c r="H442" s="10" t="s">
        <v>31</v>
      </c>
      <c r="I442" s="16" t="s">
        <v>505</v>
      </c>
      <c r="J442" s="16" t="s">
        <v>43</v>
      </c>
      <c r="K442" s="16" t="s">
        <v>33</v>
      </c>
      <c r="L442" s="31">
        <v>1200.0</v>
      </c>
      <c r="N442" s="16"/>
      <c r="O442" s="16"/>
      <c r="P442" s="10" t="s">
        <v>34</v>
      </c>
      <c r="Q442" s="17">
        <f t="shared" si="1"/>
        <v>45805</v>
      </c>
      <c r="R442" s="18">
        <f t="shared" si="85"/>
        <v>360</v>
      </c>
      <c r="S442" s="20"/>
      <c r="T442" s="68" t="str">
        <f>VLOOKUP(A442,'Calendar ID'!$A:$C,3,false)</f>
        <v>amani.mee10@gmail.com</v>
      </c>
      <c r="U442" s="71" t="b">
        <v>0</v>
      </c>
      <c r="V442" s="68" t="str">
        <f>VLOOKUP($A442,'Calendar ID'!$A:$C,2,false)</f>
        <v>c_0fe46f911aa7c417189a62fdd8716ddaaef232a02bd45c49b9c02c6d6e2e4815@group.calendar.google.com</v>
      </c>
      <c r="W442" s="71" t="b">
        <v>0</v>
      </c>
      <c r="X442" s="68" t="str">
        <f>VLOOKUP($A442,'Calendar ID'!$A:$C,2,false)</f>
        <v>c_0fe46f911aa7c417189a62fdd8716ddaaef232a02bd45c49b9c02c6d6e2e4815@group.calendar.google.com</v>
      </c>
    </row>
    <row r="443" hidden="1">
      <c r="A443" s="23" t="s">
        <v>453</v>
      </c>
      <c r="B443" s="17">
        <v>45818.0</v>
      </c>
      <c r="C443" s="16" t="s">
        <v>160</v>
      </c>
      <c r="E443" s="17"/>
      <c r="F443" s="17"/>
      <c r="G443" s="58">
        <v>45833.0</v>
      </c>
      <c r="H443" s="10" t="s">
        <v>31</v>
      </c>
      <c r="I443" s="16" t="s">
        <v>496</v>
      </c>
      <c r="J443" s="16" t="s">
        <v>97</v>
      </c>
      <c r="K443" s="23" t="s">
        <v>33</v>
      </c>
      <c r="L443" s="31" t="s">
        <v>56</v>
      </c>
      <c r="N443" s="65" t="s">
        <v>506</v>
      </c>
      <c r="O443" s="16"/>
      <c r="P443" s="23"/>
      <c r="Q443" s="17">
        <f t="shared" si="1"/>
        <v>45818</v>
      </c>
      <c r="R443" s="15"/>
      <c r="S443" s="20"/>
      <c r="T443" s="68"/>
      <c r="U443" s="77"/>
      <c r="V443" s="68"/>
      <c r="W443" s="71"/>
      <c r="X443" s="20"/>
    </row>
    <row r="444" hidden="1">
      <c r="A444" s="128" t="s">
        <v>353</v>
      </c>
      <c r="B444" s="17">
        <v>45771.0</v>
      </c>
      <c r="C444" s="16" t="s">
        <v>507</v>
      </c>
      <c r="E444" s="58">
        <v>45833.0</v>
      </c>
      <c r="F444" s="17"/>
      <c r="G444" s="61">
        <v>45838.0</v>
      </c>
      <c r="H444" s="10" t="s">
        <v>31</v>
      </c>
      <c r="J444" s="16" t="s">
        <v>43</v>
      </c>
      <c r="K444" s="16" t="s">
        <v>33</v>
      </c>
      <c r="L444" s="31">
        <v>3298.0</v>
      </c>
      <c r="N444" s="16"/>
      <c r="O444" s="16"/>
      <c r="P444" s="10" t="s">
        <v>34</v>
      </c>
      <c r="Q444" s="17">
        <f t="shared" si="1"/>
        <v>45771</v>
      </c>
      <c r="R444" s="18">
        <f>L444*0.3</f>
        <v>989.4</v>
      </c>
      <c r="S444" s="20"/>
      <c r="T444" s="68" t="str">
        <f>VLOOKUP(A444,'Calendar ID'!$A:$C,3,false)</f>
        <v>hidaya.7bl@gmail.com </v>
      </c>
      <c r="U444" s="71" t="b">
        <v>0</v>
      </c>
      <c r="V444" s="68" t="str">
        <f>VLOOKUP($A444,'Calendar ID'!$A:$C,2,false)</f>
        <v>c_056be6e79a6fa62e8f2a68280313995615b47a17f2b3679481d262413ec95701@group.calendar.google.com</v>
      </c>
      <c r="W444" s="71" t="b">
        <v>0</v>
      </c>
      <c r="X444" s="68" t="str">
        <f>VLOOKUP($A444,'Calendar ID'!$A:$C,2,false)</f>
        <v>c_056be6e79a6fa62e8f2a68280313995615b47a17f2b3679481d262413ec95701@group.calendar.google.com</v>
      </c>
    </row>
    <row r="445" hidden="1">
      <c r="A445" s="23" t="s">
        <v>402</v>
      </c>
      <c r="B445" s="17">
        <v>45818.0</v>
      </c>
      <c r="C445" s="16" t="s">
        <v>160</v>
      </c>
      <c r="E445" s="17"/>
      <c r="F445" s="17"/>
      <c r="G445" s="58">
        <v>45833.0</v>
      </c>
      <c r="H445" s="10" t="s">
        <v>31</v>
      </c>
      <c r="I445" s="16" t="s">
        <v>496</v>
      </c>
      <c r="J445" s="16" t="s">
        <v>97</v>
      </c>
      <c r="K445" s="23" t="s">
        <v>33</v>
      </c>
      <c r="L445" s="31" t="s">
        <v>56</v>
      </c>
      <c r="N445" s="65" t="s">
        <v>508</v>
      </c>
      <c r="O445" s="16"/>
      <c r="P445" s="23"/>
      <c r="Q445" s="17">
        <f t="shared" si="1"/>
        <v>45818</v>
      </c>
      <c r="R445" s="15"/>
      <c r="S445" s="20"/>
      <c r="T445" s="68"/>
      <c r="U445" s="77"/>
      <c r="V445" s="68"/>
      <c r="W445" s="71"/>
      <c r="X445" s="20"/>
    </row>
    <row r="446" hidden="1">
      <c r="A446" s="128" t="s">
        <v>364</v>
      </c>
      <c r="B446" s="17">
        <v>45771.0</v>
      </c>
      <c r="C446" s="16" t="s">
        <v>79</v>
      </c>
      <c r="D446" s="16" t="s">
        <v>509</v>
      </c>
      <c r="E446" s="48">
        <v>45804.0</v>
      </c>
      <c r="F446" s="17"/>
      <c r="G446" s="52">
        <v>45819.0</v>
      </c>
      <c r="H446" s="10" t="s">
        <v>31</v>
      </c>
      <c r="J446" s="16" t="s">
        <v>43</v>
      </c>
      <c r="K446" s="16" t="s">
        <v>33</v>
      </c>
      <c r="L446" s="31">
        <f>2000/3</f>
        <v>666.6666667</v>
      </c>
      <c r="O446" s="16"/>
      <c r="P446" s="10" t="s">
        <v>34</v>
      </c>
      <c r="Q446" s="17">
        <f t="shared" si="1"/>
        <v>45771</v>
      </c>
      <c r="R446" s="18">
        <f t="shared" ref="R446:R451" si="86">L446*0.3</f>
        <v>200</v>
      </c>
      <c r="S446" s="20"/>
      <c r="T446" s="68" t="str">
        <f>VLOOKUP(A446,'Calendar ID'!$A:$C,3,false)</f>
        <v>Sirine.yza@gmail.com</v>
      </c>
      <c r="U446" s="71" t="b">
        <v>0</v>
      </c>
      <c r="V446" s="68" t="str">
        <f>VLOOKUP($A446,'Calendar ID'!$A:$C,2,false)</f>
        <v>c_4bf2087a99450838a520f4ce4fc6de01f87130a4f381347449792eaf1546cc46@group.calendar.google.com</v>
      </c>
      <c r="W446" s="71" t="b">
        <v>0</v>
      </c>
      <c r="X446" s="68" t="str">
        <f>VLOOKUP($A446,'Calendar ID'!$A:$C,2,false)</f>
        <v>c_4bf2087a99450838a520f4ce4fc6de01f87130a4f381347449792eaf1546cc46@group.calendar.google.com</v>
      </c>
    </row>
    <row r="447" hidden="1">
      <c r="A447" s="128" t="s">
        <v>436</v>
      </c>
      <c r="B447" s="17">
        <v>45771.0</v>
      </c>
      <c r="C447" s="16" t="s">
        <v>79</v>
      </c>
      <c r="D447" s="16" t="s">
        <v>510</v>
      </c>
      <c r="E447" s="139">
        <v>45815.0</v>
      </c>
      <c r="F447" s="17"/>
      <c r="G447" s="52">
        <v>45818.0</v>
      </c>
      <c r="H447" s="10" t="s">
        <v>31</v>
      </c>
      <c r="J447" s="16" t="s">
        <v>43</v>
      </c>
      <c r="K447" s="16" t="s">
        <v>33</v>
      </c>
      <c r="L447" s="31">
        <v>750.0</v>
      </c>
      <c r="N447" s="16"/>
      <c r="O447" s="16"/>
      <c r="P447" s="10" t="s">
        <v>34</v>
      </c>
      <c r="Q447" s="17">
        <f t="shared" si="1"/>
        <v>45771</v>
      </c>
      <c r="R447" s="18">
        <f t="shared" si="86"/>
        <v>225</v>
      </c>
      <c r="S447" s="20"/>
      <c r="T447" s="68" t="str">
        <f>VLOOKUP(A447,'Calendar ID'!$A:$C,3,false)</f>
        <v>#N/A</v>
      </c>
      <c r="U447" s="71" t="b">
        <v>0</v>
      </c>
      <c r="V447" s="68" t="str">
        <f>VLOOKUP($A447,'Calendar ID'!$A:$C,2,false)</f>
        <v>#N/A</v>
      </c>
      <c r="W447" s="71" t="b">
        <v>0</v>
      </c>
      <c r="X447" s="68" t="str">
        <f>VLOOKUP($A447,'Calendar ID'!$A:$C,2,false)</f>
        <v>#N/A</v>
      </c>
    </row>
    <row r="448" hidden="1">
      <c r="A448" s="128" t="s">
        <v>511</v>
      </c>
      <c r="B448" s="17">
        <v>45771.0</v>
      </c>
      <c r="C448" s="16" t="s">
        <v>79</v>
      </c>
      <c r="D448" s="16" t="s">
        <v>512</v>
      </c>
      <c r="E448" s="52">
        <v>45819.0</v>
      </c>
      <c r="F448" s="17"/>
      <c r="G448" s="58">
        <v>45833.0</v>
      </c>
      <c r="H448" s="10" t="s">
        <v>31</v>
      </c>
      <c r="J448" s="16" t="s">
        <v>43</v>
      </c>
      <c r="K448" s="16" t="s">
        <v>33</v>
      </c>
      <c r="L448" s="31">
        <v>500.0</v>
      </c>
      <c r="N448" s="16"/>
      <c r="O448" s="16"/>
      <c r="P448" s="10" t="s">
        <v>34</v>
      </c>
      <c r="Q448" s="17">
        <f t="shared" si="1"/>
        <v>45771</v>
      </c>
      <c r="R448" s="18">
        <f t="shared" si="86"/>
        <v>150</v>
      </c>
      <c r="S448" s="20"/>
      <c r="T448" s="68" t="str">
        <f>VLOOKUP(A448,'Calendar ID'!$A:$C,3,false)</f>
        <v>#N/A</v>
      </c>
      <c r="U448" s="71" t="b">
        <v>0</v>
      </c>
      <c r="V448" s="68" t="str">
        <f>VLOOKUP($A448,'Calendar ID'!$A:$C,2,false)</f>
        <v>#N/A</v>
      </c>
      <c r="W448" s="71" t="b">
        <v>0</v>
      </c>
      <c r="X448" s="68" t="str">
        <f>VLOOKUP($A448,'Calendar ID'!$A:$C,2,false)</f>
        <v>#N/A</v>
      </c>
    </row>
    <row r="449" hidden="1">
      <c r="A449" s="128" t="s">
        <v>364</v>
      </c>
      <c r="B449" s="17">
        <v>45771.0</v>
      </c>
      <c r="C449" s="16" t="s">
        <v>79</v>
      </c>
      <c r="D449" s="16" t="s">
        <v>513</v>
      </c>
      <c r="E449" s="52">
        <v>45819.0</v>
      </c>
      <c r="F449" s="17"/>
      <c r="G449" s="52">
        <v>45822.0</v>
      </c>
      <c r="H449" s="10" t="s">
        <v>31</v>
      </c>
      <c r="J449" s="16" t="s">
        <v>43</v>
      </c>
      <c r="K449" s="16" t="s">
        <v>33</v>
      </c>
      <c r="L449" s="31">
        <f>2000/3</f>
        <v>666.6666667</v>
      </c>
      <c r="N449" s="65" t="s">
        <v>514</v>
      </c>
      <c r="O449" s="16"/>
      <c r="P449" s="10" t="s">
        <v>34</v>
      </c>
      <c r="Q449" s="17">
        <f t="shared" si="1"/>
        <v>45771</v>
      </c>
      <c r="R449" s="18">
        <f t="shared" si="86"/>
        <v>200</v>
      </c>
      <c r="S449" s="20"/>
      <c r="T449" s="68" t="str">
        <f>VLOOKUP(A449,'Calendar ID'!$A:$C,3,false)</f>
        <v>Sirine.yza@gmail.com</v>
      </c>
      <c r="U449" s="71" t="b">
        <v>0</v>
      </c>
      <c r="V449" s="68" t="str">
        <f>VLOOKUP($A449,'Calendar ID'!$A:$C,2,false)</f>
        <v>c_4bf2087a99450838a520f4ce4fc6de01f87130a4f381347449792eaf1546cc46@group.calendar.google.com</v>
      </c>
      <c r="W449" s="71" t="b">
        <v>0</v>
      </c>
      <c r="X449" s="68" t="str">
        <f>VLOOKUP($A449,'Calendar ID'!$A:$C,2,false)</f>
        <v>c_4bf2087a99450838a520f4ce4fc6de01f87130a4f381347449792eaf1546cc46@group.calendar.google.com</v>
      </c>
    </row>
    <row r="450" hidden="1">
      <c r="A450" s="128" t="s">
        <v>511</v>
      </c>
      <c r="B450" s="17">
        <v>45771.0</v>
      </c>
      <c r="C450" s="16" t="s">
        <v>79</v>
      </c>
      <c r="D450" s="16" t="s">
        <v>515</v>
      </c>
      <c r="E450" s="52">
        <v>45820.0</v>
      </c>
      <c r="F450" s="17"/>
      <c r="G450" s="53">
        <v>45828.0</v>
      </c>
      <c r="H450" s="10" t="s">
        <v>31</v>
      </c>
      <c r="J450" s="16" t="s">
        <v>43</v>
      </c>
      <c r="K450" s="16" t="s">
        <v>33</v>
      </c>
      <c r="L450" s="31">
        <v>500.0</v>
      </c>
      <c r="N450" s="16"/>
      <c r="O450" s="16"/>
      <c r="P450" s="10" t="s">
        <v>34</v>
      </c>
      <c r="Q450" s="17">
        <f t="shared" si="1"/>
        <v>45771</v>
      </c>
      <c r="R450" s="18">
        <f t="shared" si="86"/>
        <v>150</v>
      </c>
      <c r="S450" s="20"/>
      <c r="T450" s="68" t="str">
        <f>VLOOKUP(A450,'Calendar ID'!$A:$C,3,false)</f>
        <v>#N/A</v>
      </c>
      <c r="U450" s="71" t="b">
        <v>0</v>
      </c>
      <c r="V450" s="68" t="str">
        <f>VLOOKUP($A450,'Calendar ID'!$A:$C,2,false)</f>
        <v>#N/A</v>
      </c>
      <c r="W450" s="71" t="b">
        <v>0</v>
      </c>
      <c r="X450" s="68" t="str">
        <f>VLOOKUP($A450,'Calendar ID'!$A:$C,2,false)</f>
        <v>#N/A</v>
      </c>
    </row>
    <row r="451" hidden="1">
      <c r="A451" s="16" t="s">
        <v>213</v>
      </c>
      <c r="B451" s="17">
        <v>45824.0</v>
      </c>
      <c r="C451" s="16" t="s">
        <v>516</v>
      </c>
      <c r="E451" s="58">
        <v>45833.0</v>
      </c>
      <c r="F451" s="17"/>
      <c r="G451" s="17"/>
      <c r="H451" s="10" t="s">
        <v>31</v>
      </c>
      <c r="I451" s="16" t="s">
        <v>517</v>
      </c>
      <c r="J451" s="16" t="s">
        <v>43</v>
      </c>
      <c r="K451" s="23" t="s">
        <v>33</v>
      </c>
      <c r="L451" s="31">
        <v>2000.0</v>
      </c>
      <c r="N451" s="16"/>
      <c r="O451" s="16"/>
      <c r="P451" s="16" t="s">
        <v>34</v>
      </c>
      <c r="Q451" s="17">
        <f t="shared" si="1"/>
        <v>45824</v>
      </c>
      <c r="R451" s="18">
        <f t="shared" si="86"/>
        <v>600</v>
      </c>
      <c r="S451" s="20"/>
      <c r="T451" s="68"/>
      <c r="U451" s="77"/>
      <c r="V451" s="68"/>
      <c r="W451" s="71"/>
      <c r="X451" s="20"/>
    </row>
    <row r="452" hidden="1">
      <c r="A452" s="23" t="s">
        <v>113</v>
      </c>
      <c r="B452" s="17">
        <v>45818.0</v>
      </c>
      <c r="C452" s="16" t="s">
        <v>160</v>
      </c>
      <c r="E452" s="17"/>
      <c r="F452" s="17"/>
      <c r="G452" s="58">
        <v>45833.0</v>
      </c>
      <c r="H452" s="10" t="s">
        <v>31</v>
      </c>
      <c r="I452" s="16" t="s">
        <v>496</v>
      </c>
      <c r="J452" s="16" t="s">
        <v>97</v>
      </c>
      <c r="K452" s="23" t="s">
        <v>33</v>
      </c>
      <c r="L452" s="31" t="s">
        <v>56</v>
      </c>
      <c r="N452" s="16"/>
      <c r="O452" s="16"/>
      <c r="P452" s="23"/>
      <c r="Q452" s="17">
        <f t="shared" si="1"/>
        <v>45818</v>
      </c>
      <c r="R452" s="15"/>
      <c r="S452" s="20"/>
      <c r="T452" s="68"/>
      <c r="U452" s="77"/>
      <c r="V452" s="68"/>
      <c r="W452" s="71"/>
      <c r="X452" s="20"/>
    </row>
    <row r="453" hidden="1">
      <c r="A453" s="23" t="s">
        <v>215</v>
      </c>
      <c r="B453" s="17">
        <v>45818.0</v>
      </c>
      <c r="C453" s="16" t="s">
        <v>160</v>
      </c>
      <c r="E453" s="17"/>
      <c r="F453" s="17"/>
      <c r="G453" s="58">
        <v>45833.0</v>
      </c>
      <c r="H453" s="10" t="s">
        <v>31</v>
      </c>
      <c r="I453" s="16" t="s">
        <v>496</v>
      </c>
      <c r="J453" s="16" t="s">
        <v>97</v>
      </c>
      <c r="K453" s="23" t="s">
        <v>33</v>
      </c>
      <c r="L453" s="31" t="s">
        <v>56</v>
      </c>
      <c r="N453" s="65" t="s">
        <v>518</v>
      </c>
      <c r="O453" s="16"/>
      <c r="P453" s="23"/>
      <c r="Q453" s="17">
        <f t="shared" si="1"/>
        <v>45818</v>
      </c>
      <c r="R453" s="15"/>
      <c r="S453" s="20"/>
      <c r="T453" s="68"/>
      <c r="U453" s="77"/>
      <c r="V453" s="68"/>
      <c r="W453" s="71"/>
      <c r="X453" s="20"/>
    </row>
    <row r="454" hidden="1">
      <c r="A454" s="128" t="s">
        <v>237</v>
      </c>
      <c r="B454" s="17">
        <v>45800.0</v>
      </c>
      <c r="C454" s="16" t="s">
        <v>316</v>
      </c>
      <c r="E454" s="58">
        <v>45835.0</v>
      </c>
      <c r="F454" s="17"/>
      <c r="G454" s="17"/>
      <c r="H454" s="10" t="s">
        <v>31</v>
      </c>
      <c r="I454" s="16" t="s">
        <v>323</v>
      </c>
      <c r="J454" s="16" t="s">
        <v>43</v>
      </c>
      <c r="K454" s="16" t="s">
        <v>33</v>
      </c>
      <c r="L454" s="31">
        <v>370.0</v>
      </c>
      <c r="N454" s="16"/>
      <c r="O454" s="16"/>
      <c r="P454" s="10" t="s">
        <v>34</v>
      </c>
      <c r="Q454" s="17">
        <f t="shared" si="1"/>
        <v>45800</v>
      </c>
      <c r="R454" s="18">
        <f t="shared" ref="R454:R455" si="87">L454*0.3</f>
        <v>111</v>
      </c>
      <c r="S454" s="20"/>
      <c r="T454" s="68" t="str">
        <f>VLOOKUP(A454,'Calendar ID'!$A:$C,3,false)</f>
        <v>shaaadl.pro@gmail.com</v>
      </c>
      <c r="U454" s="71" t="b">
        <v>0</v>
      </c>
      <c r="V454" s="68" t="str">
        <f>VLOOKUP($A454,'Calendar ID'!$A:$C,2,false)</f>
        <v>c_9384058245a0bc66157c09691047ea8f88622323c6761b8606c18d9b08ee0bf8@group.calendar.google.com</v>
      </c>
      <c r="W454" s="71" t="b">
        <v>0</v>
      </c>
      <c r="X454" s="68" t="str">
        <f>VLOOKUP($A454,'Calendar ID'!$A:$C,2,false)</f>
        <v>c_9384058245a0bc66157c09691047ea8f88622323c6761b8606c18d9b08ee0bf8@group.calendar.google.com</v>
      </c>
    </row>
    <row r="455" hidden="1">
      <c r="A455" s="16" t="s">
        <v>213</v>
      </c>
      <c r="B455" s="17">
        <v>45834.0</v>
      </c>
      <c r="C455" s="16" t="s">
        <v>316</v>
      </c>
      <c r="D455" s="16" t="s">
        <v>519</v>
      </c>
      <c r="E455" s="64">
        <v>45845.0</v>
      </c>
      <c r="F455" s="17"/>
      <c r="G455" s="17"/>
      <c r="H455" s="10" t="s">
        <v>31</v>
      </c>
      <c r="I455" s="16" t="s">
        <v>520</v>
      </c>
      <c r="J455" s="16" t="s">
        <v>43</v>
      </c>
      <c r="K455" s="23" t="s">
        <v>33</v>
      </c>
      <c r="L455" s="31">
        <v>900.0</v>
      </c>
      <c r="N455" s="65" t="s">
        <v>521</v>
      </c>
      <c r="O455" s="16"/>
      <c r="P455" s="16" t="s">
        <v>34</v>
      </c>
      <c r="Q455" s="17">
        <f t="shared" si="1"/>
        <v>45834</v>
      </c>
      <c r="R455" s="18">
        <f t="shared" si="87"/>
        <v>270</v>
      </c>
      <c r="S455" s="20"/>
      <c r="T455" s="68"/>
      <c r="U455" s="77"/>
      <c r="V455" s="68"/>
      <c r="W455" s="71"/>
      <c r="X455" s="20"/>
    </row>
    <row r="456" hidden="1">
      <c r="A456" s="23" t="s">
        <v>436</v>
      </c>
      <c r="B456" s="17">
        <v>45818.0</v>
      </c>
      <c r="C456" s="16" t="s">
        <v>160</v>
      </c>
      <c r="E456" s="17"/>
      <c r="F456" s="17"/>
      <c r="G456" s="58">
        <v>45833.0</v>
      </c>
      <c r="H456" s="10" t="s">
        <v>31</v>
      </c>
      <c r="I456" s="16" t="s">
        <v>496</v>
      </c>
      <c r="J456" s="16" t="s">
        <v>97</v>
      </c>
      <c r="K456" s="23" t="s">
        <v>33</v>
      </c>
      <c r="L456" s="31" t="s">
        <v>56</v>
      </c>
      <c r="N456" s="16"/>
      <c r="O456" s="16"/>
      <c r="P456" s="23"/>
      <c r="Q456" s="17">
        <f t="shared" si="1"/>
        <v>45818</v>
      </c>
      <c r="R456" s="15"/>
      <c r="S456" s="20"/>
      <c r="T456" s="68"/>
      <c r="U456" s="77"/>
      <c r="V456" s="68"/>
      <c r="W456" s="71"/>
      <c r="X456" s="20"/>
    </row>
    <row r="457" hidden="1">
      <c r="A457" s="128" t="s">
        <v>213</v>
      </c>
      <c r="B457" s="17">
        <v>45796.0</v>
      </c>
      <c r="C457" s="16" t="s">
        <v>316</v>
      </c>
      <c r="E457" s="58">
        <v>45835.0</v>
      </c>
      <c r="H457" s="10" t="s">
        <v>31</v>
      </c>
      <c r="J457" s="16" t="s">
        <v>43</v>
      </c>
      <c r="K457" s="16" t="s">
        <v>74</v>
      </c>
      <c r="L457" s="31">
        <v>150.0</v>
      </c>
      <c r="N457" s="16"/>
      <c r="O457" s="16"/>
      <c r="P457" s="10" t="s">
        <v>34</v>
      </c>
      <c r="Q457" s="17">
        <f t="shared" si="1"/>
        <v>45796</v>
      </c>
      <c r="R457" s="18">
        <f t="shared" ref="R457:R458" si="88">L457*0.3</f>
        <v>45</v>
      </c>
      <c r="S457" s="20"/>
      <c r="T457" s="68" t="str">
        <f>VLOOKUP(A457,'Calendar ID'!$A:$C,3,false)</f>
        <v>anaiswry@yahoo.fr</v>
      </c>
      <c r="U457" s="71" t="b">
        <v>0</v>
      </c>
      <c r="V457" s="68" t="str">
        <f>VLOOKUP($A457,'Calendar ID'!$A:$C,2,false)</f>
        <v>c_2754856c5047affc6767bb85fb787591389bf7d14d3afd368efdff9979492ab5@group.calendar.google.com</v>
      </c>
      <c r="W457" s="71" t="b">
        <v>0</v>
      </c>
      <c r="X457" s="68" t="str">
        <f>VLOOKUP($A457,'Calendar ID'!$A:$C,2,false)</f>
        <v>c_2754856c5047affc6767bb85fb787591389bf7d14d3afd368efdff9979492ab5@group.calendar.google.com</v>
      </c>
    </row>
    <row r="458" hidden="1">
      <c r="A458" s="16" t="s">
        <v>91</v>
      </c>
      <c r="B458" s="17">
        <v>45703.0</v>
      </c>
      <c r="C458" s="16" t="s">
        <v>245</v>
      </c>
      <c r="D458" s="16" t="s">
        <v>421</v>
      </c>
      <c r="E458" s="35">
        <v>45773.0</v>
      </c>
      <c r="F458" s="17"/>
      <c r="G458" s="36">
        <v>45776.0</v>
      </c>
      <c r="H458" s="16" t="s">
        <v>31</v>
      </c>
      <c r="I458" s="16"/>
      <c r="J458" s="16" t="s">
        <v>43</v>
      </c>
      <c r="K458" s="16" t="s">
        <v>33</v>
      </c>
      <c r="L458" s="31">
        <f>1050/3</f>
        <v>350</v>
      </c>
      <c r="N458" s="16"/>
      <c r="O458" s="16"/>
      <c r="P458" s="23" t="s">
        <v>34</v>
      </c>
      <c r="Q458" s="17">
        <f t="shared" si="1"/>
        <v>45703</v>
      </c>
      <c r="R458" s="18">
        <f t="shared" si="88"/>
        <v>105</v>
      </c>
      <c r="S458" s="20"/>
      <c r="T458" s="68" t="str">
        <f>VLOOKUP(A458,'Calendar ID'!$A:$C,3,false)</f>
        <v>juliane.bernard57@icloud.com</v>
      </c>
      <c r="U458" s="69" t="b">
        <v>1</v>
      </c>
      <c r="V458" s="70" t="s">
        <v>82</v>
      </c>
      <c r="W458" s="69" t="b">
        <v>1</v>
      </c>
      <c r="X458" s="70" t="s">
        <v>82</v>
      </c>
    </row>
    <row r="459" hidden="1">
      <c r="A459" s="16" t="s">
        <v>42</v>
      </c>
      <c r="B459" s="17">
        <v>45747.0</v>
      </c>
      <c r="C459" s="16" t="s">
        <v>316</v>
      </c>
      <c r="E459" s="30">
        <v>45760.0</v>
      </c>
      <c r="F459" s="17"/>
      <c r="G459" s="17"/>
      <c r="H459" s="10" t="s">
        <v>31</v>
      </c>
      <c r="I459" s="16" t="s">
        <v>379</v>
      </c>
      <c r="J459" s="16" t="s">
        <v>43</v>
      </c>
      <c r="K459" s="16" t="s">
        <v>33</v>
      </c>
      <c r="L459" s="31">
        <v>500.0</v>
      </c>
      <c r="N459" s="16"/>
      <c r="O459" s="16"/>
      <c r="P459" s="10" t="s">
        <v>34</v>
      </c>
      <c r="Q459" s="17">
        <f t="shared" si="1"/>
        <v>45747</v>
      </c>
      <c r="R459" s="18">
        <f>L459*0.25</f>
        <v>125</v>
      </c>
      <c r="S459" s="20"/>
      <c r="T459" s="68" t="str">
        <f>VLOOKUP(A459,'Calendar ID'!$A:$C,3,false)</f>
        <v>cmepls.pro@gmail.com</v>
      </c>
      <c r="U459" s="71" t="b">
        <v>0</v>
      </c>
      <c r="V459" s="68" t="str">
        <f>VLOOKUP($A459,'Calendar ID'!$A:$C,2,false)</f>
        <v>c_15e3504fd6fde5b88106b6d99934e830e051067bbd4af855bfd432d30fc2f262@group.calendar.google.com</v>
      </c>
      <c r="W459" s="69" t="b">
        <v>0</v>
      </c>
      <c r="X459" s="68" t="str">
        <f>VLOOKUP($A459,'Calendar ID'!$A:$C,2,false)</f>
        <v>c_15e3504fd6fde5b88106b6d99934e830e051067bbd4af855bfd432d30fc2f262@group.calendar.google.com</v>
      </c>
    </row>
    <row r="460" hidden="1">
      <c r="A460" s="16" t="s">
        <v>237</v>
      </c>
      <c r="B460" s="17">
        <v>45703.0</v>
      </c>
      <c r="C460" s="16" t="s">
        <v>245</v>
      </c>
      <c r="D460" s="16" t="s">
        <v>454</v>
      </c>
      <c r="E460" s="146">
        <v>45830.0</v>
      </c>
      <c r="F460" s="147"/>
      <c r="G460" s="142">
        <v>45836.0</v>
      </c>
      <c r="H460" s="10" t="s">
        <v>31</v>
      </c>
      <c r="J460" s="16" t="s">
        <v>43</v>
      </c>
      <c r="K460" s="16" t="s">
        <v>33</v>
      </c>
      <c r="L460" s="31">
        <v>300.0</v>
      </c>
      <c r="N460" s="16"/>
      <c r="O460" s="16"/>
      <c r="P460" s="23" t="s">
        <v>34</v>
      </c>
      <c r="Q460" s="17">
        <f t="shared" si="1"/>
        <v>45703</v>
      </c>
      <c r="R460" s="18">
        <f>L460*0.3</f>
        <v>90</v>
      </c>
      <c r="S460" s="20"/>
      <c r="T460" s="68" t="str">
        <f>VLOOKUP(A460,'Calendar ID'!$A:$C,3,false)</f>
        <v>shaaadl.pro@gmail.com</v>
      </c>
      <c r="U460" s="71" t="b">
        <v>0</v>
      </c>
      <c r="V460" s="68" t="str">
        <f>VLOOKUP($A460,'Calendar ID'!$A:$C,2,false)</f>
        <v>c_9384058245a0bc66157c09691047ea8f88622323c6761b8606c18d9b08ee0bf8@group.calendar.google.com</v>
      </c>
      <c r="W460" s="71" t="b">
        <v>0</v>
      </c>
      <c r="X460" s="68" t="str">
        <f>VLOOKUP($A460,'Calendar ID'!$A:$C,2,false)</f>
        <v>c_9384058245a0bc66157c09691047ea8f88622323c6761b8606c18d9b08ee0bf8@group.calendar.google.com</v>
      </c>
    </row>
    <row r="461" hidden="1">
      <c r="A461" s="16" t="s">
        <v>522</v>
      </c>
      <c r="B461" s="17">
        <v>45818.0</v>
      </c>
      <c r="C461" s="16" t="s">
        <v>245</v>
      </c>
      <c r="D461" s="16" t="s">
        <v>523</v>
      </c>
      <c r="E461" s="58">
        <v>45835.0</v>
      </c>
      <c r="F461" s="67">
        <v>45854.0</v>
      </c>
      <c r="G461" s="66">
        <v>45864.0</v>
      </c>
      <c r="H461" s="10" t="s">
        <v>31</v>
      </c>
      <c r="J461" s="16" t="s">
        <v>43</v>
      </c>
      <c r="K461" s="23" t="s">
        <v>33</v>
      </c>
      <c r="L461" s="31">
        <v>300.0</v>
      </c>
      <c r="N461" s="16"/>
      <c r="O461" s="16"/>
      <c r="P461" s="16" t="s">
        <v>34</v>
      </c>
      <c r="Q461" s="17">
        <f t="shared" si="1"/>
        <v>45818</v>
      </c>
      <c r="R461" s="16">
        <v>150.0</v>
      </c>
      <c r="S461" s="20"/>
      <c r="T461" s="68"/>
      <c r="U461" s="77"/>
      <c r="V461" s="68"/>
      <c r="W461" s="71"/>
      <c r="X461" s="20"/>
    </row>
    <row r="462" hidden="1">
      <c r="A462" s="16" t="s">
        <v>213</v>
      </c>
      <c r="B462" s="17">
        <v>45820.0</v>
      </c>
      <c r="C462" s="16" t="s">
        <v>54</v>
      </c>
      <c r="E462" s="61">
        <v>45840.0</v>
      </c>
      <c r="F462" s="17"/>
      <c r="G462" s="61">
        <v>45841.0</v>
      </c>
      <c r="H462" s="10" t="s">
        <v>31</v>
      </c>
      <c r="I462" s="16" t="s">
        <v>524</v>
      </c>
      <c r="J462" s="16" t="s">
        <v>43</v>
      </c>
      <c r="K462" s="23" t="s">
        <v>33</v>
      </c>
      <c r="L462" s="31">
        <v>1250.0</v>
      </c>
      <c r="N462" s="16"/>
      <c r="O462" s="16"/>
      <c r="P462" s="16" t="s">
        <v>34</v>
      </c>
      <c r="Q462" s="17">
        <f t="shared" si="1"/>
        <v>45820</v>
      </c>
      <c r="R462" s="18">
        <f t="shared" ref="R462:R463" si="89">L462*0.3</f>
        <v>375</v>
      </c>
      <c r="S462" s="20"/>
      <c r="T462" s="68"/>
      <c r="U462" s="77"/>
      <c r="V462" s="68"/>
      <c r="W462" s="71"/>
      <c r="X462" s="20"/>
    </row>
    <row r="463" hidden="1">
      <c r="A463" s="16" t="s">
        <v>428</v>
      </c>
      <c r="B463" s="17">
        <v>45818.0</v>
      </c>
      <c r="C463" s="16" t="s">
        <v>245</v>
      </c>
      <c r="D463" s="16" t="s">
        <v>523</v>
      </c>
      <c r="E463" s="53">
        <v>45830.0</v>
      </c>
      <c r="F463" s="53">
        <v>45830.0</v>
      </c>
      <c r="G463" s="16" t="s">
        <v>525</v>
      </c>
      <c r="H463" s="10" t="s">
        <v>31</v>
      </c>
      <c r="J463" s="16" t="s">
        <v>43</v>
      </c>
      <c r="K463" s="23" t="s">
        <v>33</v>
      </c>
      <c r="L463" s="31">
        <v>300.0</v>
      </c>
      <c r="N463" s="16"/>
      <c r="O463" s="16"/>
      <c r="P463" s="16" t="s">
        <v>34</v>
      </c>
      <c r="Q463" s="17">
        <f t="shared" si="1"/>
        <v>45818</v>
      </c>
      <c r="R463" s="18">
        <f t="shared" si="89"/>
        <v>90</v>
      </c>
      <c r="S463" s="20"/>
      <c r="T463" s="68"/>
      <c r="U463" s="77"/>
      <c r="V463" s="68"/>
      <c r="W463" s="71"/>
      <c r="X463" s="20"/>
    </row>
    <row r="464" hidden="1">
      <c r="A464" s="128" t="s">
        <v>29</v>
      </c>
      <c r="B464" s="17">
        <v>45804.0</v>
      </c>
      <c r="C464" s="16" t="s">
        <v>526</v>
      </c>
      <c r="E464" s="61">
        <v>45839.0</v>
      </c>
      <c r="F464" s="17"/>
      <c r="G464" s="64">
        <v>45846.0</v>
      </c>
      <c r="H464" s="10" t="s">
        <v>31</v>
      </c>
      <c r="I464" s="16" t="s">
        <v>527</v>
      </c>
      <c r="J464" s="16" t="s">
        <v>43</v>
      </c>
      <c r="K464" s="16" t="s">
        <v>33</v>
      </c>
      <c r="L464" s="31">
        <v>200.0</v>
      </c>
      <c r="N464" s="16"/>
      <c r="O464" s="16"/>
      <c r="P464" s="10" t="s">
        <v>34</v>
      </c>
      <c r="Q464" s="17">
        <f t="shared" si="1"/>
        <v>45804</v>
      </c>
      <c r="R464" s="18">
        <f>L464*0.2</f>
        <v>40</v>
      </c>
      <c r="S464" s="20"/>
      <c r="T464" s="68" t="str">
        <f>VLOOKUP(A464,'Calendar ID'!$A:$C,3,false)</f>
        <v>pauline@grapperagency.com</v>
      </c>
      <c r="U464" s="71" t="b">
        <v>0</v>
      </c>
      <c r="V464" s="68" t="str">
        <f>VLOOKUP($A464,'Calendar ID'!$A:$C,2,false)</f>
        <v>c_a715193c206b2aa1e4b81b8a3772df33bf92c92611202a890a6bccecb2131fcb@group.calendar.google.com</v>
      </c>
      <c r="W464" s="71" t="b">
        <v>0</v>
      </c>
      <c r="X464" s="68" t="str">
        <f>VLOOKUP($A464,'Calendar ID'!$A:$C,2,false)</f>
        <v>c_a715193c206b2aa1e4b81b8a3772df33bf92c92611202a890a6bccecb2131fcb@group.calendar.google.com</v>
      </c>
    </row>
    <row r="465" hidden="1">
      <c r="A465" s="16" t="s">
        <v>42</v>
      </c>
      <c r="B465" s="17">
        <v>45834.0</v>
      </c>
      <c r="C465" s="16" t="s">
        <v>316</v>
      </c>
      <c r="D465" s="16" t="s">
        <v>519</v>
      </c>
      <c r="E465" s="64">
        <v>45845.0</v>
      </c>
      <c r="F465" s="17"/>
      <c r="G465" s="17"/>
      <c r="H465" s="10" t="s">
        <v>31</v>
      </c>
      <c r="J465" s="16" t="s">
        <v>43</v>
      </c>
      <c r="K465" s="23" t="s">
        <v>33</v>
      </c>
      <c r="L465" s="31">
        <v>700.0</v>
      </c>
      <c r="N465" s="16"/>
      <c r="O465" s="16"/>
      <c r="P465" s="16" t="s">
        <v>34</v>
      </c>
      <c r="Q465" s="17">
        <f t="shared" si="1"/>
        <v>45834</v>
      </c>
      <c r="R465" s="18">
        <f t="shared" ref="R465:R466" si="90">L465*0.3</f>
        <v>210</v>
      </c>
      <c r="S465" s="20"/>
      <c r="T465" s="68"/>
      <c r="U465" s="77"/>
      <c r="V465" s="68"/>
      <c r="W465" s="71"/>
      <c r="X465" s="20"/>
    </row>
    <row r="466" hidden="1">
      <c r="A466" s="16" t="s">
        <v>91</v>
      </c>
      <c r="B466" s="17">
        <v>45820.0</v>
      </c>
      <c r="C466" s="16" t="s">
        <v>502</v>
      </c>
      <c r="E466" s="58">
        <v>45837.0</v>
      </c>
      <c r="F466" s="17"/>
      <c r="G466" s="64">
        <v>45845.0</v>
      </c>
      <c r="H466" s="10" t="s">
        <v>31</v>
      </c>
      <c r="I466" s="16" t="s">
        <v>528</v>
      </c>
      <c r="J466" s="16" t="s">
        <v>43</v>
      </c>
      <c r="K466" s="23" t="s">
        <v>33</v>
      </c>
      <c r="L466" s="31">
        <v>650.0</v>
      </c>
      <c r="N466" s="16"/>
      <c r="O466" s="16"/>
      <c r="P466" s="16" t="s">
        <v>34</v>
      </c>
      <c r="Q466" s="17">
        <f t="shared" si="1"/>
        <v>45820</v>
      </c>
      <c r="R466" s="18">
        <f t="shared" si="90"/>
        <v>195</v>
      </c>
      <c r="S466" s="20"/>
      <c r="T466" s="68"/>
      <c r="U466" s="77"/>
      <c r="V466" s="68"/>
      <c r="W466" s="71"/>
      <c r="X466" s="20"/>
    </row>
    <row r="467" hidden="1">
      <c r="A467" s="23" t="s">
        <v>364</v>
      </c>
      <c r="B467" s="17">
        <v>45818.0</v>
      </c>
      <c r="C467" s="16" t="s">
        <v>160</v>
      </c>
      <c r="E467" s="17"/>
      <c r="F467" s="17"/>
      <c r="G467" s="58">
        <v>45833.0</v>
      </c>
      <c r="H467" s="10" t="s">
        <v>31</v>
      </c>
      <c r="I467" s="16" t="s">
        <v>496</v>
      </c>
      <c r="J467" s="16" t="s">
        <v>97</v>
      </c>
      <c r="K467" s="23" t="s">
        <v>33</v>
      </c>
      <c r="L467" s="31" t="s">
        <v>56</v>
      </c>
      <c r="N467" s="16"/>
      <c r="O467" s="16"/>
      <c r="P467" s="23"/>
      <c r="Q467" s="17">
        <f t="shared" si="1"/>
        <v>45818</v>
      </c>
      <c r="R467" s="15"/>
      <c r="S467" s="20"/>
      <c r="T467" s="68"/>
      <c r="U467" s="77"/>
      <c r="V467" s="68"/>
      <c r="W467" s="71"/>
      <c r="X467" s="20"/>
    </row>
    <row r="468" hidden="1">
      <c r="A468" s="128" t="s">
        <v>91</v>
      </c>
      <c r="B468" s="17">
        <v>45804.0</v>
      </c>
      <c r="C468" s="16" t="s">
        <v>526</v>
      </c>
      <c r="E468" s="66">
        <v>45862.0</v>
      </c>
      <c r="F468" s="17"/>
      <c r="G468" s="67">
        <v>45856.0</v>
      </c>
      <c r="H468" s="10" t="s">
        <v>31</v>
      </c>
      <c r="I468" s="16" t="s">
        <v>527</v>
      </c>
      <c r="J468" s="16" t="s">
        <v>43</v>
      </c>
      <c r="K468" s="16" t="s">
        <v>33</v>
      </c>
      <c r="L468" s="31">
        <v>200.0</v>
      </c>
      <c r="N468" s="16"/>
      <c r="O468" s="16"/>
      <c r="P468" s="10" t="s">
        <v>34</v>
      </c>
      <c r="Q468" s="17">
        <f t="shared" si="1"/>
        <v>45804</v>
      </c>
      <c r="R468" s="18">
        <f t="shared" ref="R468:R472" si="91">L468*0.3</f>
        <v>60</v>
      </c>
      <c r="S468" s="20"/>
      <c r="T468" s="68" t="str">
        <f>VLOOKUP(A468,'Calendar ID'!$A:$C,3,false)</f>
        <v>juliane.bernard57@icloud.com</v>
      </c>
      <c r="U468" s="71" t="b">
        <v>0</v>
      </c>
      <c r="V468" s="68" t="str">
        <f>VLOOKUP($A468,'Calendar ID'!$A:$C,2,false)</f>
        <v>c_f6970d92e9be72b1307e3c015a265d69ae87140c691e7728bc83462544d82455@group.calendar.google.com</v>
      </c>
      <c r="W468" s="71" t="b">
        <v>0</v>
      </c>
      <c r="X468" s="68" t="str">
        <f>VLOOKUP($A468,'Calendar ID'!$A:$C,2,false)</f>
        <v>c_f6970d92e9be72b1307e3c015a265d69ae87140c691e7728bc83462544d82455@group.calendar.google.com</v>
      </c>
    </row>
    <row r="469" hidden="1">
      <c r="A469" s="16" t="s">
        <v>284</v>
      </c>
      <c r="B469" s="17">
        <v>45678.0</v>
      </c>
      <c r="C469" s="16" t="s">
        <v>316</v>
      </c>
      <c r="E469" s="107">
        <v>45714.0</v>
      </c>
      <c r="G469" s="17"/>
      <c r="H469" s="10" t="s">
        <v>31</v>
      </c>
      <c r="I469" s="16" t="s">
        <v>74</v>
      </c>
      <c r="J469" s="16" t="s">
        <v>43</v>
      </c>
      <c r="K469" s="10" t="s">
        <v>72</v>
      </c>
      <c r="L469" s="31">
        <v>300.0</v>
      </c>
      <c r="N469" s="16"/>
      <c r="O469" s="16"/>
      <c r="P469" s="16" t="s">
        <v>34</v>
      </c>
      <c r="Q469" s="17">
        <f t="shared" si="1"/>
        <v>45678</v>
      </c>
      <c r="R469" s="18">
        <f t="shared" si="91"/>
        <v>90</v>
      </c>
      <c r="S469" s="20"/>
      <c r="T469" s="68" t="str">
        <f>VLOOKUP(A469,'Calendar ID'!$A:$C,3,false)</f>
        <v>Douns.collab@gmail.com</v>
      </c>
      <c r="U469" s="77" t="b">
        <v>1</v>
      </c>
      <c r="V469" s="70" t="s">
        <v>82</v>
      </c>
      <c r="W469" s="77" t="b">
        <v>0</v>
      </c>
      <c r="X469" s="68" t="str">
        <f>VLOOKUP($A469,'Calendar ID'!$A:$C,2,false)</f>
        <v>c_2208b8e561439ebc2637feb15fe2d308d5719cc64460071de6ba0c674eba6118@group.calendar.google.com</v>
      </c>
    </row>
    <row r="470" hidden="1">
      <c r="A470" s="128" t="s">
        <v>353</v>
      </c>
      <c r="B470" s="17">
        <v>45805.0</v>
      </c>
      <c r="C470" s="16" t="s">
        <v>199</v>
      </c>
      <c r="E470" s="61">
        <v>45840.0</v>
      </c>
      <c r="F470" s="17"/>
      <c r="G470" s="61">
        <v>45841.0</v>
      </c>
      <c r="H470" s="10" t="s">
        <v>31</v>
      </c>
      <c r="I470" s="16" t="s">
        <v>529</v>
      </c>
      <c r="J470" s="16" t="s">
        <v>43</v>
      </c>
      <c r="K470" s="16" t="s">
        <v>33</v>
      </c>
      <c r="L470" s="31">
        <v>620.0</v>
      </c>
      <c r="N470" s="16"/>
      <c r="O470" s="16"/>
      <c r="P470" s="10" t="s">
        <v>34</v>
      </c>
      <c r="Q470" s="17">
        <f t="shared" si="1"/>
        <v>45805</v>
      </c>
      <c r="R470" s="18">
        <f t="shared" si="91"/>
        <v>186</v>
      </c>
      <c r="S470" s="20"/>
      <c r="T470" s="68" t="str">
        <f>VLOOKUP(A470,'Calendar ID'!$A:$C,3,false)</f>
        <v>hidaya.7bl@gmail.com </v>
      </c>
      <c r="U470" s="71" t="b">
        <v>0</v>
      </c>
      <c r="V470" s="68" t="str">
        <f>VLOOKUP($A470,'Calendar ID'!$A:$C,2,false)</f>
        <v>c_056be6e79a6fa62e8f2a68280313995615b47a17f2b3679481d262413ec95701@group.calendar.google.com</v>
      </c>
      <c r="W470" s="71" t="b">
        <v>0</v>
      </c>
      <c r="X470" s="68" t="str">
        <f>VLOOKUP($A470,'Calendar ID'!$A:$C,2,false)</f>
        <v>c_056be6e79a6fa62e8f2a68280313995615b47a17f2b3679481d262413ec95701@group.calendar.google.com</v>
      </c>
    </row>
    <row r="471" hidden="1">
      <c r="A471" s="16" t="s">
        <v>284</v>
      </c>
      <c r="B471" s="17">
        <v>45834.0</v>
      </c>
      <c r="C471" s="16" t="s">
        <v>316</v>
      </c>
      <c r="D471" s="16" t="s">
        <v>519</v>
      </c>
      <c r="E471" s="64">
        <v>45845.0</v>
      </c>
      <c r="F471" s="17"/>
      <c r="G471" s="17"/>
      <c r="H471" s="10" t="s">
        <v>31</v>
      </c>
      <c r="J471" s="16" t="s">
        <v>43</v>
      </c>
      <c r="K471" s="23" t="s">
        <v>33</v>
      </c>
      <c r="L471" s="31">
        <v>500.0</v>
      </c>
      <c r="N471" s="65" t="s">
        <v>530</v>
      </c>
      <c r="O471" s="16"/>
      <c r="P471" s="16" t="s">
        <v>34</v>
      </c>
      <c r="Q471" s="17">
        <f t="shared" si="1"/>
        <v>45834</v>
      </c>
      <c r="R471" s="18">
        <f t="shared" si="91"/>
        <v>150</v>
      </c>
      <c r="S471" s="20"/>
      <c r="T471" s="68"/>
      <c r="U471" s="77"/>
      <c r="V471" s="68"/>
      <c r="W471" s="71"/>
      <c r="X471" s="20"/>
    </row>
    <row r="472" hidden="1">
      <c r="A472" s="16" t="s">
        <v>89</v>
      </c>
      <c r="B472" s="17">
        <v>45642.0</v>
      </c>
      <c r="C472" s="16" t="s">
        <v>316</v>
      </c>
      <c r="E472" s="96">
        <v>45668.0</v>
      </c>
      <c r="G472" s="17"/>
      <c r="H472" s="10" t="s">
        <v>31</v>
      </c>
      <c r="J472" s="16" t="s">
        <v>43</v>
      </c>
      <c r="K472" s="23" t="s">
        <v>33</v>
      </c>
      <c r="L472" s="31">
        <v>300.0</v>
      </c>
      <c r="N472" s="16"/>
      <c r="O472" s="16"/>
      <c r="P472" s="16" t="s">
        <v>34</v>
      </c>
      <c r="Q472" s="17">
        <f t="shared" si="1"/>
        <v>45642</v>
      </c>
      <c r="R472" s="18">
        <f t="shared" si="91"/>
        <v>90</v>
      </c>
      <c r="S472" s="20"/>
      <c r="T472" s="68" t="str">
        <f>VLOOKUP(A472,'Calendar ID'!$A:$C,3,false)</f>
        <v>lola140204@gmail.com</v>
      </c>
      <c r="U472" s="69" t="b">
        <v>1</v>
      </c>
      <c r="V472" s="70" t="s">
        <v>82</v>
      </c>
      <c r="W472" s="71" t="b">
        <v>0</v>
      </c>
      <c r="X472" s="68" t="str">
        <f>VLOOKUP($A472,'Calendar ID'!$A:$C,2,false)</f>
        <v>c_8f3f6ef786f2df9238426a478307dbddffb576ace587133cfa65ca553e2f967a@group.calendar.google.com</v>
      </c>
    </row>
    <row r="473" hidden="1">
      <c r="A473" s="16" t="s">
        <v>29</v>
      </c>
      <c r="B473" s="17">
        <v>45790.0</v>
      </c>
      <c r="C473" s="29" t="s">
        <v>88</v>
      </c>
      <c r="E473" s="53">
        <v>45829.0</v>
      </c>
      <c r="F473" s="17"/>
      <c r="G473" s="58">
        <v>45835.0</v>
      </c>
      <c r="H473" s="10" t="s">
        <v>31</v>
      </c>
      <c r="I473" s="16" t="s">
        <v>180</v>
      </c>
      <c r="J473" s="7" t="s">
        <v>43</v>
      </c>
      <c r="K473" s="7" t="s">
        <v>33</v>
      </c>
      <c r="L473" s="31">
        <v>300.0</v>
      </c>
      <c r="N473" s="16"/>
      <c r="O473" s="16"/>
      <c r="P473" s="23" t="s">
        <v>34</v>
      </c>
      <c r="Q473" s="17">
        <f t="shared" si="1"/>
        <v>45790</v>
      </c>
      <c r="R473" s="18">
        <f>L473*0.2</f>
        <v>60</v>
      </c>
      <c r="S473" s="20"/>
      <c r="T473" s="68" t="str">
        <f>VLOOKUP(A473,'Calendar ID'!$A:$C,3,false)</f>
        <v>pauline@grapperagency.com</v>
      </c>
      <c r="U473" s="71" t="b">
        <v>0</v>
      </c>
      <c r="V473" s="68" t="str">
        <f>VLOOKUP($A473,'Calendar ID'!$A:$C,2,false)</f>
        <v>c_a715193c206b2aa1e4b81b8a3772df33bf92c92611202a890a6bccecb2131fcb@group.calendar.google.com</v>
      </c>
      <c r="W473" s="71" t="b">
        <v>0</v>
      </c>
      <c r="X473" s="68" t="str">
        <f>VLOOKUP($A473,'Calendar ID'!$A:$C,2,false)</f>
        <v>c_a715193c206b2aa1e4b81b8a3772df33bf92c92611202a890a6bccecb2131fcb@group.calendar.google.com</v>
      </c>
    </row>
    <row r="474" hidden="1">
      <c r="A474" s="16" t="s">
        <v>89</v>
      </c>
      <c r="B474" s="17">
        <v>45826.0</v>
      </c>
      <c r="C474" s="16" t="s">
        <v>316</v>
      </c>
      <c r="D474" s="148"/>
      <c r="E474" s="67">
        <v>45857.0</v>
      </c>
      <c r="F474" s="17"/>
      <c r="G474" s="17"/>
      <c r="H474" s="10" t="s">
        <v>31</v>
      </c>
      <c r="I474" s="16" t="s">
        <v>74</v>
      </c>
      <c r="J474" s="16" t="s">
        <v>43</v>
      </c>
      <c r="K474" s="10" t="s">
        <v>74</v>
      </c>
      <c r="L474" s="31">
        <v>300.0</v>
      </c>
      <c r="N474" s="16"/>
      <c r="O474" s="16"/>
      <c r="P474" s="16" t="s">
        <v>34</v>
      </c>
      <c r="Q474" s="17">
        <f t="shared" si="1"/>
        <v>45826</v>
      </c>
      <c r="R474" s="18">
        <f t="shared" ref="R474:R478" si="92">L474*0.3</f>
        <v>90</v>
      </c>
      <c r="S474" s="20"/>
      <c r="T474" s="68"/>
      <c r="U474" s="77"/>
      <c r="V474" s="68"/>
      <c r="W474" s="71"/>
      <c r="X474" s="20"/>
    </row>
    <row r="475" hidden="1">
      <c r="A475" s="16" t="s">
        <v>237</v>
      </c>
      <c r="B475" s="17">
        <v>45790.0</v>
      </c>
      <c r="C475" s="16" t="s">
        <v>48</v>
      </c>
      <c r="D475" s="16" t="s">
        <v>531</v>
      </c>
      <c r="E475" s="94">
        <v>45812.0</v>
      </c>
      <c r="F475" s="17"/>
      <c r="G475" s="64">
        <v>45845.0</v>
      </c>
      <c r="H475" s="10" t="s">
        <v>31</v>
      </c>
      <c r="I475" s="16"/>
      <c r="J475" s="7" t="s">
        <v>43</v>
      </c>
      <c r="K475" s="7" t="s">
        <v>33</v>
      </c>
      <c r="L475" s="31">
        <f>500/4</f>
        <v>125</v>
      </c>
      <c r="N475" s="55" t="s">
        <v>532</v>
      </c>
      <c r="O475" s="16"/>
      <c r="P475" s="23" t="s">
        <v>34</v>
      </c>
      <c r="Q475" s="17">
        <f t="shared" si="1"/>
        <v>45790</v>
      </c>
      <c r="R475" s="18">
        <f t="shared" si="92"/>
        <v>37.5</v>
      </c>
      <c r="S475" s="20"/>
      <c r="T475" s="68" t="str">
        <f>VLOOKUP(A475,'Calendar ID'!$A:$C,3,false)</f>
        <v>shaaadl.pro@gmail.com</v>
      </c>
      <c r="U475" s="71" t="b">
        <v>0</v>
      </c>
      <c r="V475" s="68" t="str">
        <f>VLOOKUP($A475,'Calendar ID'!$A:$C,2,false)</f>
        <v>c_9384058245a0bc66157c09691047ea8f88622323c6761b8606c18d9b08ee0bf8@group.calendar.google.com</v>
      </c>
      <c r="W475" s="71" t="b">
        <v>0</v>
      </c>
      <c r="X475" s="68" t="str">
        <f>VLOOKUP($A475,'Calendar ID'!$A:$C,2,false)</f>
        <v>c_9384058245a0bc66157c09691047ea8f88622323c6761b8606c18d9b08ee0bf8@group.calendar.google.com</v>
      </c>
    </row>
    <row r="476" hidden="1">
      <c r="A476" s="16" t="s">
        <v>443</v>
      </c>
      <c r="B476" s="17">
        <v>45730.0</v>
      </c>
      <c r="C476" s="16" t="s">
        <v>485</v>
      </c>
      <c r="E476" s="64">
        <v>45846.0</v>
      </c>
      <c r="G476" s="64">
        <v>45849.0</v>
      </c>
      <c r="H476" s="10" t="s">
        <v>31</v>
      </c>
      <c r="I476" s="89" t="s">
        <v>533</v>
      </c>
      <c r="J476" s="16" t="s">
        <v>43</v>
      </c>
      <c r="K476" s="16" t="s">
        <v>33</v>
      </c>
      <c r="L476" s="31">
        <v>1100.0</v>
      </c>
      <c r="N476" s="55" t="s">
        <v>534</v>
      </c>
      <c r="O476" s="16"/>
      <c r="P476" s="23" t="s">
        <v>34</v>
      </c>
      <c r="Q476" s="17">
        <f t="shared" si="1"/>
        <v>45730</v>
      </c>
      <c r="R476" s="18">
        <f t="shared" si="92"/>
        <v>330</v>
      </c>
      <c r="S476" s="20"/>
      <c r="T476" s="68" t="str">
        <f>VLOOKUP(A476,'Calendar ID'!$A:$C,3,false)</f>
        <v>Lyassa.ospro@gmail.com </v>
      </c>
      <c r="U476" s="69" t="b">
        <v>1</v>
      </c>
      <c r="V476" s="70" t="s">
        <v>82</v>
      </c>
      <c r="W476" s="69" t="b">
        <v>1</v>
      </c>
      <c r="X476" s="70" t="s">
        <v>82</v>
      </c>
    </row>
    <row r="477" hidden="1">
      <c r="A477" s="16" t="s">
        <v>76</v>
      </c>
      <c r="B477" s="17">
        <v>45813.0</v>
      </c>
      <c r="C477" s="16" t="s">
        <v>403</v>
      </c>
      <c r="E477" s="61">
        <v>45843.0</v>
      </c>
      <c r="F477" s="17"/>
      <c r="G477" s="64">
        <v>45849.0</v>
      </c>
      <c r="H477" s="10" t="s">
        <v>31</v>
      </c>
      <c r="I477" s="16" t="s">
        <v>535</v>
      </c>
      <c r="J477" s="16" t="s">
        <v>43</v>
      </c>
      <c r="K477" s="16" t="s">
        <v>33</v>
      </c>
      <c r="L477" s="31">
        <v>200.0</v>
      </c>
      <c r="N477" s="65" t="s">
        <v>536</v>
      </c>
      <c r="O477" s="16"/>
      <c r="P477" s="10" t="s">
        <v>34</v>
      </c>
      <c r="Q477" s="17">
        <f t="shared" si="1"/>
        <v>45813</v>
      </c>
      <c r="R477" s="18">
        <f t="shared" si="92"/>
        <v>60</v>
      </c>
      <c r="S477" s="20"/>
      <c r="T477" s="68" t="str">
        <f>VLOOKUP(A477,'Calendar ID'!$A:$C,3,false)</f>
        <v>orane.baron1403@gmail.com</v>
      </c>
      <c r="U477" s="71" t="b">
        <v>0</v>
      </c>
      <c r="V477" s="68" t="str">
        <f>VLOOKUP($A477,'Calendar ID'!$A:$C,2,false)</f>
        <v>c_b9aea0629908ddbafe7229688ea55dc9d65b9e6b1a8ed4492c7ca84aa703d076@group.calendar.google.com</v>
      </c>
      <c r="W477" s="71" t="b">
        <v>0</v>
      </c>
      <c r="X477" s="68" t="str">
        <f>VLOOKUP($A477,'Calendar ID'!$A:$C,2,false)</f>
        <v>c_b9aea0629908ddbafe7229688ea55dc9d65b9e6b1a8ed4492c7ca84aa703d076@group.calendar.google.com</v>
      </c>
    </row>
    <row r="478" hidden="1">
      <c r="A478" s="16" t="s">
        <v>91</v>
      </c>
      <c r="B478" s="17">
        <v>45813.0</v>
      </c>
      <c r="C478" s="16" t="s">
        <v>403</v>
      </c>
      <c r="E478" s="58">
        <v>45837.0</v>
      </c>
      <c r="F478" s="17"/>
      <c r="G478" s="17"/>
      <c r="H478" s="10" t="s">
        <v>31</v>
      </c>
      <c r="I478" s="16" t="s">
        <v>281</v>
      </c>
      <c r="J478" s="16" t="s">
        <v>43</v>
      </c>
      <c r="K478" s="16" t="s">
        <v>33</v>
      </c>
      <c r="L478" s="31">
        <v>200.0</v>
      </c>
      <c r="N478" s="65" t="s">
        <v>537</v>
      </c>
      <c r="O478" s="16"/>
      <c r="P478" s="10" t="s">
        <v>34</v>
      </c>
      <c r="Q478" s="17">
        <f t="shared" si="1"/>
        <v>45813</v>
      </c>
      <c r="R478" s="18">
        <f t="shared" si="92"/>
        <v>60</v>
      </c>
      <c r="S478" s="20"/>
      <c r="T478" s="68" t="str">
        <f>VLOOKUP(A478,'Calendar ID'!$A:$C,3,false)</f>
        <v>juliane.bernard57@icloud.com</v>
      </c>
      <c r="U478" s="71" t="b">
        <v>0</v>
      </c>
      <c r="V478" s="68" t="str">
        <f>VLOOKUP($A478,'Calendar ID'!$A:$C,2,false)</f>
        <v>c_f6970d92e9be72b1307e3c015a265d69ae87140c691e7728bc83462544d82455@group.calendar.google.com</v>
      </c>
      <c r="W478" s="71" t="b">
        <v>0</v>
      </c>
      <c r="X478" s="68" t="str">
        <f>VLOOKUP($A478,'Calendar ID'!$A:$C,2,false)</f>
        <v>c_f6970d92e9be72b1307e3c015a265d69ae87140c691e7728bc83462544d82455@group.calendar.google.com</v>
      </c>
    </row>
    <row r="479" hidden="1">
      <c r="A479" s="23" t="s">
        <v>538</v>
      </c>
      <c r="B479" s="17">
        <v>45818.0</v>
      </c>
      <c r="C479" s="16" t="s">
        <v>160</v>
      </c>
      <c r="E479" s="17"/>
      <c r="F479" s="17"/>
      <c r="G479" s="58">
        <v>45833.0</v>
      </c>
      <c r="H479" s="10" t="s">
        <v>31</v>
      </c>
      <c r="I479" s="16" t="s">
        <v>496</v>
      </c>
      <c r="J479" s="16" t="s">
        <v>97</v>
      </c>
      <c r="K479" s="23" t="s">
        <v>33</v>
      </c>
      <c r="L479" s="31" t="s">
        <v>56</v>
      </c>
      <c r="N479" s="65" t="s">
        <v>539</v>
      </c>
      <c r="O479" s="16"/>
      <c r="P479" s="23"/>
      <c r="Q479" s="17">
        <f t="shared" si="1"/>
        <v>45818</v>
      </c>
      <c r="R479" s="15"/>
      <c r="S479" s="20"/>
      <c r="T479" s="68"/>
      <c r="U479" s="77"/>
      <c r="V479" s="68"/>
      <c r="W479" s="71"/>
      <c r="X479" s="20"/>
    </row>
    <row r="480" hidden="1">
      <c r="A480" s="16" t="s">
        <v>538</v>
      </c>
      <c r="B480" s="17">
        <v>45819.0</v>
      </c>
      <c r="C480" s="16" t="s">
        <v>399</v>
      </c>
      <c r="E480" s="61">
        <v>45840.0</v>
      </c>
      <c r="F480" s="17"/>
      <c r="G480" s="61">
        <v>45842.0</v>
      </c>
      <c r="H480" s="10" t="s">
        <v>31</v>
      </c>
      <c r="J480" s="16" t="s">
        <v>43</v>
      </c>
      <c r="K480" s="23" t="s">
        <v>33</v>
      </c>
      <c r="L480" s="31">
        <v>150.0</v>
      </c>
      <c r="N480" s="16"/>
      <c r="O480" s="16"/>
      <c r="P480" s="16" t="s">
        <v>34</v>
      </c>
      <c r="Q480" s="17">
        <f t="shared" si="1"/>
        <v>45819</v>
      </c>
      <c r="R480" s="18">
        <f t="shared" ref="R480:R481" si="93">L480*0.3</f>
        <v>45</v>
      </c>
      <c r="S480" s="20"/>
      <c r="T480" s="68"/>
      <c r="U480" s="77"/>
      <c r="V480" s="68"/>
      <c r="W480" s="71"/>
      <c r="X480" s="20"/>
    </row>
    <row r="481" hidden="1">
      <c r="A481" s="16" t="s">
        <v>76</v>
      </c>
      <c r="B481" s="17">
        <v>45831.0</v>
      </c>
      <c r="C481" s="16" t="s">
        <v>403</v>
      </c>
      <c r="D481" s="16" t="s">
        <v>74</v>
      </c>
      <c r="E481" s="61">
        <v>45844.0</v>
      </c>
      <c r="F481" s="17"/>
      <c r="G481" s="17"/>
      <c r="H481" s="10" t="s">
        <v>31</v>
      </c>
      <c r="I481" s="16" t="s">
        <v>74</v>
      </c>
      <c r="J481" s="16" t="s">
        <v>43</v>
      </c>
      <c r="K481" s="23" t="s">
        <v>33</v>
      </c>
      <c r="L481" s="31">
        <v>200.0</v>
      </c>
      <c r="N481" s="16"/>
      <c r="O481" s="16"/>
      <c r="P481" s="16" t="s">
        <v>34</v>
      </c>
      <c r="Q481" s="17">
        <f t="shared" si="1"/>
        <v>45831</v>
      </c>
      <c r="R481" s="18">
        <f t="shared" si="93"/>
        <v>60</v>
      </c>
      <c r="S481" s="20"/>
      <c r="T481" s="68"/>
      <c r="U481" s="77"/>
      <c r="V481" s="68"/>
      <c r="W481" s="71"/>
      <c r="X481" s="20"/>
    </row>
    <row r="482" hidden="1">
      <c r="A482" s="16" t="s">
        <v>29</v>
      </c>
      <c r="B482" s="17">
        <v>45691.0</v>
      </c>
      <c r="C482" s="16" t="s">
        <v>485</v>
      </c>
      <c r="E482" s="64">
        <v>45848.0</v>
      </c>
      <c r="G482" s="67">
        <v>45855.0</v>
      </c>
      <c r="H482" s="10" t="s">
        <v>31</v>
      </c>
      <c r="I482" s="16" t="s">
        <v>540</v>
      </c>
      <c r="J482" s="16" t="s">
        <v>43</v>
      </c>
      <c r="K482" s="23" t="s">
        <v>33</v>
      </c>
      <c r="L482" s="31">
        <v>500.0</v>
      </c>
      <c r="N482" s="16"/>
      <c r="O482" s="16"/>
      <c r="P482" s="16" t="s">
        <v>34</v>
      </c>
      <c r="Q482" s="17">
        <f t="shared" si="1"/>
        <v>45691</v>
      </c>
      <c r="R482" s="18">
        <f>L482*0.2</f>
        <v>100</v>
      </c>
      <c r="S482" s="20"/>
      <c r="T482" s="68" t="str">
        <f>VLOOKUP(A482,'Calendar ID'!$A:$C,3,false)</f>
        <v>pauline@grapperagency.com</v>
      </c>
      <c r="U482" s="69" t="b">
        <v>1</v>
      </c>
      <c r="V482" s="70" t="s">
        <v>82</v>
      </c>
      <c r="W482" s="69" t="b">
        <v>1</v>
      </c>
      <c r="X482" s="70" t="s">
        <v>82</v>
      </c>
    </row>
    <row r="483" hidden="1">
      <c r="A483" s="16" t="s">
        <v>538</v>
      </c>
      <c r="B483" s="17">
        <v>45812.0</v>
      </c>
      <c r="C483" s="16" t="s">
        <v>48</v>
      </c>
      <c r="D483" s="16" t="s">
        <v>541</v>
      </c>
      <c r="E483" s="58">
        <v>45832.0</v>
      </c>
      <c r="F483" s="17"/>
      <c r="G483" s="58">
        <v>45833.0</v>
      </c>
      <c r="H483" s="10" t="s">
        <v>31</v>
      </c>
      <c r="I483" s="16" t="s">
        <v>542</v>
      </c>
      <c r="J483" s="16" t="s">
        <v>43</v>
      </c>
      <c r="K483" s="16" t="s">
        <v>33</v>
      </c>
      <c r="L483" s="31">
        <f t="shared" ref="L483:L485" si="94">450/4</f>
        <v>112.5</v>
      </c>
      <c r="N483" s="16"/>
      <c r="O483" s="16"/>
      <c r="P483" s="10" t="s">
        <v>34</v>
      </c>
      <c r="Q483" s="17">
        <f t="shared" si="1"/>
        <v>45812</v>
      </c>
      <c r="R483" s="18">
        <f t="shared" ref="R483:R487" si="95">L483*0.3</f>
        <v>33.75</v>
      </c>
      <c r="S483" s="20"/>
      <c r="T483" s="68" t="str">
        <f>VLOOKUP(A483,'Calendar ID'!$A:$C,3,false)</f>
        <v>#N/A</v>
      </c>
      <c r="U483" s="77"/>
      <c r="V483" s="68"/>
      <c r="W483" s="71"/>
      <c r="X483" s="20"/>
    </row>
    <row r="484" hidden="1">
      <c r="A484" s="16" t="s">
        <v>538</v>
      </c>
      <c r="B484" s="17">
        <v>45812.0</v>
      </c>
      <c r="C484" s="16" t="s">
        <v>48</v>
      </c>
      <c r="D484" s="16" t="s">
        <v>543</v>
      </c>
      <c r="E484" s="58">
        <v>45837.0</v>
      </c>
      <c r="F484" s="17"/>
      <c r="G484" s="58">
        <v>45835.0</v>
      </c>
      <c r="H484" s="10" t="s">
        <v>31</v>
      </c>
      <c r="I484" s="16" t="s">
        <v>542</v>
      </c>
      <c r="J484" s="16" t="s">
        <v>43</v>
      </c>
      <c r="K484" s="16" t="s">
        <v>33</v>
      </c>
      <c r="L484" s="31">
        <f t="shared" si="94"/>
        <v>112.5</v>
      </c>
      <c r="N484" s="16"/>
      <c r="O484" s="16"/>
      <c r="P484" s="10" t="s">
        <v>34</v>
      </c>
      <c r="Q484" s="17">
        <f t="shared" si="1"/>
        <v>45812</v>
      </c>
      <c r="R484" s="18">
        <f t="shared" si="95"/>
        <v>33.75</v>
      </c>
      <c r="S484" s="20"/>
      <c r="T484" s="68" t="str">
        <f>VLOOKUP(A484,'Calendar ID'!$A:$C,3,false)</f>
        <v>#N/A</v>
      </c>
      <c r="U484" s="77"/>
      <c r="V484" s="68"/>
      <c r="W484" s="71"/>
      <c r="X484" s="20"/>
    </row>
    <row r="485" hidden="1">
      <c r="A485" s="16" t="s">
        <v>538</v>
      </c>
      <c r="B485" s="17">
        <v>45812.0</v>
      </c>
      <c r="C485" s="16" t="s">
        <v>48</v>
      </c>
      <c r="D485" s="16" t="s">
        <v>544</v>
      </c>
      <c r="E485" s="61">
        <v>45838.0</v>
      </c>
      <c r="F485" s="17"/>
      <c r="G485" s="61">
        <v>45843.0</v>
      </c>
      <c r="H485" s="10" t="s">
        <v>31</v>
      </c>
      <c r="I485" s="16" t="s">
        <v>542</v>
      </c>
      <c r="J485" s="16" t="s">
        <v>43</v>
      </c>
      <c r="K485" s="16" t="s">
        <v>33</v>
      </c>
      <c r="L485" s="31">
        <f t="shared" si="94"/>
        <v>112.5</v>
      </c>
      <c r="N485" s="16"/>
      <c r="O485" s="16"/>
      <c r="P485" s="10" t="s">
        <v>34</v>
      </c>
      <c r="Q485" s="17">
        <f t="shared" si="1"/>
        <v>45812</v>
      </c>
      <c r="R485" s="18">
        <f t="shared" si="95"/>
        <v>33.75</v>
      </c>
      <c r="S485" s="20"/>
      <c r="T485" s="68" t="str">
        <f>VLOOKUP(A485,'Calendar ID'!$A:$C,3,false)</f>
        <v>#N/A</v>
      </c>
      <c r="U485" s="77"/>
      <c r="V485" s="68"/>
      <c r="W485" s="71"/>
      <c r="X485" s="20"/>
    </row>
    <row r="486">
      <c r="A486" s="16" t="s">
        <v>260</v>
      </c>
      <c r="B486" s="17">
        <v>45784.0</v>
      </c>
      <c r="C486" s="16" t="s">
        <v>261</v>
      </c>
      <c r="D486" s="7" t="s">
        <v>545</v>
      </c>
      <c r="E486" s="58">
        <v>45832.0</v>
      </c>
      <c r="F486" s="17"/>
      <c r="G486" s="64">
        <v>45486.0</v>
      </c>
      <c r="H486" s="10" t="s">
        <v>210</v>
      </c>
      <c r="I486" s="16" t="s">
        <v>262</v>
      </c>
      <c r="J486" s="7" t="s">
        <v>43</v>
      </c>
      <c r="K486" s="7" t="s">
        <v>33</v>
      </c>
      <c r="L486" s="31">
        <v>300.0</v>
      </c>
      <c r="N486" s="65" t="s">
        <v>546</v>
      </c>
      <c r="O486" s="16"/>
      <c r="P486" s="23" t="s">
        <v>34</v>
      </c>
      <c r="Q486" s="17">
        <f t="shared" si="1"/>
        <v>45784</v>
      </c>
      <c r="R486" s="18">
        <f t="shared" si="95"/>
        <v>90</v>
      </c>
      <c r="S486" s="20"/>
      <c r="T486" s="68" t="str">
        <f>VLOOKUP(A486,'Calendar ID'!$A:$C,3,false)</f>
        <v>asmae-nemar@hotmail.fr </v>
      </c>
      <c r="U486" s="71" t="b">
        <v>0</v>
      </c>
      <c r="V486" s="68" t="str">
        <f>VLOOKUP($A486,'Calendar ID'!$A:$C,2,false)</f>
        <v>c_35f3aada7c9c0ba626ac56e6cf10c5959c56663450ffd058a5bdc005508d0954@group.calendar.google.com</v>
      </c>
      <c r="W486" s="71" t="b">
        <v>0</v>
      </c>
      <c r="X486" s="68" t="str">
        <f>VLOOKUP($A486,'Calendar ID'!$A:$C,2,false)</f>
        <v>c_35f3aada7c9c0ba626ac56e6cf10c5959c56663450ffd058a5bdc005508d0954@group.calendar.google.com</v>
      </c>
    </row>
    <row r="487" hidden="1">
      <c r="A487" s="16" t="s">
        <v>237</v>
      </c>
      <c r="B487" s="17">
        <v>45790.0</v>
      </c>
      <c r="C487" s="16" t="s">
        <v>48</v>
      </c>
      <c r="D487" s="16" t="s">
        <v>547</v>
      </c>
      <c r="E487" s="61">
        <v>45842.0</v>
      </c>
      <c r="F487" s="17"/>
      <c r="G487" s="64">
        <v>45846.0</v>
      </c>
      <c r="H487" s="10" t="s">
        <v>31</v>
      </c>
      <c r="J487" s="7" t="s">
        <v>43</v>
      </c>
      <c r="K487" s="7" t="s">
        <v>33</v>
      </c>
      <c r="L487" s="31">
        <f>500/4</f>
        <v>125</v>
      </c>
      <c r="N487" s="65" t="s">
        <v>548</v>
      </c>
      <c r="O487" s="16"/>
      <c r="P487" s="23" t="s">
        <v>34</v>
      </c>
      <c r="Q487" s="17">
        <f t="shared" si="1"/>
        <v>45790</v>
      </c>
      <c r="R487" s="18">
        <f t="shared" si="95"/>
        <v>37.5</v>
      </c>
      <c r="S487" s="20"/>
      <c r="T487" s="68" t="str">
        <f>VLOOKUP(A487,'Calendar ID'!$A:$C,3,false)</f>
        <v>shaaadl.pro@gmail.com</v>
      </c>
      <c r="U487" s="71" t="b">
        <v>0</v>
      </c>
      <c r="V487" s="68" t="str">
        <f>VLOOKUP($A487,'Calendar ID'!$A:$C,2,false)</f>
        <v>c_9384058245a0bc66157c09691047ea8f88622323c6761b8606c18d9b08ee0bf8@group.calendar.google.com</v>
      </c>
      <c r="W487" s="71" t="b">
        <v>0</v>
      </c>
      <c r="X487" s="68" t="str">
        <f>VLOOKUP($A487,'Calendar ID'!$A:$C,2,false)</f>
        <v>c_9384058245a0bc66157c09691047ea8f88622323c6761b8606c18d9b08ee0bf8@group.calendar.google.com</v>
      </c>
    </row>
    <row r="488">
      <c r="A488" s="16" t="s">
        <v>29</v>
      </c>
      <c r="B488" s="17">
        <v>45831.0</v>
      </c>
      <c r="C488" s="16" t="s">
        <v>403</v>
      </c>
      <c r="D488" s="16" t="s">
        <v>74</v>
      </c>
      <c r="E488" s="61">
        <v>45840.0</v>
      </c>
      <c r="F488" s="17"/>
      <c r="G488" s="17"/>
      <c r="H488" s="10" t="s">
        <v>549</v>
      </c>
      <c r="J488" s="16" t="s">
        <v>43</v>
      </c>
      <c r="K488" s="23" t="s">
        <v>33</v>
      </c>
      <c r="L488" s="31">
        <v>200.0</v>
      </c>
      <c r="N488" s="16"/>
      <c r="O488" s="16"/>
      <c r="P488" s="16" t="s">
        <v>34</v>
      </c>
      <c r="Q488" s="17">
        <f t="shared" si="1"/>
        <v>45831</v>
      </c>
      <c r="R488" s="18">
        <f>L488*0.2</f>
        <v>40</v>
      </c>
      <c r="S488" s="20"/>
      <c r="T488" s="68"/>
      <c r="U488" s="77"/>
      <c r="V488" s="68"/>
      <c r="W488" s="71"/>
      <c r="X488" s="20"/>
    </row>
    <row r="489">
      <c r="A489" s="128" t="s">
        <v>213</v>
      </c>
      <c r="B489" s="17">
        <v>45799.0</v>
      </c>
      <c r="C489" s="16" t="s">
        <v>209</v>
      </c>
      <c r="E489" s="64">
        <v>45845.0</v>
      </c>
      <c r="F489" s="17"/>
      <c r="G489" s="64">
        <v>45846.0</v>
      </c>
      <c r="H489" s="10" t="s">
        <v>210</v>
      </c>
      <c r="J489" s="16" t="s">
        <v>43</v>
      </c>
      <c r="K489" s="16" t="s">
        <v>33</v>
      </c>
      <c r="L489" s="31">
        <f>1100/2</f>
        <v>550</v>
      </c>
      <c r="N489" s="16"/>
      <c r="O489" s="16"/>
      <c r="P489" s="10" t="s">
        <v>34</v>
      </c>
      <c r="Q489" s="17">
        <f t="shared" si="1"/>
        <v>45799</v>
      </c>
      <c r="R489" s="18">
        <f t="shared" ref="R489:R496" si="96">L489*0.3</f>
        <v>165</v>
      </c>
      <c r="S489" s="20"/>
      <c r="T489" s="68" t="str">
        <f>VLOOKUP(A489,'Calendar ID'!$A:$C,3,false)</f>
        <v>anaiswry@yahoo.fr</v>
      </c>
      <c r="U489" s="71" t="b">
        <v>0</v>
      </c>
      <c r="V489" s="68" t="str">
        <f>VLOOKUP($A489,'Calendar ID'!$A:$C,2,false)</f>
        <v>c_2754856c5047affc6767bb85fb787591389bf7d14d3afd368efdff9979492ab5@group.calendar.google.com</v>
      </c>
      <c r="W489" s="71" t="b">
        <v>0</v>
      </c>
      <c r="X489" s="68" t="str">
        <f>VLOOKUP($A489,'Calendar ID'!$A:$C,2,false)</f>
        <v>c_2754856c5047affc6767bb85fb787591389bf7d14d3afd368efdff9979492ab5@group.calendar.google.com</v>
      </c>
    </row>
    <row r="490" hidden="1">
      <c r="A490" s="16" t="s">
        <v>76</v>
      </c>
      <c r="B490" s="17">
        <v>45826.0</v>
      </c>
      <c r="C490" s="16" t="s">
        <v>550</v>
      </c>
      <c r="E490" s="61">
        <v>45842.0</v>
      </c>
      <c r="F490" s="17"/>
      <c r="G490" s="17"/>
      <c r="H490" s="10" t="s">
        <v>31</v>
      </c>
      <c r="J490" s="16" t="s">
        <v>43</v>
      </c>
      <c r="K490" s="23" t="s">
        <v>33</v>
      </c>
      <c r="L490" s="31">
        <v>1500.0</v>
      </c>
      <c r="N490" s="16"/>
      <c r="O490" s="16"/>
      <c r="P490" s="16" t="s">
        <v>34</v>
      </c>
      <c r="Q490" s="17">
        <f t="shared" si="1"/>
        <v>45826</v>
      </c>
      <c r="R490" s="18">
        <f t="shared" si="96"/>
        <v>450</v>
      </c>
      <c r="S490" s="20"/>
      <c r="T490" s="68"/>
      <c r="U490" s="77"/>
      <c r="V490" s="68"/>
      <c r="W490" s="71"/>
      <c r="X490" s="20"/>
    </row>
    <row r="491" hidden="1">
      <c r="A491" s="16" t="s">
        <v>453</v>
      </c>
      <c r="B491" s="17">
        <v>45818.0</v>
      </c>
      <c r="C491" s="16" t="s">
        <v>48</v>
      </c>
      <c r="D491" s="16" t="s">
        <v>551</v>
      </c>
      <c r="E491" s="64">
        <v>45847.0</v>
      </c>
      <c r="F491" s="17"/>
      <c r="G491" s="64">
        <v>45848.0</v>
      </c>
      <c r="H491" s="10" t="s">
        <v>31</v>
      </c>
      <c r="J491" s="16" t="s">
        <v>43</v>
      </c>
      <c r="K491" s="23" t="s">
        <v>33</v>
      </c>
      <c r="L491" s="31">
        <f>500/4</f>
        <v>125</v>
      </c>
      <c r="N491" s="65" t="s">
        <v>552</v>
      </c>
      <c r="O491" s="16"/>
      <c r="P491" s="16" t="s">
        <v>34</v>
      </c>
      <c r="Q491" s="17">
        <f t="shared" si="1"/>
        <v>45818</v>
      </c>
      <c r="R491" s="18">
        <f t="shared" si="96"/>
        <v>37.5</v>
      </c>
      <c r="S491" s="20"/>
      <c r="T491" s="68"/>
      <c r="U491" s="77"/>
      <c r="V491" s="68"/>
      <c r="W491" s="71"/>
      <c r="X491" s="20"/>
    </row>
    <row r="492" hidden="1">
      <c r="A492" s="16" t="s">
        <v>538</v>
      </c>
      <c r="B492" s="17">
        <v>45824.0</v>
      </c>
      <c r="C492" s="16" t="s">
        <v>553</v>
      </c>
      <c r="E492" s="61">
        <v>45844.0</v>
      </c>
      <c r="F492" s="61">
        <v>45839.0</v>
      </c>
      <c r="G492" s="64">
        <v>45848.0</v>
      </c>
      <c r="H492" s="10" t="s">
        <v>31</v>
      </c>
      <c r="J492" s="16" t="s">
        <v>43</v>
      </c>
      <c r="K492" s="23" t="s">
        <v>33</v>
      </c>
      <c r="L492" s="31">
        <v>150.0</v>
      </c>
      <c r="N492" s="65" t="s">
        <v>554</v>
      </c>
      <c r="O492" s="16"/>
      <c r="P492" s="16" t="s">
        <v>34</v>
      </c>
      <c r="Q492" s="17">
        <f t="shared" si="1"/>
        <v>45824</v>
      </c>
      <c r="R492" s="18">
        <f t="shared" si="96"/>
        <v>45</v>
      </c>
      <c r="S492" s="20"/>
      <c r="T492" s="68"/>
      <c r="U492" s="77"/>
      <c r="V492" s="68"/>
      <c r="W492" s="71"/>
      <c r="X492" s="20"/>
    </row>
    <row r="493" hidden="1">
      <c r="A493" s="16" t="s">
        <v>538</v>
      </c>
      <c r="B493" s="17">
        <v>45830.0</v>
      </c>
      <c r="C493" s="16" t="s">
        <v>222</v>
      </c>
      <c r="E493" s="67">
        <v>45852.0</v>
      </c>
      <c r="F493" s="17"/>
      <c r="G493" s="67">
        <v>45855.0</v>
      </c>
      <c r="H493" s="10" t="s">
        <v>31</v>
      </c>
      <c r="J493" s="16" t="s">
        <v>43</v>
      </c>
      <c r="K493" s="23" t="s">
        <v>33</v>
      </c>
      <c r="L493" s="31">
        <v>400.0</v>
      </c>
      <c r="N493" s="16"/>
      <c r="O493" s="16"/>
      <c r="P493" s="16" t="s">
        <v>34</v>
      </c>
      <c r="Q493" s="17">
        <f t="shared" si="1"/>
        <v>45830</v>
      </c>
      <c r="R493" s="18">
        <f t="shared" si="96"/>
        <v>120</v>
      </c>
      <c r="S493" s="20"/>
      <c r="T493" s="68"/>
      <c r="U493" s="77"/>
      <c r="V493" s="68"/>
      <c r="W493" s="71"/>
      <c r="X493" s="20"/>
    </row>
    <row r="494">
      <c r="A494" s="23" t="s">
        <v>91</v>
      </c>
      <c r="B494" s="11">
        <v>45804.0</v>
      </c>
      <c r="C494" s="23" t="s">
        <v>261</v>
      </c>
      <c r="D494" s="149" t="s">
        <v>555</v>
      </c>
      <c r="E494" s="150">
        <v>45845.0</v>
      </c>
      <c r="F494" s="26"/>
      <c r="G494" s="151">
        <v>45852.0</v>
      </c>
      <c r="H494" s="10" t="s">
        <v>210</v>
      </c>
      <c r="I494" s="7"/>
      <c r="J494" s="23" t="s">
        <v>43</v>
      </c>
      <c r="K494" s="23" t="s">
        <v>33</v>
      </c>
      <c r="L494" s="15">
        <f t="shared" ref="L494:L495" si="97">2174/10</f>
        <v>217.4</v>
      </c>
      <c r="M494" s="7"/>
      <c r="N494" s="152" t="s">
        <v>556</v>
      </c>
      <c r="O494" s="23"/>
      <c r="P494" s="23" t="s">
        <v>34</v>
      </c>
      <c r="Q494" s="11">
        <f t="shared" si="1"/>
        <v>45804</v>
      </c>
      <c r="R494" s="15">
        <f t="shared" si="96"/>
        <v>65.22</v>
      </c>
      <c r="S494" s="68"/>
      <c r="T494" s="68" t="str">
        <f>VLOOKUP(A494,'Calendar ID'!$A:$C,3,false)</f>
        <v>juliane.bernard57@icloud.com</v>
      </c>
      <c r="U494" s="71" t="b">
        <v>0</v>
      </c>
      <c r="V494" s="68" t="str">
        <f>VLOOKUP($A494,'Calendar ID'!$A:$C,2,false)</f>
        <v>c_f6970d92e9be72b1307e3c015a265d69ae87140c691e7728bc83462544d82455@group.calendar.google.com</v>
      </c>
      <c r="W494" s="71" t="b">
        <v>0</v>
      </c>
      <c r="X494" s="68" t="str">
        <f>VLOOKUP($A494,'Calendar ID'!$A:$C,2,false)</f>
        <v>c_f6970d92e9be72b1307e3c015a265d69ae87140c691e7728bc83462544d82455@group.calendar.google.com</v>
      </c>
      <c r="Y494" s="7"/>
      <c r="Z494" s="7"/>
      <c r="AA494" s="7"/>
      <c r="AB494" s="7"/>
      <c r="AC494" s="7"/>
    </row>
    <row r="495">
      <c r="A495" s="23" t="s">
        <v>91</v>
      </c>
      <c r="B495" s="11">
        <v>45804.0</v>
      </c>
      <c r="C495" s="23" t="s">
        <v>261</v>
      </c>
      <c r="D495" s="149" t="s">
        <v>557</v>
      </c>
      <c r="E495" s="150">
        <v>45845.0</v>
      </c>
      <c r="F495" s="26"/>
      <c r="G495" s="151">
        <v>45856.0</v>
      </c>
      <c r="H495" s="10" t="s">
        <v>210</v>
      </c>
      <c r="I495" s="7"/>
      <c r="J495" s="23" t="s">
        <v>43</v>
      </c>
      <c r="K495" s="23" t="s">
        <v>33</v>
      </c>
      <c r="L495" s="15">
        <f t="shared" si="97"/>
        <v>217.4</v>
      </c>
      <c r="M495" s="7"/>
      <c r="N495" s="23"/>
      <c r="O495" s="23"/>
      <c r="P495" s="23" t="s">
        <v>34</v>
      </c>
      <c r="Q495" s="11">
        <f t="shared" si="1"/>
        <v>45804</v>
      </c>
      <c r="R495" s="15">
        <f t="shared" si="96"/>
        <v>65.22</v>
      </c>
      <c r="S495" s="68"/>
      <c r="T495" s="68" t="str">
        <f>VLOOKUP(A495,'Calendar ID'!$A:$C,3,false)</f>
        <v>juliane.bernard57@icloud.com</v>
      </c>
      <c r="U495" s="71" t="b">
        <v>0</v>
      </c>
      <c r="V495" s="68" t="str">
        <f>VLOOKUP($A495,'Calendar ID'!$A:$C,2,false)</f>
        <v>c_f6970d92e9be72b1307e3c015a265d69ae87140c691e7728bc83462544d82455@group.calendar.google.com</v>
      </c>
      <c r="W495" s="71" t="b">
        <v>0</v>
      </c>
      <c r="X495" s="68" t="str">
        <f>VLOOKUP($A495,'Calendar ID'!$A:$C,2,false)</f>
        <v>c_f6970d92e9be72b1307e3c015a265d69ae87140c691e7728bc83462544d82455@group.calendar.google.com</v>
      </c>
      <c r="Y495" s="7"/>
      <c r="Z495" s="7"/>
      <c r="AA495" s="7"/>
      <c r="AB495" s="7"/>
      <c r="AC495" s="7"/>
    </row>
    <row r="496" hidden="1">
      <c r="A496" s="16" t="s">
        <v>453</v>
      </c>
      <c r="B496" s="17">
        <v>45818.0</v>
      </c>
      <c r="C496" s="16" t="s">
        <v>48</v>
      </c>
      <c r="D496" s="16" t="s">
        <v>238</v>
      </c>
      <c r="E496" s="64">
        <v>45849.0</v>
      </c>
      <c r="F496" s="17"/>
      <c r="G496" s="67">
        <v>45857.0</v>
      </c>
      <c r="H496" s="10" t="s">
        <v>31</v>
      </c>
      <c r="J496" s="16" t="s">
        <v>43</v>
      </c>
      <c r="K496" s="23" t="s">
        <v>33</v>
      </c>
      <c r="L496" s="31">
        <f>500/4</f>
        <v>125</v>
      </c>
      <c r="N496" s="16"/>
      <c r="O496" s="16"/>
      <c r="P496" s="16" t="s">
        <v>34</v>
      </c>
      <c r="Q496" s="17">
        <f t="shared" si="1"/>
        <v>45818</v>
      </c>
      <c r="R496" s="18">
        <f t="shared" si="96"/>
        <v>37.5</v>
      </c>
      <c r="S496" s="20"/>
      <c r="T496" s="68"/>
      <c r="U496" s="77"/>
      <c r="V496" s="68"/>
      <c r="W496" s="71"/>
      <c r="X496" s="20"/>
    </row>
    <row r="497" hidden="1">
      <c r="A497" s="16" t="s">
        <v>29</v>
      </c>
      <c r="B497" s="17">
        <v>45784.0</v>
      </c>
      <c r="C497" s="16" t="s">
        <v>558</v>
      </c>
      <c r="D497" s="153"/>
      <c r="E497" s="64">
        <v>45851.0</v>
      </c>
      <c r="F497" s="17"/>
      <c r="G497" s="67">
        <v>45857.0</v>
      </c>
      <c r="H497" s="10" t="s">
        <v>31</v>
      </c>
      <c r="I497" s="16" t="s">
        <v>559</v>
      </c>
      <c r="J497" s="7" t="s">
        <v>43</v>
      </c>
      <c r="K497" s="7" t="s">
        <v>33</v>
      </c>
      <c r="L497" s="31">
        <v>200.0</v>
      </c>
      <c r="N497" s="16"/>
      <c r="O497" s="16"/>
      <c r="P497" s="23" t="s">
        <v>34</v>
      </c>
      <c r="Q497" s="17">
        <f t="shared" si="1"/>
        <v>45784</v>
      </c>
      <c r="R497" s="18">
        <f>L497*0.2</f>
        <v>40</v>
      </c>
      <c r="S497" s="20"/>
      <c r="T497" s="68" t="str">
        <f>VLOOKUP(A497,'Calendar ID'!$A:$C,3,false)</f>
        <v>pauline@grapperagency.com</v>
      </c>
      <c r="U497" s="71" t="b">
        <v>0</v>
      </c>
      <c r="V497" s="68" t="str">
        <f>VLOOKUP($A497,'Calendar ID'!$A:$C,2,false)</f>
        <v>c_a715193c206b2aa1e4b81b8a3772df33bf92c92611202a890a6bccecb2131fcb@group.calendar.google.com</v>
      </c>
      <c r="W497" s="71" t="b">
        <v>0</v>
      </c>
      <c r="X497" s="68" t="str">
        <f>VLOOKUP($A497,'Calendar ID'!$A:$C,2,false)</f>
        <v>c_a715193c206b2aa1e4b81b8a3772df33bf92c92611202a890a6bccecb2131fcb@group.calendar.google.com</v>
      </c>
    </row>
    <row r="498" hidden="1">
      <c r="A498" s="16" t="s">
        <v>538</v>
      </c>
      <c r="B498" s="17">
        <v>45819.0</v>
      </c>
      <c r="C498" s="16" t="s">
        <v>304</v>
      </c>
      <c r="E498" s="64">
        <v>45849.0</v>
      </c>
      <c r="F498" s="17"/>
      <c r="G498" s="67">
        <v>45852.0</v>
      </c>
      <c r="H498" s="10" t="s">
        <v>31</v>
      </c>
      <c r="J498" s="16" t="s">
        <v>43</v>
      </c>
      <c r="K498" s="23" t="s">
        <v>33</v>
      </c>
      <c r="L498" s="31">
        <v>2500.0</v>
      </c>
      <c r="N498" s="16"/>
      <c r="O498" s="16"/>
      <c r="P498" s="16" t="s">
        <v>34</v>
      </c>
      <c r="Q498" s="17">
        <f t="shared" si="1"/>
        <v>45819</v>
      </c>
      <c r="R498" s="18">
        <f t="shared" ref="R498:R499" si="98">L498*0.3</f>
        <v>750</v>
      </c>
      <c r="S498" s="20"/>
      <c r="T498" s="68"/>
      <c r="U498" s="77"/>
      <c r="V498" s="68"/>
      <c r="W498" s="71"/>
      <c r="X498" s="20"/>
    </row>
    <row r="499" hidden="1">
      <c r="A499" s="16" t="s">
        <v>290</v>
      </c>
      <c r="B499" s="17">
        <v>45790.0</v>
      </c>
      <c r="C499" s="16" t="s">
        <v>211</v>
      </c>
      <c r="E499" s="64">
        <v>45849.0</v>
      </c>
      <c r="F499" s="17"/>
      <c r="G499" s="67">
        <v>45856.0</v>
      </c>
      <c r="H499" s="10" t="s">
        <v>31</v>
      </c>
      <c r="I499" s="16" t="s">
        <v>560</v>
      </c>
      <c r="J499" s="7" t="s">
        <v>43</v>
      </c>
      <c r="K499" s="7" t="s">
        <v>33</v>
      </c>
      <c r="L499" s="31">
        <v>600.0</v>
      </c>
      <c r="N499" s="65" t="s">
        <v>561</v>
      </c>
      <c r="O499" s="16"/>
      <c r="P499" s="23" t="s">
        <v>34</v>
      </c>
      <c r="Q499" s="17">
        <f t="shared" si="1"/>
        <v>45790</v>
      </c>
      <c r="R499" s="18">
        <f t="shared" si="98"/>
        <v>180</v>
      </c>
      <c r="S499" s="20"/>
      <c r="T499" s="68"/>
      <c r="U499" s="77"/>
      <c r="V499" s="68"/>
      <c r="W499" s="71"/>
      <c r="X499" s="20"/>
    </row>
    <row r="500" hidden="1">
      <c r="A500" s="16" t="s">
        <v>538</v>
      </c>
      <c r="B500" s="17">
        <v>45854.0</v>
      </c>
      <c r="C500" s="16" t="s">
        <v>304</v>
      </c>
      <c r="E500" s="67">
        <v>45855.0</v>
      </c>
      <c r="F500" s="17"/>
      <c r="G500" s="67">
        <v>45857.0</v>
      </c>
      <c r="H500" s="10" t="s">
        <v>31</v>
      </c>
      <c r="J500" s="16" t="s">
        <v>43</v>
      </c>
      <c r="K500" s="23" t="s">
        <v>33</v>
      </c>
      <c r="L500" s="31">
        <v>2000.0</v>
      </c>
      <c r="N500" s="16"/>
      <c r="O500" s="16"/>
      <c r="P500" s="16" t="s">
        <v>34</v>
      </c>
      <c r="Q500" s="17">
        <f t="shared" si="1"/>
        <v>45854</v>
      </c>
      <c r="R500" s="18">
        <f>L500*0.25</f>
        <v>500</v>
      </c>
      <c r="S500" s="20"/>
      <c r="T500" s="68" t="str">
        <f>VLOOKUP(A500,'Calendar ID'!$A:$C,3,false)</f>
        <v>#N/A</v>
      </c>
      <c r="U500" s="77" t="b">
        <v>0</v>
      </c>
      <c r="V500" s="68" t="str">
        <f>VLOOKUP($A500,'Calendar ID'!$A:$C,2,false)</f>
        <v>#N/A</v>
      </c>
      <c r="W500" s="77" t="b">
        <v>0</v>
      </c>
      <c r="X500" s="68" t="str">
        <f>VLOOKUP($A500,'Calendar ID'!$A:$C,2,false)</f>
        <v>#N/A</v>
      </c>
    </row>
    <row r="501" hidden="1">
      <c r="A501" s="16" t="s">
        <v>29</v>
      </c>
      <c r="B501" s="17">
        <v>45813.0</v>
      </c>
      <c r="C501" s="16" t="s">
        <v>403</v>
      </c>
      <c r="E501" s="61">
        <v>45842.0</v>
      </c>
      <c r="F501" s="17"/>
      <c r="G501" s="67">
        <v>45858.0</v>
      </c>
      <c r="H501" s="10" t="s">
        <v>31</v>
      </c>
      <c r="I501" s="16" t="s">
        <v>281</v>
      </c>
      <c r="J501" s="16" t="s">
        <v>43</v>
      </c>
      <c r="K501" s="16" t="s">
        <v>33</v>
      </c>
      <c r="L501" s="31">
        <v>200.0</v>
      </c>
      <c r="N501" s="65" t="s">
        <v>562</v>
      </c>
      <c r="O501" s="16"/>
      <c r="P501" s="10" t="s">
        <v>34</v>
      </c>
      <c r="Q501" s="17">
        <f t="shared" si="1"/>
        <v>45813</v>
      </c>
      <c r="R501" s="18">
        <f>L501*0.2</f>
        <v>40</v>
      </c>
      <c r="S501" s="20"/>
      <c r="T501" s="68" t="str">
        <f>VLOOKUP(A501,'Calendar ID'!$A:$C,3,false)</f>
        <v>pauline@grapperagency.com</v>
      </c>
      <c r="U501" s="71" t="b">
        <v>0</v>
      </c>
      <c r="V501" s="68" t="str">
        <f>VLOOKUP($A501,'Calendar ID'!$A:$C,2,false)</f>
        <v>c_a715193c206b2aa1e4b81b8a3772df33bf92c92611202a890a6bccecb2131fcb@group.calendar.google.com</v>
      </c>
      <c r="W501" s="71" t="b">
        <v>0</v>
      </c>
      <c r="X501" s="68" t="str">
        <f>VLOOKUP($A501,'Calendar ID'!$A:$C,2,false)</f>
        <v>c_a715193c206b2aa1e4b81b8a3772df33bf92c92611202a890a6bccecb2131fcb@group.calendar.google.com</v>
      </c>
    </row>
    <row r="502" hidden="1">
      <c r="A502" s="16" t="s">
        <v>91</v>
      </c>
      <c r="B502" s="17">
        <v>45703.0</v>
      </c>
      <c r="C502" s="16" t="s">
        <v>245</v>
      </c>
      <c r="D502" s="16" t="s">
        <v>454</v>
      </c>
      <c r="E502" s="154">
        <v>45849.0</v>
      </c>
      <c r="F502" s="17"/>
      <c r="G502" s="155">
        <v>45860.0</v>
      </c>
      <c r="H502" s="10" t="s">
        <v>31</v>
      </c>
      <c r="J502" s="16" t="s">
        <v>43</v>
      </c>
      <c r="K502" s="16" t="s">
        <v>33</v>
      </c>
      <c r="L502" s="31">
        <f>1050/3</f>
        <v>350</v>
      </c>
      <c r="N502" s="65" t="s">
        <v>563</v>
      </c>
      <c r="O502" s="16"/>
      <c r="P502" s="23" t="s">
        <v>34</v>
      </c>
      <c r="Q502" s="17">
        <f t="shared" si="1"/>
        <v>45703</v>
      </c>
      <c r="R502" s="18">
        <f t="shared" ref="R502:R531" si="99">L502*0.3</f>
        <v>105</v>
      </c>
      <c r="S502" s="20"/>
      <c r="T502" s="68" t="str">
        <f>VLOOKUP(A502,'Calendar ID'!$A:$C,3,false)</f>
        <v>juliane.bernard57@icloud.com</v>
      </c>
      <c r="U502" s="69" t="b">
        <v>1</v>
      </c>
      <c r="V502" s="70" t="s">
        <v>82</v>
      </c>
      <c r="W502" s="69" t="b">
        <v>1</v>
      </c>
      <c r="X502" s="70" t="s">
        <v>82</v>
      </c>
    </row>
    <row r="503">
      <c r="A503" s="16" t="s">
        <v>208</v>
      </c>
      <c r="B503" s="17">
        <v>45797.0</v>
      </c>
      <c r="C503" s="16" t="s">
        <v>209</v>
      </c>
      <c r="E503" s="64">
        <v>45846.0</v>
      </c>
      <c r="F503" s="17"/>
      <c r="G503" s="64">
        <v>45851.0</v>
      </c>
      <c r="H503" s="10" t="s">
        <v>210</v>
      </c>
      <c r="J503" s="16" t="s">
        <v>43</v>
      </c>
      <c r="K503" s="16" t="s">
        <v>33</v>
      </c>
      <c r="L503" s="31">
        <f>700/3</f>
        <v>233.3333333</v>
      </c>
      <c r="N503" s="65" t="s">
        <v>564</v>
      </c>
      <c r="O503" s="16"/>
      <c r="P503" s="10" t="s">
        <v>34</v>
      </c>
      <c r="Q503" s="17">
        <f t="shared" si="1"/>
        <v>45797</v>
      </c>
      <c r="R503" s="18">
        <f t="shared" si="99"/>
        <v>70</v>
      </c>
      <c r="S503" s="20"/>
      <c r="T503" s="68" t="str">
        <f>VLOOKUP(A503,'Calendar ID'!$A:$C,3,false)</f>
        <v>#N/A</v>
      </c>
      <c r="U503" s="71" t="b">
        <v>0</v>
      </c>
      <c r="V503" s="68" t="str">
        <f>VLOOKUP($A503,'Calendar ID'!$A:$C,2,false)</f>
        <v>#N/A</v>
      </c>
      <c r="W503" s="71" t="b">
        <v>0</v>
      </c>
      <c r="X503" s="68" t="str">
        <f>VLOOKUP($A503,'Calendar ID'!$A:$C,2,false)</f>
        <v>#N/A</v>
      </c>
    </row>
    <row r="504">
      <c r="A504" s="16" t="s">
        <v>260</v>
      </c>
      <c r="B504" s="17">
        <v>45784.0</v>
      </c>
      <c r="C504" s="16" t="s">
        <v>261</v>
      </c>
      <c r="D504" s="7" t="s">
        <v>565</v>
      </c>
      <c r="E504" s="64">
        <v>45846.0</v>
      </c>
      <c r="F504" s="17"/>
      <c r="G504" s="66">
        <v>45865.0</v>
      </c>
      <c r="H504" s="10" t="s">
        <v>566</v>
      </c>
      <c r="I504" s="16" t="s">
        <v>262</v>
      </c>
      <c r="J504" s="7" t="s">
        <v>43</v>
      </c>
      <c r="K504" s="7" t="s">
        <v>33</v>
      </c>
      <c r="L504" s="31">
        <v>300.0</v>
      </c>
      <c r="N504" s="16"/>
      <c r="O504" s="16"/>
      <c r="P504" s="23" t="s">
        <v>34</v>
      </c>
      <c r="Q504" s="17">
        <f t="shared" si="1"/>
        <v>45784</v>
      </c>
      <c r="R504" s="18">
        <f t="shared" si="99"/>
        <v>90</v>
      </c>
      <c r="S504" s="20"/>
      <c r="T504" s="68" t="str">
        <f>VLOOKUP(A504,'Calendar ID'!$A:$C,3,false)</f>
        <v>asmae-nemar@hotmail.fr </v>
      </c>
      <c r="U504" s="71" t="b">
        <v>0</v>
      </c>
      <c r="V504" s="68" t="str">
        <f>VLOOKUP($A504,'Calendar ID'!$A:$C,2,false)</f>
        <v>c_35f3aada7c9c0ba626ac56e6cf10c5959c56663450ffd058a5bdc005508d0954@group.calendar.google.com</v>
      </c>
      <c r="W504" s="71" t="b">
        <v>0</v>
      </c>
      <c r="X504" s="68" t="str">
        <f>VLOOKUP($A504,'Calendar ID'!$A:$C,2,false)</f>
        <v>c_35f3aada7c9c0ba626ac56e6cf10c5959c56663450ffd058a5bdc005508d0954@group.calendar.google.com</v>
      </c>
    </row>
    <row r="505" hidden="1">
      <c r="A505" s="16" t="s">
        <v>453</v>
      </c>
      <c r="B505" s="17">
        <v>45818.0</v>
      </c>
      <c r="C505" s="16" t="s">
        <v>48</v>
      </c>
      <c r="D505" s="16" t="s">
        <v>547</v>
      </c>
      <c r="E505" s="67">
        <v>45853.0</v>
      </c>
      <c r="F505" s="17"/>
      <c r="G505" s="66">
        <v>45861.0</v>
      </c>
      <c r="H505" s="10" t="s">
        <v>31</v>
      </c>
      <c r="J505" s="16" t="s">
        <v>43</v>
      </c>
      <c r="K505" s="23" t="s">
        <v>33</v>
      </c>
      <c r="L505" s="31">
        <f>500/4</f>
        <v>125</v>
      </c>
      <c r="N505" s="16"/>
      <c r="O505" s="16"/>
      <c r="P505" s="16" t="s">
        <v>34</v>
      </c>
      <c r="Q505" s="17">
        <f t="shared" si="1"/>
        <v>45818</v>
      </c>
      <c r="R505" s="18">
        <f t="shared" si="99"/>
        <v>37.5</v>
      </c>
      <c r="S505" s="20"/>
      <c r="T505" s="68"/>
      <c r="U505" s="77"/>
      <c r="V505" s="68"/>
      <c r="W505" s="71"/>
      <c r="X505" s="20"/>
    </row>
    <row r="506">
      <c r="A506" s="16" t="s">
        <v>91</v>
      </c>
      <c r="B506" s="17">
        <v>45831.0</v>
      </c>
      <c r="C506" s="16" t="s">
        <v>403</v>
      </c>
      <c r="D506" s="16" t="s">
        <v>74</v>
      </c>
      <c r="E506" s="64">
        <v>45846.0</v>
      </c>
      <c r="F506" s="17"/>
      <c r="G506" s="17"/>
      <c r="H506" s="10" t="s">
        <v>567</v>
      </c>
      <c r="J506" s="16" t="s">
        <v>43</v>
      </c>
      <c r="K506" s="23" t="s">
        <v>33</v>
      </c>
      <c r="L506" s="31">
        <v>200.0</v>
      </c>
      <c r="N506" s="16"/>
      <c r="O506" s="16"/>
      <c r="P506" s="16" t="s">
        <v>34</v>
      </c>
      <c r="Q506" s="17">
        <f t="shared" si="1"/>
        <v>45831</v>
      </c>
      <c r="R506" s="18">
        <f t="shared" si="99"/>
        <v>60</v>
      </c>
      <c r="S506" s="20"/>
      <c r="T506" s="68"/>
      <c r="U506" s="77"/>
      <c r="V506" s="68"/>
      <c r="W506" s="71"/>
      <c r="X506" s="20"/>
    </row>
    <row r="507" hidden="1">
      <c r="A507" s="16" t="s">
        <v>89</v>
      </c>
      <c r="B507" s="17">
        <v>45727.0</v>
      </c>
      <c r="C507" s="16" t="s">
        <v>37</v>
      </c>
      <c r="E507" s="66">
        <v>45861.0</v>
      </c>
      <c r="G507" s="66">
        <v>45863.0</v>
      </c>
      <c r="H507" s="10" t="s">
        <v>31</v>
      </c>
      <c r="I507" s="16" t="s">
        <v>447</v>
      </c>
      <c r="J507" s="16" t="s">
        <v>43</v>
      </c>
      <c r="K507" s="16" t="s">
        <v>33</v>
      </c>
      <c r="L507" s="31">
        <v>250.0</v>
      </c>
      <c r="N507" s="16"/>
      <c r="O507" s="16"/>
      <c r="P507" s="23" t="s">
        <v>34</v>
      </c>
      <c r="Q507" s="17">
        <f t="shared" si="1"/>
        <v>45727</v>
      </c>
      <c r="R507" s="18">
        <f t="shared" si="99"/>
        <v>75</v>
      </c>
      <c r="S507" s="20"/>
      <c r="T507" s="68" t="str">
        <f>VLOOKUP(A507,'Calendar ID'!$A:$C,3,false)</f>
        <v>lola140204@gmail.com</v>
      </c>
      <c r="U507" s="71" t="b">
        <v>0</v>
      </c>
      <c r="V507" s="68" t="str">
        <f>VLOOKUP($A507,'Calendar ID'!$A:$C,2,false)</f>
        <v>c_8f3f6ef786f2df9238426a478307dbddffb576ace587133cfa65ca553e2f967a@group.calendar.google.com</v>
      </c>
      <c r="W507" s="71" t="b">
        <v>0</v>
      </c>
      <c r="X507" s="68" t="str">
        <f>VLOOKUP($A507,'Calendar ID'!$A:$C,2,false)</f>
        <v>c_8f3f6ef786f2df9238426a478307dbddffb576ace587133cfa65ca553e2f967a@group.calendar.google.com</v>
      </c>
    </row>
    <row r="508" hidden="1">
      <c r="A508" s="16" t="s">
        <v>538</v>
      </c>
      <c r="B508" s="17">
        <v>45824.0</v>
      </c>
      <c r="C508" s="16" t="s">
        <v>553</v>
      </c>
      <c r="E508" s="64">
        <v>45847.0</v>
      </c>
      <c r="F508" s="17"/>
      <c r="G508" s="67">
        <v>45858.0</v>
      </c>
      <c r="H508" s="10" t="s">
        <v>31</v>
      </c>
      <c r="J508" s="16" t="s">
        <v>43</v>
      </c>
      <c r="K508" s="23" t="s">
        <v>33</v>
      </c>
      <c r="L508" s="31">
        <v>150.0</v>
      </c>
      <c r="N508" s="65" t="s">
        <v>568</v>
      </c>
      <c r="O508" s="16"/>
      <c r="P508" s="16" t="s">
        <v>34</v>
      </c>
      <c r="Q508" s="17">
        <f t="shared" si="1"/>
        <v>45824</v>
      </c>
      <c r="R508" s="18">
        <f t="shared" si="99"/>
        <v>45</v>
      </c>
      <c r="S508" s="20"/>
      <c r="T508" s="68"/>
      <c r="U508" s="77"/>
      <c r="V508" s="68"/>
      <c r="W508" s="71"/>
      <c r="X508" s="20"/>
    </row>
    <row r="509" hidden="1">
      <c r="A509" s="16" t="s">
        <v>453</v>
      </c>
      <c r="B509" s="17">
        <v>45818.0</v>
      </c>
      <c r="C509" s="16" t="s">
        <v>48</v>
      </c>
      <c r="D509" s="16" t="s">
        <v>569</v>
      </c>
      <c r="E509" s="67">
        <v>45856.0</v>
      </c>
      <c r="F509" s="17"/>
      <c r="G509" s="66">
        <v>45864.0</v>
      </c>
      <c r="H509" s="10" t="s">
        <v>31</v>
      </c>
      <c r="J509" s="16" t="s">
        <v>43</v>
      </c>
      <c r="K509" s="23" t="s">
        <v>33</v>
      </c>
      <c r="L509" s="31">
        <f t="shared" ref="L509:L510" si="100">500/4</f>
        <v>125</v>
      </c>
      <c r="N509" s="16"/>
      <c r="O509" s="16"/>
      <c r="P509" s="16" t="s">
        <v>34</v>
      </c>
      <c r="Q509" s="17">
        <f t="shared" si="1"/>
        <v>45818</v>
      </c>
      <c r="R509" s="18">
        <f t="shared" si="99"/>
        <v>37.5</v>
      </c>
      <c r="S509" s="20"/>
      <c r="T509" s="68"/>
      <c r="U509" s="77"/>
      <c r="V509" s="68"/>
      <c r="W509" s="71"/>
      <c r="X509" s="20"/>
    </row>
    <row r="510" hidden="1">
      <c r="A510" s="16" t="s">
        <v>237</v>
      </c>
      <c r="B510" s="17">
        <v>45790.0</v>
      </c>
      <c r="C510" s="16" t="s">
        <v>48</v>
      </c>
      <c r="D510" s="16" t="s">
        <v>543</v>
      </c>
      <c r="E510" s="67">
        <v>45856.0</v>
      </c>
      <c r="F510" s="17"/>
      <c r="G510" s="66">
        <v>45864.0</v>
      </c>
      <c r="H510" s="10" t="s">
        <v>31</v>
      </c>
      <c r="J510" s="7" t="s">
        <v>43</v>
      </c>
      <c r="K510" s="7" t="s">
        <v>33</v>
      </c>
      <c r="L510" s="31">
        <f t="shared" si="100"/>
        <v>125</v>
      </c>
      <c r="N510" s="16"/>
      <c r="O510" s="16"/>
      <c r="P510" s="23" t="s">
        <v>34</v>
      </c>
      <c r="Q510" s="17">
        <f t="shared" si="1"/>
        <v>45790</v>
      </c>
      <c r="R510" s="18">
        <f t="shared" si="99"/>
        <v>37.5</v>
      </c>
      <c r="S510" s="20"/>
      <c r="T510" s="68" t="str">
        <f>VLOOKUP(A510,'Calendar ID'!$A:$C,3,false)</f>
        <v>shaaadl.pro@gmail.com</v>
      </c>
      <c r="U510" s="71" t="b">
        <v>0</v>
      </c>
      <c r="V510" s="68" t="str">
        <f>VLOOKUP($A510,'Calendar ID'!$A:$C,2,false)</f>
        <v>c_9384058245a0bc66157c09691047ea8f88622323c6761b8606c18d9b08ee0bf8@group.calendar.google.com</v>
      </c>
      <c r="W510" s="71" t="b">
        <v>0</v>
      </c>
      <c r="X510" s="68" t="str">
        <f>VLOOKUP($A510,'Calendar ID'!$A:$C,2,false)</f>
        <v>c_9384058245a0bc66157c09691047ea8f88622323c6761b8606c18d9b08ee0bf8@group.calendar.google.com</v>
      </c>
    </row>
    <row r="511">
      <c r="A511" s="23" t="s">
        <v>91</v>
      </c>
      <c r="B511" s="11">
        <v>45804.0</v>
      </c>
      <c r="C511" s="10" t="s">
        <v>261</v>
      </c>
      <c r="D511" s="149" t="s">
        <v>570</v>
      </c>
      <c r="E511" s="150">
        <v>45846.0</v>
      </c>
      <c r="F511" s="26"/>
      <c r="G511" s="8"/>
      <c r="H511" s="10"/>
      <c r="I511" s="10" t="s">
        <v>571</v>
      </c>
      <c r="J511" s="23" t="s">
        <v>43</v>
      </c>
      <c r="K511" s="23" t="s">
        <v>33</v>
      </c>
      <c r="L511" s="15">
        <f t="shared" ref="L511:L512" si="101">2174/10</f>
        <v>217.4</v>
      </c>
      <c r="M511" s="7"/>
      <c r="N511" s="23"/>
      <c r="O511" s="23"/>
      <c r="P511" s="23" t="s">
        <v>34</v>
      </c>
      <c r="Q511" s="11">
        <f t="shared" si="1"/>
        <v>45804</v>
      </c>
      <c r="R511" s="15">
        <f t="shared" si="99"/>
        <v>65.22</v>
      </c>
      <c r="S511" s="68"/>
      <c r="T511" s="68" t="str">
        <f>VLOOKUP(A511,'Calendar ID'!$A:$C,3,false)</f>
        <v>juliane.bernard57@icloud.com</v>
      </c>
      <c r="U511" s="71" t="b">
        <v>0</v>
      </c>
      <c r="V511" s="68" t="str">
        <f>VLOOKUP($A511,'Calendar ID'!$A:$C,2,false)</f>
        <v>c_f6970d92e9be72b1307e3c015a265d69ae87140c691e7728bc83462544d82455@group.calendar.google.com</v>
      </c>
      <c r="W511" s="71" t="b">
        <v>0</v>
      </c>
      <c r="X511" s="68" t="str">
        <f>VLOOKUP($A511,'Calendar ID'!$A:$C,2,false)</f>
        <v>c_f6970d92e9be72b1307e3c015a265d69ae87140c691e7728bc83462544d82455@group.calendar.google.com</v>
      </c>
      <c r="Y511" s="7"/>
      <c r="Z511" s="7"/>
      <c r="AA511" s="7"/>
      <c r="AB511" s="7"/>
      <c r="AC511" s="7"/>
    </row>
    <row r="512">
      <c r="A512" s="128" t="s">
        <v>91</v>
      </c>
      <c r="B512" s="17">
        <v>45804.0</v>
      </c>
      <c r="C512" s="16" t="s">
        <v>261</v>
      </c>
      <c r="D512" s="149" t="s">
        <v>572</v>
      </c>
      <c r="E512" s="156">
        <v>45848.0</v>
      </c>
      <c r="F512" s="17"/>
      <c r="G512" s="66">
        <v>45861.0</v>
      </c>
      <c r="H512" s="10" t="s">
        <v>566</v>
      </c>
      <c r="J512" s="16" t="s">
        <v>43</v>
      </c>
      <c r="K512" s="16" t="s">
        <v>33</v>
      </c>
      <c r="L512" s="31">
        <f t="shared" si="101"/>
        <v>217.4</v>
      </c>
      <c r="N512" s="16"/>
      <c r="O512" s="16"/>
      <c r="P512" s="10" t="s">
        <v>34</v>
      </c>
      <c r="Q512" s="17">
        <f t="shared" si="1"/>
        <v>45804</v>
      </c>
      <c r="R512" s="18">
        <f t="shared" si="99"/>
        <v>65.22</v>
      </c>
      <c r="S512" s="20"/>
      <c r="T512" s="68" t="str">
        <f>VLOOKUP(A512,'Calendar ID'!$A:$C,3,false)</f>
        <v>juliane.bernard57@icloud.com</v>
      </c>
      <c r="U512" s="71" t="b">
        <v>0</v>
      </c>
      <c r="V512" s="68" t="str">
        <f>VLOOKUP($A512,'Calendar ID'!$A:$C,2,false)</f>
        <v>c_f6970d92e9be72b1307e3c015a265d69ae87140c691e7728bc83462544d82455@group.calendar.google.com</v>
      </c>
      <c r="W512" s="71" t="b">
        <v>0</v>
      </c>
      <c r="X512" s="68" t="str">
        <f>VLOOKUP($A512,'Calendar ID'!$A:$C,2,false)</f>
        <v>c_f6970d92e9be72b1307e3c015a265d69ae87140c691e7728bc83462544d82455@group.calendar.google.com</v>
      </c>
    </row>
    <row r="513" hidden="1">
      <c r="A513" s="16" t="s">
        <v>402</v>
      </c>
      <c r="B513" s="17">
        <v>45777.0</v>
      </c>
      <c r="C513" s="16" t="s">
        <v>316</v>
      </c>
      <c r="E513" s="43">
        <v>45792.0</v>
      </c>
      <c r="F513" s="17"/>
      <c r="G513" s="17"/>
      <c r="H513" s="10" t="s">
        <v>31</v>
      </c>
      <c r="J513" s="16" t="s">
        <v>43</v>
      </c>
      <c r="K513" s="16" t="s">
        <v>33</v>
      </c>
      <c r="L513" s="31">
        <v>300.0</v>
      </c>
      <c r="N513" s="16"/>
      <c r="O513" s="16"/>
      <c r="P513" s="10" t="s">
        <v>34</v>
      </c>
      <c r="Q513" s="17">
        <f t="shared" si="1"/>
        <v>45777</v>
      </c>
      <c r="R513" s="18">
        <f t="shared" si="99"/>
        <v>90</v>
      </c>
      <c r="S513" s="20"/>
      <c r="T513" s="68"/>
      <c r="U513" s="77"/>
      <c r="V513" s="68"/>
      <c r="W513" s="71"/>
      <c r="X513" s="20"/>
    </row>
    <row r="514">
      <c r="A514" s="16" t="s">
        <v>42</v>
      </c>
      <c r="B514" s="17">
        <v>45826.0</v>
      </c>
      <c r="C514" s="16" t="s">
        <v>573</v>
      </c>
      <c r="E514" s="64">
        <v>45848.0</v>
      </c>
      <c r="F514" s="17"/>
      <c r="G514" s="139">
        <v>45884.0</v>
      </c>
      <c r="H514" s="10" t="s">
        <v>566</v>
      </c>
      <c r="I514" s="16" t="s">
        <v>574</v>
      </c>
      <c r="J514" s="16" t="s">
        <v>43</v>
      </c>
      <c r="K514" s="23" t="s">
        <v>33</v>
      </c>
      <c r="L514" s="31">
        <v>1250.0</v>
      </c>
      <c r="N514" s="16"/>
      <c r="O514" s="16"/>
      <c r="P514" s="16" t="s">
        <v>34</v>
      </c>
      <c r="Q514" s="17">
        <f t="shared" si="1"/>
        <v>45826</v>
      </c>
      <c r="R514" s="18">
        <f t="shared" si="99"/>
        <v>375</v>
      </c>
      <c r="S514" s="20"/>
      <c r="T514" s="68"/>
      <c r="U514" s="77"/>
      <c r="V514" s="68"/>
      <c r="W514" s="71"/>
      <c r="X514" s="20"/>
    </row>
    <row r="515">
      <c r="A515" s="16" t="s">
        <v>391</v>
      </c>
      <c r="B515" s="17">
        <v>45827.0</v>
      </c>
      <c r="C515" s="16" t="s">
        <v>575</v>
      </c>
      <c r="D515" s="153"/>
      <c r="E515" s="64">
        <v>45851.0</v>
      </c>
      <c r="F515" s="17"/>
      <c r="G515" s="17"/>
      <c r="H515" s="10" t="s">
        <v>567</v>
      </c>
      <c r="I515" s="16" t="s">
        <v>180</v>
      </c>
      <c r="J515" s="16" t="s">
        <v>43</v>
      </c>
      <c r="K515" s="23" t="s">
        <v>33</v>
      </c>
      <c r="L515" s="31">
        <v>300.0</v>
      </c>
      <c r="N515" s="16"/>
      <c r="O515" s="16"/>
      <c r="P515" s="16" t="s">
        <v>34</v>
      </c>
      <c r="Q515" s="17">
        <f t="shared" si="1"/>
        <v>45827</v>
      </c>
      <c r="R515" s="18">
        <f t="shared" si="99"/>
        <v>90</v>
      </c>
      <c r="S515" s="20"/>
      <c r="T515" s="68"/>
      <c r="U515" s="77"/>
      <c r="V515" s="68"/>
      <c r="W515" s="71"/>
      <c r="X515" s="20"/>
    </row>
    <row r="516" hidden="1">
      <c r="A516" s="16" t="s">
        <v>213</v>
      </c>
      <c r="B516" s="17">
        <v>45839.0</v>
      </c>
      <c r="C516" s="16" t="s">
        <v>576</v>
      </c>
      <c r="E516" s="67">
        <v>45853.0</v>
      </c>
      <c r="F516" s="17"/>
      <c r="G516" s="17"/>
      <c r="H516" s="10" t="s">
        <v>31</v>
      </c>
      <c r="J516" s="16" t="s">
        <v>43</v>
      </c>
      <c r="K516" s="23" t="s">
        <v>33</v>
      </c>
      <c r="L516" s="31">
        <f>2500+625</f>
        <v>3125</v>
      </c>
      <c r="N516" s="16"/>
      <c r="O516" s="16"/>
      <c r="P516" s="16" t="s">
        <v>34</v>
      </c>
      <c r="Q516" s="17">
        <f t="shared" si="1"/>
        <v>45839</v>
      </c>
      <c r="R516" s="18">
        <f t="shared" si="99"/>
        <v>937.5</v>
      </c>
      <c r="S516" s="20"/>
      <c r="T516" s="68"/>
      <c r="U516" s="77"/>
      <c r="V516" s="68"/>
      <c r="W516" s="71"/>
      <c r="X516" s="20"/>
    </row>
    <row r="517" hidden="1">
      <c r="A517" s="128" t="s">
        <v>428</v>
      </c>
      <c r="B517" s="17">
        <v>45799.0</v>
      </c>
      <c r="C517" s="16" t="s">
        <v>316</v>
      </c>
      <c r="E517" s="52">
        <v>45819.0</v>
      </c>
      <c r="F517" s="17"/>
      <c r="G517" s="17"/>
      <c r="H517" s="10" t="s">
        <v>31</v>
      </c>
      <c r="J517" s="16" t="s">
        <v>43</v>
      </c>
      <c r="K517" s="16" t="s">
        <v>74</v>
      </c>
      <c r="L517" s="31">
        <v>300.0</v>
      </c>
      <c r="N517" s="16"/>
      <c r="O517" s="16"/>
      <c r="P517" s="10" t="s">
        <v>34</v>
      </c>
      <c r="Q517" s="17">
        <f t="shared" si="1"/>
        <v>45799</v>
      </c>
      <c r="R517" s="18">
        <f t="shared" si="99"/>
        <v>90</v>
      </c>
      <c r="S517" s="20"/>
      <c r="T517" s="68" t="str">
        <f>VLOOKUP(A517,'Calendar ID'!$A:$C,3,false)</f>
        <v>#N/A</v>
      </c>
      <c r="U517" s="71" t="b">
        <v>0</v>
      </c>
      <c r="V517" s="68" t="str">
        <f>VLOOKUP($A517,'Calendar ID'!$A:$C,2,false)</f>
        <v>#N/A</v>
      </c>
      <c r="W517" s="71" t="b">
        <v>0</v>
      </c>
      <c r="X517" s="68" t="str">
        <f>VLOOKUP($A517,'Calendar ID'!$A:$C,2,false)</f>
        <v>#N/A</v>
      </c>
    </row>
    <row r="518">
      <c r="A518" s="16" t="s">
        <v>213</v>
      </c>
      <c r="B518" s="17">
        <v>45827.0</v>
      </c>
      <c r="C518" s="16" t="s">
        <v>575</v>
      </c>
      <c r="D518" s="153"/>
      <c r="E518" s="64">
        <v>45851.0</v>
      </c>
      <c r="F518" s="17"/>
      <c r="G518" s="17"/>
      <c r="H518" s="10" t="s">
        <v>567</v>
      </c>
      <c r="I518" s="16" t="s">
        <v>180</v>
      </c>
      <c r="J518" s="16" t="s">
        <v>43</v>
      </c>
      <c r="K518" s="23" t="s">
        <v>33</v>
      </c>
      <c r="L518" s="31">
        <v>300.0</v>
      </c>
      <c r="N518" s="16"/>
      <c r="O518" s="16"/>
      <c r="P518" s="16" t="s">
        <v>34</v>
      </c>
      <c r="Q518" s="17">
        <f t="shared" si="1"/>
        <v>45827</v>
      </c>
      <c r="R518" s="18">
        <f t="shared" si="99"/>
        <v>90</v>
      </c>
      <c r="S518" s="20"/>
      <c r="T518" s="68"/>
      <c r="U518" s="77"/>
      <c r="V518" s="68"/>
      <c r="W518" s="71"/>
      <c r="X518" s="20"/>
    </row>
    <row r="519">
      <c r="A519" s="128" t="s">
        <v>91</v>
      </c>
      <c r="B519" s="17">
        <v>45804.0</v>
      </c>
      <c r="C519" s="16" t="s">
        <v>261</v>
      </c>
      <c r="D519" s="149" t="s">
        <v>577</v>
      </c>
      <c r="E519" s="157">
        <v>45853.0</v>
      </c>
      <c r="F519" s="17"/>
      <c r="G519" s="66">
        <v>45864.0</v>
      </c>
      <c r="H519" s="10" t="s">
        <v>566</v>
      </c>
      <c r="J519" s="16" t="s">
        <v>43</v>
      </c>
      <c r="K519" s="16" t="s">
        <v>33</v>
      </c>
      <c r="L519" s="31">
        <f>2174/10</f>
        <v>217.4</v>
      </c>
      <c r="N519" s="16"/>
      <c r="O519" s="16"/>
      <c r="P519" s="10" t="s">
        <v>34</v>
      </c>
      <c r="Q519" s="17">
        <f t="shared" si="1"/>
        <v>45804</v>
      </c>
      <c r="R519" s="18">
        <f t="shared" si="99"/>
        <v>65.22</v>
      </c>
      <c r="S519" s="20"/>
      <c r="T519" s="68" t="str">
        <f>VLOOKUP(A519,'Calendar ID'!$A:$C,3,false)</f>
        <v>juliane.bernard57@icloud.com</v>
      </c>
      <c r="U519" s="71" t="b">
        <v>0</v>
      </c>
      <c r="V519" s="68" t="str">
        <f>VLOOKUP($A519,'Calendar ID'!$A:$C,2,false)</f>
        <v>c_f6970d92e9be72b1307e3c015a265d69ae87140c691e7728bc83462544d82455@group.calendar.google.com</v>
      </c>
      <c r="W519" s="71" t="b">
        <v>0</v>
      </c>
      <c r="X519" s="68" t="str">
        <f>VLOOKUP($A519,'Calendar ID'!$A:$C,2,false)</f>
        <v>c_f6970d92e9be72b1307e3c015a265d69ae87140c691e7728bc83462544d82455@group.calendar.google.com</v>
      </c>
    </row>
    <row r="520">
      <c r="A520" s="16" t="s">
        <v>237</v>
      </c>
      <c r="B520" s="17">
        <v>45825.0</v>
      </c>
      <c r="C520" s="16" t="s">
        <v>79</v>
      </c>
      <c r="D520" s="7" t="s">
        <v>578</v>
      </c>
      <c r="E520" s="67">
        <v>45853.0</v>
      </c>
      <c r="F520" s="17"/>
      <c r="G520" s="72">
        <v>45869.0</v>
      </c>
      <c r="H520" s="10" t="s">
        <v>566</v>
      </c>
      <c r="J520" s="16" t="s">
        <v>43</v>
      </c>
      <c r="K520" s="23" t="s">
        <v>33</v>
      </c>
      <c r="L520" s="31">
        <f>800/3</f>
        <v>266.6666667</v>
      </c>
      <c r="N520" s="16"/>
      <c r="O520" s="16"/>
      <c r="P520" s="16" t="s">
        <v>34</v>
      </c>
      <c r="Q520" s="17">
        <f t="shared" si="1"/>
        <v>45825</v>
      </c>
      <c r="R520" s="18">
        <f t="shared" si="99"/>
        <v>80</v>
      </c>
      <c r="S520" s="20"/>
      <c r="T520" s="68"/>
      <c r="U520" s="77"/>
      <c r="V520" s="68"/>
      <c r="W520" s="71"/>
      <c r="X520" s="20"/>
    </row>
    <row r="521">
      <c r="A521" s="128" t="s">
        <v>402</v>
      </c>
      <c r="B521" s="17">
        <v>45754.0</v>
      </c>
      <c r="C521" s="16" t="s">
        <v>86</v>
      </c>
      <c r="E521" s="67">
        <v>45857.0</v>
      </c>
      <c r="F521" s="17"/>
      <c r="G521" s="72">
        <v>45866.0</v>
      </c>
      <c r="H521" s="10" t="s">
        <v>210</v>
      </c>
      <c r="J521" s="16" t="s">
        <v>43</v>
      </c>
      <c r="K521" s="16" t="s">
        <v>33</v>
      </c>
      <c r="L521" s="31">
        <v>310.0</v>
      </c>
      <c r="N521" s="16"/>
      <c r="O521" s="16"/>
      <c r="P521" s="10" t="s">
        <v>34</v>
      </c>
      <c r="Q521" s="17">
        <f t="shared" si="1"/>
        <v>45754</v>
      </c>
      <c r="R521" s="18">
        <f t="shared" si="99"/>
        <v>93</v>
      </c>
      <c r="S521" s="20"/>
      <c r="T521" s="68" t="str">
        <f>VLOOKUP(A521,'Calendar ID'!$A:$C,3,false)</f>
        <v>stzmarine6@gmail.com</v>
      </c>
      <c r="U521" s="71" t="b">
        <v>0</v>
      </c>
      <c r="V521" s="68" t="str">
        <f>VLOOKUP($A521,'Calendar ID'!$A:$C,2,false)</f>
        <v>c_c2a91e309d1b6dc37cabc837fe79ebdcdbabcaff13a6376ec109ab3d73862812@group.calendar.google.com</v>
      </c>
      <c r="W521" s="71" t="b">
        <v>0</v>
      </c>
      <c r="X521" s="68" t="str">
        <f>VLOOKUP($A521,'Calendar ID'!$A:$C,2,false)</f>
        <v>c_c2a91e309d1b6dc37cabc837fe79ebdcdbabcaff13a6376ec109ab3d73862812@group.calendar.google.com</v>
      </c>
    </row>
    <row r="522">
      <c r="A522" s="128" t="s">
        <v>91</v>
      </c>
      <c r="B522" s="17">
        <v>45804.0</v>
      </c>
      <c r="C522" s="16" t="s">
        <v>261</v>
      </c>
      <c r="D522" s="149" t="s">
        <v>579</v>
      </c>
      <c r="E522" s="157">
        <v>45858.0</v>
      </c>
      <c r="F522" s="17"/>
      <c r="G522" s="66">
        <v>45861.0</v>
      </c>
      <c r="H522" s="10" t="s">
        <v>567</v>
      </c>
      <c r="J522" s="16" t="s">
        <v>43</v>
      </c>
      <c r="K522" s="16" t="s">
        <v>33</v>
      </c>
      <c r="L522" s="31">
        <f>2174/10</f>
        <v>217.4</v>
      </c>
      <c r="N522" s="16"/>
      <c r="O522" s="16"/>
      <c r="P522" s="10" t="s">
        <v>34</v>
      </c>
      <c r="Q522" s="17">
        <f t="shared" si="1"/>
        <v>45804</v>
      </c>
      <c r="R522" s="18">
        <f t="shared" si="99"/>
        <v>65.22</v>
      </c>
      <c r="S522" s="20"/>
      <c r="T522" s="68" t="str">
        <f>VLOOKUP(A522,'Calendar ID'!$A:$C,3,false)</f>
        <v>juliane.bernard57@icloud.com</v>
      </c>
      <c r="U522" s="71" t="b">
        <v>0</v>
      </c>
      <c r="V522" s="68" t="str">
        <f>VLOOKUP($A522,'Calendar ID'!$A:$C,2,false)</f>
        <v>c_f6970d92e9be72b1307e3c015a265d69ae87140c691e7728bc83462544d82455@group.calendar.google.com</v>
      </c>
      <c r="W522" s="71" t="b">
        <v>0</v>
      </c>
      <c r="X522" s="68" t="str">
        <f>VLOOKUP($A522,'Calendar ID'!$A:$C,2,false)</f>
        <v>c_f6970d92e9be72b1307e3c015a265d69ae87140c691e7728bc83462544d82455@group.calendar.google.com</v>
      </c>
    </row>
    <row r="523">
      <c r="A523" s="16" t="s">
        <v>353</v>
      </c>
      <c r="B523" s="17">
        <v>45821.0</v>
      </c>
      <c r="C523" s="16" t="s">
        <v>580</v>
      </c>
      <c r="E523" s="66">
        <v>45860.0</v>
      </c>
      <c r="F523" s="17"/>
      <c r="G523" s="72">
        <v>45866.0</v>
      </c>
      <c r="H523" s="10" t="s">
        <v>566</v>
      </c>
      <c r="I523" s="16" t="s">
        <v>581</v>
      </c>
      <c r="J523" s="16" t="s">
        <v>43</v>
      </c>
      <c r="K523" s="23" t="s">
        <v>33</v>
      </c>
      <c r="L523" s="31">
        <v>880.0</v>
      </c>
      <c r="N523" s="16"/>
      <c r="O523" s="16"/>
      <c r="P523" s="16" t="s">
        <v>34</v>
      </c>
      <c r="Q523" s="17">
        <f t="shared" si="1"/>
        <v>45821</v>
      </c>
      <c r="R523" s="18">
        <f t="shared" si="99"/>
        <v>264</v>
      </c>
      <c r="S523" s="20"/>
      <c r="T523" s="68"/>
      <c r="U523" s="77"/>
      <c r="V523" s="68"/>
      <c r="W523" s="71"/>
      <c r="X523" s="20"/>
    </row>
    <row r="524">
      <c r="A524" s="16" t="s">
        <v>348</v>
      </c>
      <c r="B524" s="17">
        <v>45841.0</v>
      </c>
      <c r="C524" s="16" t="s">
        <v>580</v>
      </c>
      <c r="E524" s="66">
        <v>45860.0</v>
      </c>
      <c r="F524" s="17"/>
      <c r="G524" s="72">
        <v>45867.0</v>
      </c>
      <c r="H524" s="10" t="s">
        <v>566</v>
      </c>
      <c r="I524" s="16" t="s">
        <v>581</v>
      </c>
      <c r="J524" s="16" t="s">
        <v>43</v>
      </c>
      <c r="K524" s="23" t="s">
        <v>33</v>
      </c>
      <c r="L524" s="31">
        <v>1290.0</v>
      </c>
      <c r="N524" s="16"/>
      <c r="O524" s="16"/>
      <c r="P524" s="16" t="s">
        <v>34</v>
      </c>
      <c r="Q524" s="17">
        <f t="shared" si="1"/>
        <v>45841</v>
      </c>
      <c r="R524" s="18">
        <f t="shared" si="99"/>
        <v>387</v>
      </c>
      <c r="S524" s="20"/>
      <c r="T524" s="68"/>
      <c r="U524" s="77"/>
      <c r="V524" s="68"/>
      <c r="W524" s="71"/>
      <c r="X524" s="20"/>
    </row>
    <row r="525">
      <c r="A525" s="16" t="s">
        <v>260</v>
      </c>
      <c r="B525" s="17">
        <v>45784.0</v>
      </c>
      <c r="C525" s="16" t="s">
        <v>261</v>
      </c>
      <c r="D525" s="7" t="s">
        <v>582</v>
      </c>
      <c r="E525" s="66">
        <v>45860.0</v>
      </c>
      <c r="F525" s="17"/>
      <c r="G525" s="73">
        <v>45879.0</v>
      </c>
      <c r="H525" s="10" t="s">
        <v>567</v>
      </c>
      <c r="I525" s="16" t="s">
        <v>262</v>
      </c>
      <c r="J525" s="7" t="s">
        <v>43</v>
      </c>
      <c r="K525" s="7" t="s">
        <v>33</v>
      </c>
      <c r="L525" s="31">
        <v>300.0</v>
      </c>
      <c r="N525" s="16"/>
      <c r="O525" s="16"/>
      <c r="P525" s="23" t="s">
        <v>34</v>
      </c>
      <c r="Q525" s="17">
        <f t="shared" si="1"/>
        <v>45784</v>
      </c>
      <c r="R525" s="18">
        <f t="shared" si="99"/>
        <v>90</v>
      </c>
      <c r="S525" s="20"/>
      <c r="T525" s="68" t="str">
        <f>VLOOKUP(A525,'Calendar ID'!$A:$C,3,false)</f>
        <v>asmae-nemar@hotmail.fr </v>
      </c>
      <c r="U525" s="71" t="b">
        <v>0</v>
      </c>
      <c r="V525" s="68" t="str">
        <f>VLOOKUP($A525,'Calendar ID'!$A:$C,2,false)</f>
        <v>c_35f3aada7c9c0ba626ac56e6cf10c5959c56663450ffd058a5bdc005508d0954@group.calendar.google.com</v>
      </c>
      <c r="W525" s="71" t="b">
        <v>0</v>
      </c>
      <c r="X525" s="68" t="str">
        <f>VLOOKUP($A525,'Calendar ID'!$A:$C,2,false)</f>
        <v>c_35f3aada7c9c0ba626ac56e6cf10c5959c56663450ffd058a5bdc005508d0954@group.calendar.google.com</v>
      </c>
    </row>
    <row r="526">
      <c r="A526" s="16" t="s">
        <v>583</v>
      </c>
      <c r="B526" s="17">
        <v>45818.0</v>
      </c>
      <c r="C526" s="16" t="s">
        <v>304</v>
      </c>
      <c r="E526" s="66">
        <v>45863.0</v>
      </c>
      <c r="F526" s="17"/>
      <c r="G526" s="72">
        <v>45867.0</v>
      </c>
      <c r="H526" s="10" t="s">
        <v>566</v>
      </c>
      <c r="I526" s="16" t="s">
        <v>584</v>
      </c>
      <c r="J526" s="16" t="s">
        <v>43</v>
      </c>
      <c r="K526" s="23" t="s">
        <v>33</v>
      </c>
      <c r="L526" s="31">
        <f>2250/3</f>
        <v>750</v>
      </c>
      <c r="N526" s="16"/>
      <c r="O526" s="16"/>
      <c r="P526" s="16" t="s">
        <v>34</v>
      </c>
      <c r="Q526" s="17">
        <f t="shared" si="1"/>
        <v>45818</v>
      </c>
      <c r="R526" s="18">
        <f t="shared" si="99"/>
        <v>225</v>
      </c>
      <c r="S526" s="20"/>
      <c r="T526" s="68"/>
      <c r="U526" s="77"/>
      <c r="V526" s="68"/>
      <c r="W526" s="71"/>
      <c r="X526" s="20"/>
    </row>
    <row r="527" hidden="1">
      <c r="A527" s="16" t="s">
        <v>237</v>
      </c>
      <c r="B527" s="17">
        <v>45694.0</v>
      </c>
      <c r="C527" s="16" t="s">
        <v>304</v>
      </c>
      <c r="E527" s="17"/>
      <c r="G527" s="17"/>
      <c r="H527" s="10" t="s">
        <v>31</v>
      </c>
      <c r="J527" s="16" t="s">
        <v>43</v>
      </c>
      <c r="K527" s="23" t="s">
        <v>33</v>
      </c>
      <c r="L527" s="31">
        <v>300.0</v>
      </c>
      <c r="N527" s="16"/>
      <c r="O527" s="16" t="s">
        <v>362</v>
      </c>
      <c r="P527" s="23" t="s">
        <v>34</v>
      </c>
      <c r="Q527" s="17">
        <f t="shared" si="1"/>
        <v>45694</v>
      </c>
      <c r="R527" s="18">
        <f t="shared" si="99"/>
        <v>90</v>
      </c>
      <c r="S527" s="20"/>
      <c r="T527" s="68" t="str">
        <f>VLOOKUP(A527,'Calendar ID'!$A:$C,3,false)</f>
        <v>shaaadl.pro@gmail.com</v>
      </c>
      <c r="U527" s="69" t="b">
        <v>0</v>
      </c>
      <c r="V527" s="68" t="str">
        <f>VLOOKUP($A527,'Calendar ID'!$A:$C,2,false)</f>
        <v>c_9384058245a0bc66157c09691047ea8f88622323c6761b8606c18d9b08ee0bf8@group.calendar.google.com</v>
      </c>
      <c r="W527" s="69" t="b">
        <v>0</v>
      </c>
      <c r="X527" s="68" t="str">
        <f>VLOOKUP($A527,'Calendar ID'!$A:$C,2,false)</f>
        <v>c_9384058245a0bc66157c09691047ea8f88622323c6761b8606c18d9b08ee0bf8@group.calendar.google.com</v>
      </c>
    </row>
    <row r="528">
      <c r="A528" s="16" t="s">
        <v>583</v>
      </c>
      <c r="B528" s="17">
        <v>45818.0</v>
      </c>
      <c r="C528" s="16" t="s">
        <v>304</v>
      </c>
      <c r="E528" s="66">
        <v>45863.0</v>
      </c>
      <c r="F528" s="17"/>
      <c r="G528" s="17"/>
      <c r="H528" s="10" t="s">
        <v>210</v>
      </c>
      <c r="I528" s="16" t="s">
        <v>584</v>
      </c>
      <c r="J528" s="16" t="s">
        <v>43</v>
      </c>
      <c r="K528" s="23" t="s">
        <v>33</v>
      </c>
      <c r="L528" s="31">
        <f t="shared" ref="L528:L529" si="102">2250/3</f>
        <v>750</v>
      </c>
      <c r="N528" s="65" t="s">
        <v>585</v>
      </c>
      <c r="O528" s="16"/>
      <c r="P528" s="16" t="s">
        <v>34</v>
      </c>
      <c r="Q528" s="17">
        <f t="shared" si="1"/>
        <v>45818</v>
      </c>
      <c r="R528" s="18">
        <f t="shared" si="99"/>
        <v>225</v>
      </c>
      <c r="S528" s="20"/>
      <c r="T528" s="68"/>
      <c r="U528" s="77"/>
      <c r="V528" s="68"/>
      <c r="W528" s="71"/>
      <c r="X528" s="20"/>
    </row>
    <row r="529">
      <c r="A529" s="16" t="s">
        <v>583</v>
      </c>
      <c r="B529" s="17">
        <v>45818.0</v>
      </c>
      <c r="C529" s="16" t="s">
        <v>304</v>
      </c>
      <c r="E529" s="66">
        <v>45863.0</v>
      </c>
      <c r="F529" s="17"/>
      <c r="G529" s="17"/>
      <c r="H529" s="10" t="s">
        <v>567</v>
      </c>
      <c r="I529" s="16" t="s">
        <v>584</v>
      </c>
      <c r="J529" s="16" t="s">
        <v>43</v>
      </c>
      <c r="K529" s="23" t="s">
        <v>33</v>
      </c>
      <c r="L529" s="31">
        <f t="shared" si="102"/>
        <v>750</v>
      </c>
      <c r="N529" s="16"/>
      <c r="O529" s="16"/>
      <c r="P529" s="16" t="s">
        <v>34</v>
      </c>
      <c r="Q529" s="17">
        <f t="shared" si="1"/>
        <v>45818</v>
      </c>
      <c r="R529" s="18">
        <f t="shared" si="99"/>
        <v>225</v>
      </c>
      <c r="S529" s="20"/>
      <c r="T529" s="68"/>
      <c r="U529" s="77"/>
      <c r="V529" s="68"/>
      <c r="W529" s="71"/>
      <c r="X529" s="20"/>
    </row>
    <row r="530">
      <c r="A530" s="16" t="s">
        <v>353</v>
      </c>
      <c r="B530" s="17">
        <v>45827.0</v>
      </c>
      <c r="C530" s="16" t="s">
        <v>575</v>
      </c>
      <c r="E530" s="66">
        <v>45872.0</v>
      </c>
      <c r="F530" s="17"/>
      <c r="G530" s="17"/>
      <c r="H530" s="10"/>
      <c r="I530" s="16" t="s">
        <v>180</v>
      </c>
      <c r="J530" s="16" t="s">
        <v>43</v>
      </c>
      <c r="K530" s="23" t="s">
        <v>33</v>
      </c>
      <c r="L530" s="31">
        <v>300.0</v>
      </c>
      <c r="N530" s="16"/>
      <c r="O530" s="16"/>
      <c r="P530" s="16" t="s">
        <v>34</v>
      </c>
      <c r="Q530" s="17">
        <f t="shared" si="1"/>
        <v>45827</v>
      </c>
      <c r="R530" s="18">
        <f t="shared" si="99"/>
        <v>90</v>
      </c>
      <c r="S530" s="20"/>
      <c r="T530" s="68"/>
      <c r="U530" s="77"/>
      <c r="V530" s="68"/>
      <c r="W530" s="71"/>
      <c r="X530" s="20"/>
    </row>
    <row r="531" hidden="1">
      <c r="A531" s="16" t="s">
        <v>538</v>
      </c>
      <c r="B531" s="17">
        <v>45812.0</v>
      </c>
      <c r="C531" s="16" t="s">
        <v>48</v>
      </c>
      <c r="D531" s="16" t="s">
        <v>586</v>
      </c>
      <c r="E531" s="64">
        <v>45845.0</v>
      </c>
      <c r="F531" s="17"/>
      <c r="G531" s="64">
        <v>45849.0</v>
      </c>
      <c r="H531" s="10" t="s">
        <v>31</v>
      </c>
      <c r="I531" s="16" t="s">
        <v>542</v>
      </c>
      <c r="J531" s="16" t="s">
        <v>43</v>
      </c>
      <c r="K531" s="16" t="s">
        <v>33</v>
      </c>
      <c r="L531" s="31">
        <f>450/4</f>
        <v>112.5</v>
      </c>
      <c r="N531" s="65" t="s">
        <v>587</v>
      </c>
      <c r="O531" s="16"/>
      <c r="P531" s="10" t="s">
        <v>34</v>
      </c>
      <c r="Q531" s="17">
        <f t="shared" si="1"/>
        <v>45812</v>
      </c>
      <c r="R531" s="18">
        <f t="shared" si="99"/>
        <v>33.75</v>
      </c>
      <c r="S531" s="20"/>
      <c r="T531" s="68" t="str">
        <f>VLOOKUP(A531,'Calendar ID'!$A:$C,3,false)</f>
        <v>#N/A</v>
      </c>
      <c r="U531" s="77"/>
      <c r="V531" s="68"/>
      <c r="W531" s="71"/>
      <c r="X531" s="20"/>
    </row>
    <row r="532" hidden="1">
      <c r="A532" s="16" t="s">
        <v>588</v>
      </c>
      <c r="B532" s="17">
        <v>45407.0</v>
      </c>
      <c r="C532" s="16" t="s">
        <v>70</v>
      </c>
      <c r="E532" s="16" t="s">
        <v>372</v>
      </c>
      <c r="F532" s="16" t="s">
        <v>372</v>
      </c>
      <c r="G532" s="48">
        <v>45441.0</v>
      </c>
      <c r="H532" s="16" t="s">
        <v>31</v>
      </c>
      <c r="J532" s="16" t="s">
        <v>71</v>
      </c>
      <c r="K532" s="16" t="s">
        <v>72</v>
      </c>
      <c r="L532" s="31" t="s">
        <v>56</v>
      </c>
      <c r="N532" s="16"/>
      <c r="O532" s="16"/>
      <c r="P532" s="16"/>
      <c r="Q532" s="17">
        <f t="shared" si="1"/>
        <v>45407</v>
      </c>
      <c r="S532" s="20"/>
      <c r="T532" s="20"/>
      <c r="U532" s="20"/>
      <c r="V532" s="20"/>
      <c r="W532" s="20"/>
      <c r="X532" s="20"/>
      <c r="Y532" s="20"/>
      <c r="Z532" s="20"/>
      <c r="AA532" s="20"/>
      <c r="AB532" s="20"/>
      <c r="AC532" s="20"/>
    </row>
    <row r="533" hidden="1">
      <c r="A533" s="128" t="s">
        <v>436</v>
      </c>
      <c r="B533" s="17">
        <v>45771.0</v>
      </c>
      <c r="C533" s="16" t="s">
        <v>79</v>
      </c>
      <c r="D533" s="16" t="s">
        <v>589</v>
      </c>
      <c r="E533" s="52">
        <v>45820.0</v>
      </c>
      <c r="F533" s="17"/>
      <c r="G533" s="53">
        <v>45825.0</v>
      </c>
      <c r="H533" s="10" t="s">
        <v>31</v>
      </c>
      <c r="J533" s="16" t="s">
        <v>43</v>
      </c>
      <c r="K533" s="16" t="s">
        <v>33</v>
      </c>
      <c r="L533" s="31">
        <v>750.0</v>
      </c>
      <c r="N533" s="65" t="s">
        <v>590</v>
      </c>
      <c r="O533" s="16"/>
      <c r="P533" s="10" t="s">
        <v>34</v>
      </c>
      <c r="Q533" s="17">
        <f t="shared" si="1"/>
        <v>45771</v>
      </c>
      <c r="R533" s="18">
        <f t="shared" ref="R533:R534" si="103">L533*0.3</f>
        <v>225</v>
      </c>
      <c r="S533" s="20"/>
      <c r="T533" s="68" t="str">
        <f>VLOOKUP(A533,'Calendar ID'!$A:$C,3,false)</f>
        <v>#N/A</v>
      </c>
      <c r="U533" s="71" t="b">
        <v>0</v>
      </c>
      <c r="V533" s="68" t="str">
        <f>VLOOKUP($A533,'Calendar ID'!$A:$C,2,false)</f>
        <v>#N/A</v>
      </c>
      <c r="W533" s="71" t="b">
        <v>0</v>
      </c>
      <c r="X533" s="68" t="str">
        <f>VLOOKUP($A533,'Calendar ID'!$A:$C,2,false)</f>
        <v>#N/A</v>
      </c>
    </row>
    <row r="534" hidden="1">
      <c r="A534" s="128" t="s">
        <v>364</v>
      </c>
      <c r="B534" s="17">
        <v>45771.0</v>
      </c>
      <c r="C534" s="16" t="s">
        <v>79</v>
      </c>
      <c r="D534" s="16" t="s">
        <v>591</v>
      </c>
      <c r="E534" s="53">
        <v>45825.0</v>
      </c>
      <c r="F534" s="17"/>
      <c r="G534" s="53">
        <v>45829.0</v>
      </c>
      <c r="H534" s="10" t="s">
        <v>31</v>
      </c>
      <c r="J534" s="16" t="s">
        <v>43</v>
      </c>
      <c r="K534" s="16" t="s">
        <v>33</v>
      </c>
      <c r="L534" s="31">
        <f>2000/3</f>
        <v>666.6666667</v>
      </c>
      <c r="N534" s="16"/>
      <c r="O534" s="16"/>
      <c r="P534" s="10" t="s">
        <v>34</v>
      </c>
      <c r="Q534" s="17">
        <f t="shared" si="1"/>
        <v>45771</v>
      </c>
      <c r="R534" s="18">
        <f t="shared" si="103"/>
        <v>200</v>
      </c>
      <c r="S534" s="20"/>
      <c r="T534" s="68" t="str">
        <f>VLOOKUP(A534,'Calendar ID'!$A:$C,3,false)</f>
        <v>Sirine.yza@gmail.com</v>
      </c>
      <c r="U534" s="71" t="b">
        <v>0</v>
      </c>
      <c r="V534" s="68" t="str">
        <f>VLOOKUP($A534,'Calendar ID'!$A:$C,2,false)</f>
        <v>c_4bf2087a99450838a520f4ce4fc6de01f87130a4f381347449792eaf1546cc46@group.calendar.google.com</v>
      </c>
      <c r="W534" s="71" t="b">
        <v>0</v>
      </c>
      <c r="X534" s="68" t="str">
        <f>VLOOKUP($A534,'Calendar ID'!$A:$C,2,false)</f>
        <v>c_4bf2087a99450838a520f4ce4fc6de01f87130a4f381347449792eaf1546cc46@group.calendar.google.com</v>
      </c>
    </row>
    <row r="535" hidden="1">
      <c r="A535" s="16" t="s">
        <v>213</v>
      </c>
      <c r="B535" s="17">
        <v>45664.0</v>
      </c>
      <c r="C535" s="16" t="s">
        <v>220</v>
      </c>
      <c r="D535" s="16" t="s">
        <v>592</v>
      </c>
      <c r="E535" s="17"/>
      <c r="F535" s="96">
        <v>45666.0</v>
      </c>
      <c r="G535" s="105">
        <v>45685.0</v>
      </c>
      <c r="H535" s="10" t="s">
        <v>31</v>
      </c>
      <c r="J535" s="16" t="s">
        <v>593</v>
      </c>
      <c r="K535" s="23" t="s">
        <v>33</v>
      </c>
      <c r="L535" s="31" t="s">
        <v>56</v>
      </c>
      <c r="N535" s="65" t="s">
        <v>594</v>
      </c>
      <c r="O535" s="16"/>
      <c r="P535" s="16"/>
      <c r="Q535" s="17">
        <f t="shared" si="1"/>
        <v>45664</v>
      </c>
      <c r="S535" s="20"/>
      <c r="T535" s="68" t="str">
        <f>VLOOKUP(A535,'Calendar ID'!$A:$C,3,false)</f>
        <v>anaiswry@yahoo.fr</v>
      </c>
      <c r="U535" s="69" t="b">
        <v>0</v>
      </c>
      <c r="V535" s="68" t="str">
        <f>VLOOKUP($A535,'Calendar ID'!$A:$C,2,false)</f>
        <v>c_2754856c5047affc6767bb85fb787591389bf7d14d3afd368efdff9979492ab5@group.calendar.google.com</v>
      </c>
      <c r="W535" s="69" t="b">
        <v>1</v>
      </c>
      <c r="X535" s="70" t="s">
        <v>82</v>
      </c>
    </row>
    <row r="536" hidden="1">
      <c r="A536" s="16" t="s">
        <v>213</v>
      </c>
      <c r="B536" s="82">
        <v>45583.0</v>
      </c>
      <c r="C536" s="16" t="s">
        <v>211</v>
      </c>
      <c r="D536" s="16" t="s">
        <v>595</v>
      </c>
      <c r="E536" s="17"/>
      <c r="G536" s="17">
        <v>45627.0</v>
      </c>
      <c r="H536" s="10" t="s">
        <v>31</v>
      </c>
      <c r="I536" s="16" t="s">
        <v>596</v>
      </c>
      <c r="J536" s="16" t="s">
        <v>97</v>
      </c>
      <c r="K536" s="23" t="s">
        <v>33</v>
      </c>
      <c r="L536" s="31" t="s">
        <v>56</v>
      </c>
      <c r="N536" s="16"/>
      <c r="O536" s="16"/>
      <c r="P536" s="16"/>
      <c r="Q536" s="17">
        <f t="shared" si="1"/>
        <v>45583</v>
      </c>
      <c r="S536" s="20"/>
      <c r="T536" s="68" t="str">
        <f>VLOOKUP(A536,'Calendar ID'!$A:$C,3,false)</f>
        <v>anaiswry@yahoo.fr</v>
      </c>
      <c r="U536" s="78" t="b">
        <v>0</v>
      </c>
      <c r="V536" s="68" t="str">
        <f>VLOOKUP($A536,'Calendar ID'!$A:$C,2,false)</f>
        <v>c_2754856c5047affc6767bb85fb787591389bf7d14d3afd368efdff9979492ab5@group.calendar.google.com</v>
      </c>
      <c r="W536" s="69" t="b">
        <v>0</v>
      </c>
      <c r="X536" s="68" t="str">
        <f>VLOOKUP($A536,'Calendar ID'!$A:$C,2,false)</f>
        <v>c_2754856c5047affc6767bb85fb787591389bf7d14d3afd368efdff9979492ab5@group.calendar.google.com</v>
      </c>
    </row>
    <row r="537" hidden="1">
      <c r="A537" s="16" t="s">
        <v>208</v>
      </c>
      <c r="B537" s="17">
        <v>45783.0</v>
      </c>
      <c r="C537" s="16" t="s">
        <v>79</v>
      </c>
      <c r="D537" s="16" t="s">
        <v>597</v>
      </c>
      <c r="E537" s="48">
        <v>45805.0</v>
      </c>
      <c r="F537" s="17"/>
      <c r="G537" s="52">
        <v>45818.0</v>
      </c>
      <c r="H537" s="10" t="s">
        <v>31</v>
      </c>
      <c r="J537" s="7" t="s">
        <v>43</v>
      </c>
      <c r="K537" s="7" t="s">
        <v>33</v>
      </c>
      <c r="L537" s="31">
        <v>600.0</v>
      </c>
      <c r="N537" s="65" t="s">
        <v>598</v>
      </c>
      <c r="O537" s="16"/>
      <c r="P537" s="23" t="s">
        <v>34</v>
      </c>
      <c r="Q537" s="17">
        <f t="shared" si="1"/>
        <v>45783</v>
      </c>
      <c r="R537" s="18">
        <f t="shared" ref="R537:R538" si="104">L537*0.3</f>
        <v>180</v>
      </c>
      <c r="S537" s="20"/>
      <c r="T537" s="68" t="str">
        <f>VLOOKUP(A537,'Calendar ID'!$A:$C,3,false)</f>
        <v>#N/A</v>
      </c>
      <c r="U537" s="69" t="b">
        <v>0</v>
      </c>
      <c r="V537" s="70" t="s">
        <v>247</v>
      </c>
      <c r="W537" s="69" t="b">
        <v>0</v>
      </c>
      <c r="X537" s="68" t="str">
        <f>VLOOKUP($A537,'Calendar ID'!$A:$C,2,false)</f>
        <v>#N/A</v>
      </c>
    </row>
    <row r="538" hidden="1">
      <c r="A538" s="16" t="s">
        <v>208</v>
      </c>
      <c r="B538" s="17">
        <v>45783.0</v>
      </c>
      <c r="C538" s="16" t="s">
        <v>79</v>
      </c>
      <c r="D538" s="16" t="s">
        <v>599</v>
      </c>
      <c r="E538" s="52">
        <v>45819.0</v>
      </c>
      <c r="F538" s="17"/>
      <c r="G538" s="53">
        <v>45827.0</v>
      </c>
      <c r="H538" s="10" t="s">
        <v>31</v>
      </c>
      <c r="I538" s="16" t="s">
        <v>600</v>
      </c>
      <c r="J538" s="7" t="s">
        <v>43</v>
      </c>
      <c r="K538" s="7" t="s">
        <v>33</v>
      </c>
      <c r="L538" s="31">
        <v>600.0</v>
      </c>
      <c r="N538" s="16"/>
      <c r="O538" s="16"/>
      <c r="P538" s="23" t="s">
        <v>34</v>
      </c>
      <c r="Q538" s="17">
        <f t="shared" si="1"/>
        <v>45783</v>
      </c>
      <c r="R538" s="18">
        <f t="shared" si="104"/>
        <v>180</v>
      </c>
      <c r="S538" s="20"/>
      <c r="T538" s="68" t="str">
        <f>VLOOKUP(A538,'Calendar ID'!$A:$C,3,false)</f>
        <v>#N/A</v>
      </c>
      <c r="U538" s="71" t="b">
        <v>0</v>
      </c>
      <c r="V538" s="68" t="str">
        <f>VLOOKUP($A538,'Calendar ID'!$A:$C,2,false)</f>
        <v>#N/A</v>
      </c>
      <c r="W538" s="69" t="b">
        <v>0</v>
      </c>
      <c r="X538" s="68" t="str">
        <f>VLOOKUP($A538,'Calendar ID'!$A:$C,2,false)</f>
        <v>#N/A</v>
      </c>
    </row>
    <row r="539" hidden="1">
      <c r="A539" s="16" t="s">
        <v>601</v>
      </c>
      <c r="B539" s="17">
        <v>45806.0</v>
      </c>
      <c r="C539" s="16" t="s">
        <v>79</v>
      </c>
      <c r="E539" s="58">
        <v>45833.0</v>
      </c>
      <c r="F539" s="17"/>
      <c r="G539" s="17"/>
      <c r="H539" s="10" t="s">
        <v>31</v>
      </c>
      <c r="I539" s="16" t="s">
        <v>602</v>
      </c>
      <c r="J539" s="16" t="s">
        <v>97</v>
      </c>
      <c r="K539" s="7" t="s">
        <v>33</v>
      </c>
      <c r="L539" s="31" t="s">
        <v>56</v>
      </c>
      <c r="N539" s="16"/>
      <c r="O539" s="16"/>
      <c r="P539" s="23"/>
      <c r="Q539" s="17">
        <f t="shared" si="1"/>
        <v>45806</v>
      </c>
      <c r="R539" s="15"/>
      <c r="S539" s="20"/>
      <c r="T539" s="68"/>
      <c r="U539" s="77"/>
      <c r="V539" s="68"/>
      <c r="W539" s="71"/>
      <c r="X539" s="20"/>
    </row>
    <row r="540">
      <c r="A540" s="16" t="s">
        <v>601</v>
      </c>
      <c r="B540" s="17">
        <v>45827.0</v>
      </c>
      <c r="C540" s="16" t="s">
        <v>575</v>
      </c>
      <c r="D540" s="153"/>
      <c r="E540" s="66">
        <v>45864.0</v>
      </c>
      <c r="F540" s="17"/>
      <c r="G540" s="17"/>
      <c r="H540" s="10" t="s">
        <v>567</v>
      </c>
      <c r="I540" s="16" t="s">
        <v>180</v>
      </c>
      <c r="J540" s="16" t="s">
        <v>43</v>
      </c>
      <c r="K540" s="23" t="s">
        <v>33</v>
      </c>
      <c r="L540" s="31">
        <v>300.0</v>
      </c>
      <c r="N540" s="16"/>
      <c r="O540" s="16"/>
      <c r="P540" s="16" t="s">
        <v>34</v>
      </c>
      <c r="Q540" s="17">
        <f t="shared" si="1"/>
        <v>45827</v>
      </c>
      <c r="R540" s="18">
        <f>L540*0.3</f>
        <v>90</v>
      </c>
      <c r="S540" s="20"/>
      <c r="T540" s="68"/>
      <c r="U540" s="77"/>
      <c r="V540" s="68"/>
      <c r="W540" s="71"/>
      <c r="X540" s="20"/>
    </row>
    <row r="541" hidden="1">
      <c r="A541" s="16" t="s">
        <v>260</v>
      </c>
      <c r="B541" s="17">
        <v>45806.0</v>
      </c>
      <c r="C541" s="16" t="s">
        <v>79</v>
      </c>
      <c r="E541" s="58">
        <v>45833.0</v>
      </c>
      <c r="F541" s="17"/>
      <c r="G541" s="17"/>
      <c r="H541" s="10" t="s">
        <v>31</v>
      </c>
      <c r="I541" s="16" t="s">
        <v>602</v>
      </c>
      <c r="J541" s="16" t="s">
        <v>97</v>
      </c>
      <c r="K541" s="7" t="s">
        <v>33</v>
      </c>
      <c r="L541" s="31" t="s">
        <v>56</v>
      </c>
      <c r="N541" s="16"/>
      <c r="O541" s="16"/>
      <c r="P541" s="23"/>
      <c r="Q541" s="17">
        <f t="shared" si="1"/>
        <v>45806</v>
      </c>
      <c r="R541" s="15"/>
      <c r="S541" s="20"/>
      <c r="T541" s="68"/>
      <c r="U541" s="77"/>
      <c r="V541" s="68"/>
      <c r="W541" s="71"/>
      <c r="X541" s="20"/>
    </row>
    <row r="542" hidden="1">
      <c r="A542" s="16" t="s">
        <v>213</v>
      </c>
      <c r="B542" s="17">
        <v>45561.0</v>
      </c>
      <c r="C542" s="16" t="s">
        <v>245</v>
      </c>
      <c r="E542" s="17"/>
      <c r="G542" s="17">
        <v>45569.0</v>
      </c>
      <c r="H542" s="10" t="s">
        <v>31</v>
      </c>
      <c r="I542" s="16" t="s">
        <v>603</v>
      </c>
      <c r="J542" s="16" t="s">
        <v>43</v>
      </c>
      <c r="K542" s="23" t="s">
        <v>33</v>
      </c>
      <c r="L542" s="31" t="s">
        <v>56</v>
      </c>
      <c r="N542" s="16"/>
      <c r="O542" s="16"/>
      <c r="P542" s="16"/>
      <c r="Q542" s="17">
        <f t="shared" si="1"/>
        <v>45561</v>
      </c>
      <c r="S542" s="20"/>
      <c r="T542" s="20"/>
      <c r="U542" s="20"/>
      <c r="V542" s="20"/>
      <c r="W542" s="20"/>
      <c r="X542" s="20"/>
    </row>
    <row r="543" hidden="1">
      <c r="A543" s="16" t="s">
        <v>213</v>
      </c>
      <c r="B543" s="17">
        <v>45561.0</v>
      </c>
      <c r="C543" s="16" t="s">
        <v>245</v>
      </c>
      <c r="E543" s="8"/>
      <c r="F543" s="17"/>
      <c r="G543" s="8">
        <v>45621.0</v>
      </c>
      <c r="H543" s="10" t="s">
        <v>31</v>
      </c>
      <c r="J543" s="16" t="s">
        <v>43</v>
      </c>
      <c r="K543" s="23" t="s">
        <v>33</v>
      </c>
      <c r="L543" s="51">
        <v>300.0</v>
      </c>
      <c r="N543" s="16"/>
      <c r="O543" s="16"/>
      <c r="P543" s="16" t="s">
        <v>34</v>
      </c>
      <c r="Q543" s="17">
        <f t="shared" si="1"/>
        <v>45561</v>
      </c>
      <c r="R543" s="81">
        <f>L543*0.3</f>
        <v>90</v>
      </c>
      <c r="S543" s="20"/>
      <c r="T543" s="68" t="str">
        <f>VLOOKUP(A543,'Calendar ID'!$A:$C,3,false)</f>
        <v>anaiswry@yahoo.fr</v>
      </c>
      <c r="U543" s="78" t="b">
        <v>0</v>
      </c>
      <c r="V543" s="68" t="str">
        <f>VLOOKUP($A543,'Calendar ID'!$A:$C,2,false)</f>
        <v>c_2754856c5047affc6767bb85fb787591389bf7d14d3afd368efdff9979492ab5@group.calendar.google.com</v>
      </c>
      <c r="W543" s="69" t="b">
        <v>1</v>
      </c>
      <c r="X543" s="70" t="s">
        <v>82</v>
      </c>
    </row>
    <row r="544" hidden="1">
      <c r="A544" s="16" t="s">
        <v>450</v>
      </c>
      <c r="B544" s="17">
        <v>45806.0</v>
      </c>
      <c r="C544" s="16" t="s">
        <v>79</v>
      </c>
      <c r="E544" s="58">
        <v>45833.0</v>
      </c>
      <c r="F544" s="17"/>
      <c r="G544" s="17"/>
      <c r="H544" s="10" t="s">
        <v>31</v>
      </c>
      <c r="I544" s="16" t="s">
        <v>602</v>
      </c>
      <c r="J544" s="16" t="s">
        <v>97</v>
      </c>
      <c r="K544" s="7" t="s">
        <v>33</v>
      </c>
      <c r="L544" s="31" t="s">
        <v>56</v>
      </c>
      <c r="N544" s="16"/>
      <c r="O544" s="16"/>
      <c r="P544" s="23"/>
      <c r="Q544" s="17">
        <f t="shared" si="1"/>
        <v>45806</v>
      </c>
      <c r="R544" s="15"/>
      <c r="S544" s="20"/>
      <c r="T544" s="68"/>
      <c r="U544" s="77"/>
      <c r="V544" s="68"/>
      <c r="W544" s="71"/>
      <c r="X544" s="20"/>
    </row>
    <row r="545">
      <c r="A545" s="16" t="s">
        <v>468</v>
      </c>
      <c r="B545" s="17">
        <v>45827.0</v>
      </c>
      <c r="C545" s="16" t="s">
        <v>575</v>
      </c>
      <c r="E545" s="66">
        <v>45864.0</v>
      </c>
      <c r="F545" s="17"/>
      <c r="G545" s="17"/>
      <c r="H545" s="10" t="s">
        <v>567</v>
      </c>
      <c r="I545" s="16" t="s">
        <v>180</v>
      </c>
      <c r="J545" s="16" t="s">
        <v>43</v>
      </c>
      <c r="K545" s="23" t="s">
        <v>33</v>
      </c>
      <c r="L545" s="31">
        <v>300.0</v>
      </c>
      <c r="N545" s="16"/>
      <c r="O545" s="16"/>
      <c r="P545" s="16" t="s">
        <v>34</v>
      </c>
      <c r="Q545" s="17">
        <f t="shared" si="1"/>
        <v>45827</v>
      </c>
      <c r="R545" s="18">
        <f>L545*0.3</f>
        <v>90</v>
      </c>
      <c r="S545" s="20"/>
      <c r="T545" s="68"/>
      <c r="U545" s="77"/>
      <c r="V545" s="68"/>
      <c r="W545" s="71"/>
      <c r="X545" s="20"/>
    </row>
    <row r="546" hidden="1">
      <c r="A546" s="16" t="s">
        <v>42</v>
      </c>
      <c r="B546" s="17">
        <v>45827.0</v>
      </c>
      <c r="C546" s="16" t="s">
        <v>220</v>
      </c>
      <c r="E546" s="17"/>
      <c r="F546" s="17"/>
      <c r="G546" s="17"/>
      <c r="H546" s="10" t="s">
        <v>31</v>
      </c>
      <c r="I546" s="16" t="s">
        <v>324</v>
      </c>
      <c r="J546" s="16" t="s">
        <v>43</v>
      </c>
      <c r="K546" s="23" t="s">
        <v>33</v>
      </c>
      <c r="L546" s="31">
        <v>800.0</v>
      </c>
      <c r="N546" s="16"/>
      <c r="O546" s="16"/>
      <c r="P546" s="16" t="s">
        <v>34</v>
      </c>
      <c r="Q546" s="17">
        <f t="shared" si="1"/>
        <v>45827</v>
      </c>
      <c r="R546" s="18">
        <f>L546*0.25</f>
        <v>200</v>
      </c>
      <c r="S546" s="20"/>
      <c r="T546" s="68"/>
      <c r="U546" s="77"/>
      <c r="V546" s="68"/>
      <c r="W546" s="71"/>
      <c r="X546" s="20"/>
    </row>
    <row r="547">
      <c r="A547" s="16" t="s">
        <v>436</v>
      </c>
      <c r="B547" s="17">
        <v>45827.0</v>
      </c>
      <c r="C547" s="16" t="s">
        <v>575</v>
      </c>
      <c r="D547" s="153" t="s">
        <v>604</v>
      </c>
      <c r="E547" s="66">
        <v>45864.0</v>
      </c>
      <c r="F547" s="17"/>
      <c r="G547" s="17"/>
      <c r="H547" s="10" t="s">
        <v>567</v>
      </c>
      <c r="I547" s="16" t="s">
        <v>180</v>
      </c>
      <c r="J547" s="16" t="s">
        <v>43</v>
      </c>
      <c r="K547" s="23" t="s">
        <v>33</v>
      </c>
      <c r="L547" s="31">
        <v>300.0</v>
      </c>
      <c r="N547" s="16"/>
      <c r="O547" s="16"/>
      <c r="P547" s="16" t="s">
        <v>34</v>
      </c>
      <c r="Q547" s="17">
        <f t="shared" si="1"/>
        <v>45827</v>
      </c>
      <c r="R547" s="18">
        <f t="shared" ref="R547:R550" si="105">L547*0.3</f>
        <v>90</v>
      </c>
      <c r="S547" s="20"/>
      <c r="T547" s="68"/>
      <c r="U547" s="77"/>
      <c r="V547" s="68"/>
      <c r="W547" s="71"/>
      <c r="X547" s="20"/>
    </row>
    <row r="548">
      <c r="A548" s="16" t="s">
        <v>583</v>
      </c>
      <c r="B548" s="17">
        <v>45827.0</v>
      </c>
      <c r="C548" s="16" t="s">
        <v>575</v>
      </c>
      <c r="E548" s="66">
        <v>45864.0</v>
      </c>
      <c r="F548" s="17"/>
      <c r="G548" s="17"/>
      <c r="H548" s="10"/>
      <c r="I548" s="16" t="s">
        <v>180</v>
      </c>
      <c r="J548" s="16" t="s">
        <v>43</v>
      </c>
      <c r="K548" s="23" t="s">
        <v>33</v>
      </c>
      <c r="L548" s="31">
        <v>300.0</v>
      </c>
      <c r="N548" s="16"/>
      <c r="O548" s="16"/>
      <c r="P548" s="16" t="s">
        <v>34</v>
      </c>
      <c r="Q548" s="17">
        <f t="shared" si="1"/>
        <v>45827</v>
      </c>
      <c r="R548" s="18">
        <f t="shared" si="105"/>
        <v>90</v>
      </c>
      <c r="S548" s="20"/>
      <c r="T548" s="68"/>
      <c r="U548" s="77"/>
      <c r="V548" s="68"/>
      <c r="W548" s="71"/>
      <c r="X548" s="20"/>
    </row>
    <row r="549">
      <c r="A549" s="128" t="s">
        <v>91</v>
      </c>
      <c r="B549" s="17">
        <v>45804.0</v>
      </c>
      <c r="C549" s="16" t="s">
        <v>261</v>
      </c>
      <c r="D549" s="149" t="s">
        <v>605</v>
      </c>
      <c r="E549" s="158">
        <v>45865.0</v>
      </c>
      <c r="F549" s="17"/>
      <c r="G549" s="72">
        <v>45866.0</v>
      </c>
      <c r="H549" s="10" t="s">
        <v>567</v>
      </c>
      <c r="J549" s="16" t="s">
        <v>43</v>
      </c>
      <c r="K549" s="16" t="s">
        <v>33</v>
      </c>
      <c r="L549" s="31">
        <f>2174/10</f>
        <v>217.4</v>
      </c>
      <c r="N549" s="16"/>
      <c r="O549" s="16"/>
      <c r="P549" s="10" t="s">
        <v>34</v>
      </c>
      <c r="Q549" s="17">
        <f t="shared" si="1"/>
        <v>45804</v>
      </c>
      <c r="R549" s="18">
        <f t="shared" si="105"/>
        <v>65.22</v>
      </c>
      <c r="S549" s="20"/>
      <c r="T549" s="68" t="str">
        <f>VLOOKUP(A549,'Calendar ID'!$A:$C,3,false)</f>
        <v>juliane.bernard57@icloud.com</v>
      </c>
      <c r="U549" s="71" t="b">
        <v>0</v>
      </c>
      <c r="V549" s="68" t="str">
        <f>VLOOKUP($A549,'Calendar ID'!$A:$C,2,false)</f>
        <v>c_f6970d92e9be72b1307e3c015a265d69ae87140c691e7728bc83462544d82455@group.calendar.google.com</v>
      </c>
      <c r="W549" s="71" t="b">
        <v>0</v>
      </c>
      <c r="X549" s="68" t="str">
        <f>VLOOKUP($A549,'Calendar ID'!$A:$C,2,false)</f>
        <v>c_f6970d92e9be72b1307e3c015a265d69ae87140c691e7728bc83462544d82455@group.calendar.google.com</v>
      </c>
    </row>
    <row r="550">
      <c r="A550" s="16" t="s">
        <v>353</v>
      </c>
      <c r="B550" s="17">
        <v>45834.0</v>
      </c>
      <c r="C550" s="16" t="s">
        <v>606</v>
      </c>
      <c r="E550" s="72">
        <v>45866.0</v>
      </c>
      <c r="F550" s="17"/>
      <c r="G550" s="17"/>
      <c r="H550" s="10" t="s">
        <v>567</v>
      </c>
      <c r="J550" s="16" t="s">
        <v>43</v>
      </c>
      <c r="K550" s="23" t="s">
        <v>33</v>
      </c>
      <c r="L550" s="31">
        <v>840.0</v>
      </c>
      <c r="N550" s="16"/>
      <c r="O550" s="16"/>
      <c r="P550" s="16" t="s">
        <v>34</v>
      </c>
      <c r="Q550" s="17">
        <f t="shared" si="1"/>
        <v>45834</v>
      </c>
      <c r="R550" s="18">
        <f t="shared" si="105"/>
        <v>252</v>
      </c>
      <c r="S550" s="20"/>
      <c r="T550" s="68"/>
      <c r="U550" s="77"/>
      <c r="V550" s="68"/>
      <c r="W550" s="71"/>
      <c r="X550" s="20"/>
    </row>
    <row r="551" hidden="1">
      <c r="A551" s="128" t="s">
        <v>244</v>
      </c>
      <c r="B551" s="17">
        <v>45806.0</v>
      </c>
      <c r="C551" s="16" t="s">
        <v>79</v>
      </c>
      <c r="E551" s="58">
        <v>45833.0</v>
      </c>
      <c r="F551" s="17"/>
      <c r="G551" s="17"/>
      <c r="H551" s="10" t="s">
        <v>31</v>
      </c>
      <c r="I551" s="16" t="s">
        <v>602</v>
      </c>
      <c r="J551" s="16" t="s">
        <v>97</v>
      </c>
      <c r="K551" s="7" t="s">
        <v>33</v>
      </c>
      <c r="L551" s="31" t="s">
        <v>56</v>
      </c>
      <c r="N551" s="16"/>
      <c r="O551" s="16"/>
      <c r="P551" s="23"/>
      <c r="Q551" s="17">
        <f t="shared" si="1"/>
        <v>45806</v>
      </c>
      <c r="R551" s="15"/>
      <c r="S551" s="20"/>
      <c r="T551" s="68"/>
      <c r="U551" s="77"/>
      <c r="V551" s="68"/>
      <c r="W551" s="71"/>
      <c r="X551" s="20"/>
    </row>
    <row r="552">
      <c r="A552" s="16" t="s">
        <v>353</v>
      </c>
      <c r="B552" s="17">
        <v>45838.0</v>
      </c>
      <c r="C552" s="16" t="s">
        <v>199</v>
      </c>
      <c r="D552" s="16" t="s">
        <v>607</v>
      </c>
      <c r="E552" s="72">
        <v>45866.0</v>
      </c>
      <c r="F552" s="17"/>
      <c r="G552" s="17"/>
      <c r="H552" s="10" t="s">
        <v>567</v>
      </c>
      <c r="J552" s="16" t="s">
        <v>43</v>
      </c>
      <c r="K552" s="23" t="s">
        <v>33</v>
      </c>
      <c r="L552" s="31">
        <f>700*0.86</f>
        <v>602</v>
      </c>
      <c r="N552" s="16"/>
      <c r="O552" s="16"/>
      <c r="P552" s="16" t="s">
        <v>34</v>
      </c>
      <c r="Q552" s="17">
        <f t="shared" si="1"/>
        <v>45838</v>
      </c>
      <c r="R552" s="18">
        <f t="shared" ref="R552:R554" si="106">L552*0.3</f>
        <v>180.6</v>
      </c>
      <c r="S552" s="20"/>
      <c r="T552" s="68"/>
      <c r="U552" s="77"/>
      <c r="V552" s="68"/>
      <c r="W552" s="71"/>
      <c r="X552" s="20"/>
    </row>
    <row r="553" hidden="1">
      <c r="A553" s="16" t="s">
        <v>215</v>
      </c>
      <c r="B553" s="17">
        <v>45838.0</v>
      </c>
      <c r="C553" s="16" t="s">
        <v>222</v>
      </c>
      <c r="E553" s="72">
        <v>45866.0</v>
      </c>
      <c r="F553" s="17"/>
      <c r="G553" s="72">
        <v>45867.0</v>
      </c>
      <c r="H553" s="10" t="s">
        <v>31</v>
      </c>
      <c r="J553" s="16" t="s">
        <v>43</v>
      </c>
      <c r="K553" s="23" t="s">
        <v>33</v>
      </c>
      <c r="L553" s="31">
        <v>400.0</v>
      </c>
      <c r="N553" s="16"/>
      <c r="O553" s="16"/>
      <c r="P553" s="16" t="s">
        <v>34</v>
      </c>
      <c r="Q553" s="17">
        <f t="shared" si="1"/>
        <v>45838</v>
      </c>
      <c r="R553" s="18">
        <f t="shared" si="106"/>
        <v>120</v>
      </c>
      <c r="S553" s="20"/>
      <c r="T553" s="68"/>
      <c r="U553" s="77"/>
      <c r="V553" s="68"/>
      <c r="W553" s="71"/>
      <c r="X553" s="20"/>
    </row>
    <row r="554">
      <c r="A554" s="16" t="s">
        <v>237</v>
      </c>
      <c r="B554" s="17">
        <v>45825.0</v>
      </c>
      <c r="C554" s="16" t="s">
        <v>79</v>
      </c>
      <c r="D554" s="7" t="s">
        <v>608</v>
      </c>
      <c r="E554" s="72">
        <v>45867.0</v>
      </c>
      <c r="F554" s="17"/>
      <c r="G554" s="73">
        <v>45876.0</v>
      </c>
      <c r="H554" s="10" t="s">
        <v>567</v>
      </c>
      <c r="I554" s="16"/>
      <c r="J554" s="16" t="s">
        <v>43</v>
      </c>
      <c r="K554" s="23" t="s">
        <v>33</v>
      </c>
      <c r="L554" s="31">
        <f>800/3</f>
        <v>266.6666667</v>
      </c>
      <c r="N554" s="16"/>
      <c r="O554" s="16"/>
      <c r="P554" s="16" t="s">
        <v>34</v>
      </c>
      <c r="Q554" s="17">
        <f t="shared" si="1"/>
        <v>45825</v>
      </c>
      <c r="R554" s="18">
        <f t="shared" si="106"/>
        <v>80</v>
      </c>
      <c r="S554" s="20"/>
      <c r="T554" s="68"/>
      <c r="U554" s="77"/>
      <c r="V554" s="68"/>
      <c r="W554" s="71"/>
      <c r="X554" s="20"/>
    </row>
    <row r="555" hidden="1">
      <c r="A555" s="23" t="s">
        <v>260</v>
      </c>
      <c r="B555" s="17">
        <v>45818.0</v>
      </c>
      <c r="C555" s="16" t="s">
        <v>160</v>
      </c>
      <c r="E555" s="17"/>
      <c r="F555" s="17"/>
      <c r="G555" s="58">
        <v>45833.0</v>
      </c>
      <c r="H555" s="10" t="s">
        <v>31</v>
      </c>
      <c r="I555" s="16" t="s">
        <v>496</v>
      </c>
      <c r="J555" s="16" t="s">
        <v>97</v>
      </c>
      <c r="K555" s="23" t="s">
        <v>33</v>
      </c>
      <c r="L555" s="31" t="s">
        <v>56</v>
      </c>
      <c r="N555" s="159" t="s">
        <v>609</v>
      </c>
      <c r="O555" s="16"/>
      <c r="P555" s="23"/>
      <c r="Q555" s="17">
        <f t="shared" si="1"/>
        <v>45818</v>
      </c>
      <c r="R555" s="15"/>
      <c r="S555" s="20"/>
      <c r="T555" s="68"/>
      <c r="U555" s="77"/>
      <c r="V555" s="68"/>
      <c r="W555" s="71"/>
      <c r="X555" s="20"/>
    </row>
    <row r="556" hidden="1">
      <c r="A556" s="23" t="s">
        <v>443</v>
      </c>
      <c r="B556" s="17">
        <v>45818.0</v>
      </c>
      <c r="C556" s="16" t="s">
        <v>160</v>
      </c>
      <c r="E556" s="17"/>
      <c r="F556" s="17"/>
      <c r="G556" s="58">
        <v>45833.0</v>
      </c>
      <c r="H556" s="10" t="s">
        <v>31</v>
      </c>
      <c r="I556" s="16" t="s">
        <v>496</v>
      </c>
      <c r="J556" s="16" t="s">
        <v>97</v>
      </c>
      <c r="K556" s="23" t="s">
        <v>33</v>
      </c>
      <c r="L556" s="31" t="s">
        <v>56</v>
      </c>
      <c r="N556" s="65" t="s">
        <v>610</v>
      </c>
      <c r="O556" s="16"/>
      <c r="P556" s="23"/>
      <c r="Q556" s="17">
        <f t="shared" si="1"/>
        <v>45818</v>
      </c>
      <c r="R556" s="15"/>
      <c r="S556" s="20"/>
      <c r="T556" s="68"/>
      <c r="U556" s="77"/>
      <c r="V556" s="68"/>
      <c r="W556" s="71"/>
      <c r="X556" s="20"/>
    </row>
    <row r="557" hidden="1">
      <c r="A557" s="23" t="s">
        <v>611</v>
      </c>
      <c r="B557" s="17">
        <v>45818.0</v>
      </c>
      <c r="C557" s="16" t="s">
        <v>160</v>
      </c>
      <c r="E557" s="17"/>
      <c r="F557" s="17"/>
      <c r="G557" s="58">
        <v>45833.0</v>
      </c>
      <c r="H557" s="10" t="s">
        <v>31</v>
      </c>
      <c r="I557" s="16" t="s">
        <v>496</v>
      </c>
      <c r="J557" s="16" t="s">
        <v>97</v>
      </c>
      <c r="K557" s="23" t="s">
        <v>33</v>
      </c>
      <c r="L557" s="31" t="s">
        <v>56</v>
      </c>
      <c r="N557" s="65" t="s">
        <v>612</v>
      </c>
      <c r="O557" s="16"/>
      <c r="P557" s="23"/>
      <c r="Q557" s="17">
        <f t="shared" si="1"/>
        <v>45818</v>
      </c>
      <c r="R557" s="15"/>
      <c r="S557" s="20"/>
      <c r="T557" s="68"/>
      <c r="U557" s="77"/>
      <c r="V557" s="68"/>
      <c r="W557" s="71"/>
      <c r="X557" s="20"/>
    </row>
    <row r="558" hidden="1">
      <c r="A558" s="23" t="s">
        <v>391</v>
      </c>
      <c r="B558" s="17">
        <v>45818.0</v>
      </c>
      <c r="C558" s="16" t="s">
        <v>160</v>
      </c>
      <c r="E558" s="17"/>
      <c r="F558" s="17"/>
      <c r="G558" s="58">
        <v>45833.0</v>
      </c>
      <c r="H558" s="10" t="s">
        <v>31</v>
      </c>
      <c r="I558" s="16" t="s">
        <v>496</v>
      </c>
      <c r="J558" s="16" t="s">
        <v>97</v>
      </c>
      <c r="K558" s="23" t="s">
        <v>33</v>
      </c>
      <c r="L558" s="31" t="s">
        <v>56</v>
      </c>
      <c r="N558" s="65" t="s">
        <v>613</v>
      </c>
      <c r="O558" s="16"/>
      <c r="P558" s="23"/>
      <c r="Q558" s="17">
        <f t="shared" si="1"/>
        <v>45818</v>
      </c>
      <c r="R558" s="15"/>
      <c r="S558" s="20"/>
      <c r="T558" s="68"/>
      <c r="U558" s="77"/>
      <c r="V558" s="68"/>
      <c r="W558" s="71"/>
      <c r="X558" s="20"/>
    </row>
    <row r="559" hidden="1">
      <c r="A559" s="128" t="s">
        <v>91</v>
      </c>
      <c r="B559" s="17">
        <v>45804.0</v>
      </c>
      <c r="C559" s="16" t="s">
        <v>614</v>
      </c>
      <c r="E559" s="58">
        <v>45834.0</v>
      </c>
      <c r="F559" s="17"/>
      <c r="G559" s="64">
        <v>45846.0</v>
      </c>
      <c r="H559" s="10" t="s">
        <v>31</v>
      </c>
      <c r="I559" s="16" t="s">
        <v>615</v>
      </c>
      <c r="J559" s="16" t="s">
        <v>43</v>
      </c>
      <c r="K559" s="16" t="s">
        <v>33</v>
      </c>
      <c r="L559" s="31">
        <v>190.0</v>
      </c>
      <c r="N559" s="16"/>
      <c r="O559" s="16"/>
      <c r="P559" s="10" t="s">
        <v>34</v>
      </c>
      <c r="Q559" s="17">
        <f t="shared" si="1"/>
        <v>45804</v>
      </c>
      <c r="R559" s="18">
        <f>L559*0.3</f>
        <v>57</v>
      </c>
      <c r="S559" s="20"/>
      <c r="T559" s="68" t="str">
        <f>VLOOKUP(A559,'Calendar ID'!$A:$C,3,false)</f>
        <v>juliane.bernard57@icloud.com</v>
      </c>
      <c r="U559" s="71" t="b">
        <v>0</v>
      </c>
      <c r="V559" s="68" t="str">
        <f>VLOOKUP($A559,'Calendar ID'!$A:$C,2,false)</f>
        <v>c_f6970d92e9be72b1307e3c015a265d69ae87140c691e7728bc83462544d82455@group.calendar.google.com</v>
      </c>
      <c r="W559" s="71" t="b">
        <v>0</v>
      </c>
      <c r="X559" s="68" t="str">
        <f>VLOOKUP($A559,'Calendar ID'!$A:$C,2,false)</f>
        <v>c_f6970d92e9be72b1307e3c015a265d69ae87140c691e7728bc83462544d82455@group.calendar.google.com</v>
      </c>
    </row>
    <row r="560" hidden="1">
      <c r="A560" s="23" t="s">
        <v>89</v>
      </c>
      <c r="B560" s="17">
        <v>45818.0</v>
      </c>
      <c r="C560" s="16" t="s">
        <v>160</v>
      </c>
      <c r="E560" s="17"/>
      <c r="F560" s="17"/>
      <c r="G560" s="58">
        <v>45833.0</v>
      </c>
      <c r="H560" s="10" t="s">
        <v>31</v>
      </c>
      <c r="I560" s="16" t="s">
        <v>496</v>
      </c>
      <c r="J560" s="16" t="s">
        <v>97</v>
      </c>
      <c r="K560" s="23" t="s">
        <v>33</v>
      </c>
      <c r="L560" s="31" t="s">
        <v>56</v>
      </c>
      <c r="N560" s="65" t="s">
        <v>616</v>
      </c>
      <c r="O560" s="16"/>
      <c r="P560" s="23"/>
      <c r="Q560" s="17">
        <f t="shared" si="1"/>
        <v>45818</v>
      </c>
      <c r="R560" s="15"/>
      <c r="S560" s="20"/>
      <c r="T560" s="68"/>
      <c r="U560" s="77"/>
      <c r="V560" s="68"/>
      <c r="W560" s="71"/>
      <c r="X560" s="20"/>
    </row>
    <row r="561" hidden="1">
      <c r="A561" s="23" t="s">
        <v>39</v>
      </c>
      <c r="B561" s="17">
        <v>45818.0</v>
      </c>
      <c r="C561" s="16" t="s">
        <v>160</v>
      </c>
      <c r="E561" s="17"/>
      <c r="F561" s="17"/>
      <c r="G561" s="58">
        <v>45833.0</v>
      </c>
      <c r="H561" s="10" t="s">
        <v>31</v>
      </c>
      <c r="I561" s="16" t="s">
        <v>496</v>
      </c>
      <c r="J561" s="16" t="s">
        <v>97</v>
      </c>
      <c r="K561" s="23" t="s">
        <v>33</v>
      </c>
      <c r="L561" s="31" t="s">
        <v>56</v>
      </c>
      <c r="N561" s="65" t="s">
        <v>617</v>
      </c>
      <c r="O561" s="16"/>
      <c r="P561" s="23"/>
      <c r="Q561" s="17">
        <f t="shared" si="1"/>
        <v>45818</v>
      </c>
      <c r="R561" s="15"/>
      <c r="S561" s="20"/>
      <c r="T561" s="68"/>
      <c r="U561" s="77"/>
      <c r="V561" s="68"/>
      <c r="W561" s="71"/>
      <c r="X561" s="20"/>
    </row>
    <row r="562" hidden="1">
      <c r="A562" s="23" t="s">
        <v>76</v>
      </c>
      <c r="B562" s="17">
        <v>45818.0</v>
      </c>
      <c r="C562" s="16" t="s">
        <v>160</v>
      </c>
      <c r="E562" s="17"/>
      <c r="F562" s="17"/>
      <c r="G562" s="58">
        <v>45833.0</v>
      </c>
      <c r="H562" s="10" t="s">
        <v>31</v>
      </c>
      <c r="I562" s="16" t="s">
        <v>496</v>
      </c>
      <c r="J562" s="16" t="s">
        <v>97</v>
      </c>
      <c r="K562" s="23" t="s">
        <v>33</v>
      </c>
      <c r="L562" s="31" t="s">
        <v>56</v>
      </c>
      <c r="N562" s="65" t="s">
        <v>618</v>
      </c>
      <c r="O562" s="16"/>
      <c r="P562" s="23"/>
      <c r="Q562" s="17">
        <f t="shared" si="1"/>
        <v>45818</v>
      </c>
      <c r="R562" s="15"/>
      <c r="S562" s="20"/>
      <c r="T562" s="68"/>
      <c r="U562" s="77"/>
      <c r="V562" s="68"/>
      <c r="W562" s="71"/>
      <c r="X562" s="20"/>
    </row>
    <row r="563" hidden="1">
      <c r="A563" s="23" t="s">
        <v>29</v>
      </c>
      <c r="B563" s="17">
        <v>45818.0</v>
      </c>
      <c r="C563" s="16" t="s">
        <v>160</v>
      </c>
      <c r="E563" s="17"/>
      <c r="F563" s="17"/>
      <c r="G563" s="58">
        <v>45833.0</v>
      </c>
      <c r="H563" s="10" t="s">
        <v>31</v>
      </c>
      <c r="I563" s="16" t="s">
        <v>496</v>
      </c>
      <c r="J563" s="16" t="s">
        <v>97</v>
      </c>
      <c r="K563" s="23" t="s">
        <v>33</v>
      </c>
      <c r="L563" s="31" t="s">
        <v>56</v>
      </c>
      <c r="N563" s="65" t="s">
        <v>619</v>
      </c>
      <c r="O563" s="16"/>
      <c r="P563" s="23"/>
      <c r="Q563" s="17">
        <f t="shared" si="1"/>
        <v>45818</v>
      </c>
      <c r="R563" s="15"/>
      <c r="S563" s="20"/>
      <c r="T563" s="68"/>
      <c r="U563" s="77"/>
      <c r="V563" s="68"/>
      <c r="W563" s="71"/>
      <c r="X563" s="20"/>
    </row>
    <row r="564" hidden="1">
      <c r="A564" s="16" t="s">
        <v>436</v>
      </c>
      <c r="B564" s="17">
        <v>45825.0</v>
      </c>
      <c r="C564" s="16" t="s">
        <v>399</v>
      </c>
      <c r="E564" s="72">
        <v>45867.0</v>
      </c>
      <c r="F564" s="17"/>
      <c r="G564" s="72">
        <v>45866.0</v>
      </c>
      <c r="H564" s="10" t="s">
        <v>31</v>
      </c>
      <c r="J564" s="16" t="s">
        <v>43</v>
      </c>
      <c r="K564" s="23" t="s">
        <v>33</v>
      </c>
      <c r="L564" s="31">
        <v>200.0</v>
      </c>
      <c r="N564" s="65" t="s">
        <v>620</v>
      </c>
      <c r="O564" s="16"/>
      <c r="P564" s="16" t="s">
        <v>34</v>
      </c>
      <c r="Q564" s="17">
        <f t="shared" si="1"/>
        <v>45825</v>
      </c>
      <c r="R564" s="18">
        <f>L564*0.3</f>
        <v>60</v>
      </c>
      <c r="S564" s="20"/>
      <c r="T564" s="68"/>
      <c r="U564" s="77"/>
      <c r="V564" s="68"/>
      <c r="W564" s="71"/>
      <c r="X564" s="20"/>
    </row>
    <row r="565" hidden="1">
      <c r="A565" s="16" t="s">
        <v>208</v>
      </c>
      <c r="B565" s="17">
        <v>45771.0</v>
      </c>
      <c r="C565" s="16" t="s">
        <v>621</v>
      </c>
      <c r="E565" s="17"/>
      <c r="F565" s="17"/>
      <c r="G565" s="52">
        <v>45817.0</v>
      </c>
      <c r="H565" s="10" t="s">
        <v>31</v>
      </c>
      <c r="I565" s="16" t="s">
        <v>622</v>
      </c>
      <c r="J565" s="16" t="s">
        <v>43</v>
      </c>
      <c r="K565" s="16" t="s">
        <v>33</v>
      </c>
      <c r="L565" s="31"/>
      <c r="N565" s="16"/>
      <c r="O565" s="16"/>
      <c r="P565" s="10"/>
      <c r="Q565" s="17"/>
      <c r="S565" s="20"/>
      <c r="T565" s="68" t="str">
        <f>VLOOKUP(A565,'Calendar ID'!$A:$C,3,false)</f>
        <v>#N/A</v>
      </c>
      <c r="U565" s="71" t="b">
        <v>0</v>
      </c>
      <c r="V565" s="68" t="str">
        <f>VLOOKUP($A565,'Calendar ID'!$A:$C,2,false)</f>
        <v>#N/A</v>
      </c>
      <c r="W565" s="71" t="b">
        <v>0</v>
      </c>
      <c r="X565" s="68" t="str">
        <f>VLOOKUP($A565,'Calendar ID'!$A:$C,2,false)</f>
        <v>#N/A</v>
      </c>
    </row>
    <row r="566" hidden="1">
      <c r="A566" s="16" t="s">
        <v>623</v>
      </c>
      <c r="B566" s="17">
        <v>45723.0</v>
      </c>
      <c r="C566" s="16" t="s">
        <v>30</v>
      </c>
      <c r="E566" s="17"/>
      <c r="G566" s="17"/>
      <c r="H566" s="10" t="s">
        <v>31</v>
      </c>
      <c r="J566" s="16" t="s">
        <v>43</v>
      </c>
      <c r="K566" s="16" t="s">
        <v>33</v>
      </c>
      <c r="L566" s="31">
        <v>1800.0</v>
      </c>
      <c r="N566" s="16"/>
      <c r="O566" s="16"/>
      <c r="P566" s="23" t="s">
        <v>34</v>
      </c>
      <c r="Q566" s="17">
        <f t="shared" ref="Q566:Q1251" si="107">B566</f>
        <v>45723</v>
      </c>
      <c r="R566" s="16">
        <v>1733.0</v>
      </c>
      <c r="S566" s="20"/>
      <c r="T566" s="68" t="str">
        <f>VLOOKUP(A566,'Calendar ID'!$A:$C,3,false)</f>
        <v>#N/A</v>
      </c>
      <c r="U566" s="71" t="b">
        <v>0</v>
      </c>
      <c r="V566" s="68" t="str">
        <f>VLOOKUP($A566,'Calendar ID'!$A:$C,2,false)</f>
        <v>#N/A</v>
      </c>
      <c r="W566" s="71" t="b">
        <v>0</v>
      </c>
      <c r="X566" s="68" t="str">
        <f>VLOOKUP($A566,'Calendar ID'!$A:$C,2,false)</f>
        <v>#N/A</v>
      </c>
    </row>
    <row r="567" hidden="1">
      <c r="A567" s="7" t="s">
        <v>237</v>
      </c>
      <c r="B567" s="17">
        <v>45762.0</v>
      </c>
      <c r="C567" s="10" t="s">
        <v>624</v>
      </c>
      <c r="E567" s="17"/>
      <c r="F567" s="17"/>
      <c r="G567" s="38">
        <v>45782.0</v>
      </c>
      <c r="H567" s="10" t="s">
        <v>31</v>
      </c>
      <c r="I567" s="16" t="s">
        <v>625</v>
      </c>
      <c r="J567" s="16" t="s">
        <v>593</v>
      </c>
      <c r="K567" s="16" t="s">
        <v>33</v>
      </c>
      <c r="L567" s="31"/>
      <c r="N567" s="16"/>
      <c r="O567" s="16"/>
      <c r="P567" s="23"/>
      <c r="Q567" s="17">
        <f t="shared" si="107"/>
        <v>45762</v>
      </c>
      <c r="R567" s="15"/>
      <c r="S567" s="20"/>
      <c r="T567" s="68"/>
      <c r="U567" s="77"/>
      <c r="V567" s="68"/>
      <c r="W567" s="71"/>
      <c r="X567" s="20"/>
    </row>
    <row r="568" hidden="1">
      <c r="A568" s="16" t="s">
        <v>237</v>
      </c>
      <c r="B568" s="17">
        <v>45543.0</v>
      </c>
      <c r="C568" s="29" t="s">
        <v>626</v>
      </c>
      <c r="E568" s="17"/>
      <c r="F568" s="17">
        <v>45548.0</v>
      </c>
      <c r="G568" s="17">
        <v>45555.0</v>
      </c>
      <c r="H568" s="10" t="s">
        <v>31</v>
      </c>
      <c r="J568" s="16" t="s">
        <v>43</v>
      </c>
      <c r="K568" s="23" t="s">
        <v>33</v>
      </c>
      <c r="L568" s="31" t="s">
        <v>56</v>
      </c>
      <c r="N568" s="65" t="s">
        <v>627</v>
      </c>
      <c r="O568" s="16"/>
      <c r="P568" s="16"/>
      <c r="Q568" s="17">
        <f t="shared" si="107"/>
        <v>45543</v>
      </c>
      <c r="S568" s="20"/>
      <c r="T568" s="68" t="str">
        <f>VLOOKUP(A568,'Calendar ID'!$A:$C,3,false)</f>
        <v>shaaadl.pro@gmail.com</v>
      </c>
      <c r="U568" s="78" t="b">
        <v>0</v>
      </c>
      <c r="V568" s="68" t="str">
        <f>VLOOKUP($A568,'Calendar ID'!$A:$C,2,false)</f>
        <v>c_9384058245a0bc66157c09691047ea8f88622323c6761b8606c18d9b08ee0bf8@group.calendar.google.com</v>
      </c>
      <c r="W568" s="69" t="b">
        <v>1</v>
      </c>
      <c r="X568" s="70" t="s">
        <v>82</v>
      </c>
    </row>
    <row r="569" hidden="1">
      <c r="A569" s="16" t="s">
        <v>237</v>
      </c>
      <c r="B569" s="17">
        <v>45549.0</v>
      </c>
      <c r="C569" s="16" t="s">
        <v>628</v>
      </c>
      <c r="E569" s="17"/>
      <c r="G569" s="17">
        <v>45575.0</v>
      </c>
      <c r="H569" s="10" t="s">
        <v>31</v>
      </c>
      <c r="J569" s="16" t="s">
        <v>266</v>
      </c>
      <c r="K569" s="23" t="s">
        <v>33</v>
      </c>
      <c r="L569" s="31" t="s">
        <v>56</v>
      </c>
      <c r="N569" s="16"/>
      <c r="O569" s="16"/>
      <c r="P569" s="16"/>
      <c r="Q569" s="17">
        <f t="shared" si="107"/>
        <v>45549</v>
      </c>
      <c r="S569" s="20"/>
      <c r="T569" s="68" t="str">
        <f>VLOOKUP(A569,'Calendar ID'!$A:$C,3,false)</f>
        <v>shaaadl.pro@gmail.com</v>
      </c>
      <c r="U569" s="78" t="b">
        <v>0</v>
      </c>
      <c r="V569" s="68" t="str">
        <f>VLOOKUP($A569,'Calendar ID'!$A:$C,2,false)</f>
        <v>c_9384058245a0bc66157c09691047ea8f88622323c6761b8606c18d9b08ee0bf8@group.calendar.google.com</v>
      </c>
      <c r="W569" s="71" t="b">
        <v>0</v>
      </c>
      <c r="X569" s="68" t="str">
        <f>VLOOKUP($A569,'Calendar ID'!$A:$C,2,false)</f>
        <v>c_9384058245a0bc66157c09691047ea8f88622323c6761b8606c18d9b08ee0bf8@group.calendar.google.com</v>
      </c>
    </row>
    <row r="570" hidden="1">
      <c r="A570" s="16" t="s">
        <v>237</v>
      </c>
      <c r="B570" s="17">
        <v>45573.0</v>
      </c>
      <c r="C570" s="16" t="s">
        <v>629</v>
      </c>
      <c r="E570" s="17"/>
      <c r="G570" s="17">
        <v>45590.0</v>
      </c>
      <c r="H570" s="10" t="s">
        <v>31</v>
      </c>
      <c r="J570" s="16" t="s">
        <v>266</v>
      </c>
      <c r="K570" s="23" t="s">
        <v>33</v>
      </c>
      <c r="L570" s="31" t="s">
        <v>56</v>
      </c>
      <c r="N570" s="16"/>
      <c r="O570" s="16"/>
      <c r="P570" s="16"/>
      <c r="Q570" s="17">
        <f t="shared" si="107"/>
        <v>45573</v>
      </c>
      <c r="S570" s="20"/>
      <c r="T570" s="68" t="str">
        <f>VLOOKUP(A570,'Calendar ID'!$A:$C,3,false)</f>
        <v>shaaadl.pro@gmail.com</v>
      </c>
      <c r="U570" s="78" t="b">
        <v>0</v>
      </c>
      <c r="V570" s="68" t="str">
        <f>VLOOKUP($A570,'Calendar ID'!$A:$C,2,false)</f>
        <v>c_9384058245a0bc66157c09691047ea8f88622323c6761b8606c18d9b08ee0bf8@group.calendar.google.com</v>
      </c>
      <c r="W570" s="71" t="b">
        <v>0</v>
      </c>
      <c r="X570" s="68" t="str">
        <f>VLOOKUP($A570,'Calendar ID'!$A:$C,2,false)</f>
        <v>c_9384058245a0bc66157c09691047ea8f88622323c6761b8606c18d9b08ee0bf8@group.calendar.google.com</v>
      </c>
    </row>
    <row r="571" hidden="1">
      <c r="A571" s="16" t="s">
        <v>237</v>
      </c>
      <c r="B571" s="82">
        <v>45579.0</v>
      </c>
      <c r="C571" s="16" t="s">
        <v>630</v>
      </c>
      <c r="D571" s="16" t="s">
        <v>631</v>
      </c>
      <c r="E571" s="17"/>
      <c r="F571" s="82">
        <v>45581.0</v>
      </c>
      <c r="G571" s="82">
        <v>45595.0</v>
      </c>
      <c r="H571" s="10" t="s">
        <v>31</v>
      </c>
      <c r="J571" s="16" t="s">
        <v>43</v>
      </c>
      <c r="K571" s="23" t="s">
        <v>33</v>
      </c>
      <c r="L571" s="31" t="s">
        <v>56</v>
      </c>
      <c r="N571" s="65" t="s">
        <v>632</v>
      </c>
      <c r="O571" s="16"/>
      <c r="P571" s="16"/>
      <c r="Q571" s="17">
        <f t="shared" si="107"/>
        <v>45579</v>
      </c>
      <c r="S571" s="20"/>
      <c r="T571" s="68" t="str">
        <f>VLOOKUP(A571,'Calendar ID'!$A:$C,3,false)</f>
        <v>shaaadl.pro@gmail.com</v>
      </c>
      <c r="U571" s="78" t="b">
        <v>0</v>
      </c>
      <c r="V571" s="68" t="str">
        <f>VLOOKUP($A571,'Calendar ID'!$A:$C,2,false)</f>
        <v>c_9384058245a0bc66157c09691047ea8f88622323c6761b8606c18d9b08ee0bf8@group.calendar.google.com</v>
      </c>
      <c r="W571" s="69" t="b">
        <v>1</v>
      </c>
      <c r="X571" s="70" t="s">
        <v>82</v>
      </c>
    </row>
    <row r="572" hidden="1">
      <c r="A572" s="16" t="s">
        <v>237</v>
      </c>
      <c r="B572" s="17">
        <v>45609.0</v>
      </c>
      <c r="C572" s="16" t="s">
        <v>633</v>
      </c>
      <c r="E572" s="17"/>
      <c r="F572" s="17">
        <v>45614.0</v>
      </c>
      <c r="G572" s="17">
        <v>45626.0</v>
      </c>
      <c r="H572" s="10" t="s">
        <v>31</v>
      </c>
      <c r="J572" s="16" t="s">
        <v>97</v>
      </c>
      <c r="K572" s="23" t="s">
        <v>33</v>
      </c>
      <c r="L572" s="14" t="s">
        <v>56</v>
      </c>
      <c r="N572" s="16"/>
      <c r="O572" s="16"/>
      <c r="P572" s="16"/>
      <c r="Q572" s="17">
        <f t="shared" si="107"/>
        <v>45609</v>
      </c>
      <c r="S572" s="20"/>
      <c r="T572" s="20" t="str">
        <f>VLOOKUP(A572,'Calendar ID'!$A:$C,3,false)</f>
        <v>shaaadl.pro@gmail.com</v>
      </c>
      <c r="U572" s="20" t="b">
        <v>0</v>
      </c>
      <c r="V572" s="20" t="str">
        <f>VLOOKUP($A572,'Calendar ID'!$A:$C,2,false)</f>
        <v>c_9384058245a0bc66157c09691047ea8f88622323c6761b8606c18d9b08ee0bf8@group.calendar.google.com</v>
      </c>
      <c r="W572" s="19" t="b">
        <v>1</v>
      </c>
      <c r="X572" s="19" t="s">
        <v>82</v>
      </c>
    </row>
    <row r="573" hidden="1">
      <c r="A573" s="16" t="s">
        <v>237</v>
      </c>
      <c r="B573" s="17">
        <v>45636.0</v>
      </c>
      <c r="C573" s="16" t="s">
        <v>634</v>
      </c>
      <c r="E573" s="17"/>
      <c r="F573" s="96">
        <v>45302.0</v>
      </c>
      <c r="G573" s="17">
        <v>45650.0</v>
      </c>
      <c r="H573" s="10" t="s">
        <v>31</v>
      </c>
      <c r="J573" s="16" t="s">
        <v>43</v>
      </c>
      <c r="K573" s="23" t="s">
        <v>33</v>
      </c>
      <c r="L573" s="31" t="s">
        <v>56</v>
      </c>
      <c r="N573" s="55" t="s">
        <v>635</v>
      </c>
      <c r="O573" s="16"/>
      <c r="P573" s="16"/>
      <c r="Q573" s="17">
        <f t="shared" si="107"/>
        <v>45636</v>
      </c>
      <c r="S573" s="20"/>
      <c r="T573" s="68" t="str">
        <f>VLOOKUP(A573,'Calendar ID'!$A:$C,3,false)</f>
        <v>shaaadl.pro@gmail.com</v>
      </c>
      <c r="U573" s="69" t="b">
        <v>0</v>
      </c>
      <c r="V573" s="68" t="str">
        <f>VLOOKUP($A573,'Calendar ID'!$A:$C,2,false)</f>
        <v>c_9384058245a0bc66157c09691047ea8f88622323c6761b8606c18d9b08ee0bf8@group.calendar.google.com</v>
      </c>
      <c r="W573" s="69" t="b">
        <v>1</v>
      </c>
      <c r="X573" s="70" t="s">
        <v>82</v>
      </c>
    </row>
    <row r="574" hidden="1">
      <c r="A574" s="16" t="s">
        <v>237</v>
      </c>
      <c r="B574" s="17">
        <v>45630.0</v>
      </c>
      <c r="C574" s="16" t="s">
        <v>636</v>
      </c>
      <c r="E574" s="17"/>
      <c r="F574" s="17">
        <v>45632.0</v>
      </c>
      <c r="G574" s="17">
        <v>45651.0</v>
      </c>
      <c r="H574" s="10" t="s">
        <v>31</v>
      </c>
      <c r="J574" s="16" t="s">
        <v>593</v>
      </c>
      <c r="K574" s="23" t="s">
        <v>33</v>
      </c>
      <c r="L574" s="31" t="s">
        <v>56</v>
      </c>
      <c r="N574" s="16"/>
      <c r="O574" s="16"/>
      <c r="P574" s="16"/>
      <c r="Q574" s="17">
        <f t="shared" si="107"/>
        <v>45630</v>
      </c>
      <c r="S574" s="20"/>
      <c r="T574" s="68" t="str">
        <f>VLOOKUP(A574,'Calendar ID'!$A:$C,3,false)</f>
        <v>shaaadl.pro@gmail.com</v>
      </c>
      <c r="U574" s="77" t="b">
        <v>0</v>
      </c>
      <c r="V574" s="68" t="str">
        <f>VLOOKUP($A574,'Calendar ID'!$A:$C,2,false)</f>
        <v>c_9384058245a0bc66157c09691047ea8f88622323c6761b8606c18d9b08ee0bf8@group.calendar.google.com</v>
      </c>
      <c r="W574" s="77" t="b">
        <v>1</v>
      </c>
      <c r="X574" s="70" t="s">
        <v>82</v>
      </c>
    </row>
    <row r="575" hidden="1">
      <c r="A575" s="16" t="s">
        <v>99</v>
      </c>
      <c r="B575" s="17">
        <v>45450.0</v>
      </c>
      <c r="C575" s="16" t="s">
        <v>637</v>
      </c>
      <c r="E575" s="17"/>
      <c r="F575" s="17"/>
      <c r="G575" s="53">
        <v>45466.0</v>
      </c>
      <c r="H575" s="16" t="s">
        <v>31</v>
      </c>
      <c r="I575" s="16" t="s">
        <v>638</v>
      </c>
      <c r="J575" s="16" t="s">
        <v>97</v>
      </c>
      <c r="K575" s="16" t="s">
        <v>33</v>
      </c>
      <c r="L575" s="31" t="s">
        <v>56</v>
      </c>
      <c r="N575" s="16"/>
      <c r="O575" s="16"/>
      <c r="P575" s="16"/>
      <c r="Q575" s="17">
        <f t="shared" si="107"/>
        <v>45450</v>
      </c>
      <c r="S575" s="20"/>
      <c r="T575" s="20" t="str">
        <f>VLOOKUP(A575,'Calendar ID'!$A:$C,3,false)</f>
        <v>alicemauguin.l@gmail.com</v>
      </c>
      <c r="U575" s="20" t="b">
        <v>0</v>
      </c>
      <c r="V575" s="20" t="str">
        <f>VLOOKUP($A575,'Calendar ID'!$A:$C,2,false)</f>
        <v>c_569af196f9b5e28fc536ca0422e6405e6d4e402300b9504eaa944f45c672daff@group.calendar.google.com</v>
      </c>
      <c r="W575" s="19" t="b">
        <v>1</v>
      </c>
      <c r="X575" s="19" t="s">
        <v>82</v>
      </c>
      <c r="Y575" s="20"/>
      <c r="Z575" s="20"/>
      <c r="AA575" s="20"/>
      <c r="AB575" s="20"/>
      <c r="AC575" s="20"/>
    </row>
    <row r="576" hidden="1">
      <c r="A576" s="16" t="s">
        <v>99</v>
      </c>
      <c r="B576" s="17">
        <v>45443.0</v>
      </c>
      <c r="C576" s="16" t="s">
        <v>181</v>
      </c>
      <c r="D576" s="16">
        <v>1.0</v>
      </c>
      <c r="G576" s="64">
        <v>45481.0</v>
      </c>
      <c r="H576" s="10" t="s">
        <v>31</v>
      </c>
      <c r="I576" s="16" t="s">
        <v>639</v>
      </c>
      <c r="J576" s="16" t="s">
        <v>43</v>
      </c>
      <c r="K576" s="16" t="s">
        <v>33</v>
      </c>
      <c r="L576" s="31" t="s">
        <v>56</v>
      </c>
      <c r="N576" s="16"/>
      <c r="O576" s="16"/>
      <c r="P576" s="16"/>
      <c r="Q576" s="17">
        <f t="shared" si="107"/>
        <v>45443</v>
      </c>
      <c r="S576" s="20"/>
      <c r="T576" s="20" t="str">
        <f>VLOOKUP(A576,'Calendar ID'!$A:$C,3,false)</f>
        <v>alicemauguin.l@gmail.com</v>
      </c>
      <c r="U576" s="19" t="b">
        <v>0</v>
      </c>
      <c r="V576" s="20" t="str">
        <f>VLOOKUP(A576,'Calendar ID'!$A$2:$C$15,2)</f>
        <v>c_569af196f9b5e28fc536ca0422e6405e6d4e402300b9504eaa944f45c672daff@group.calendar.google.com</v>
      </c>
      <c r="W576" s="19" t="b">
        <v>1</v>
      </c>
      <c r="X576" s="19" t="s">
        <v>82</v>
      </c>
      <c r="Y576" s="20"/>
      <c r="Z576" s="20"/>
      <c r="AA576" s="20"/>
      <c r="AB576" s="20"/>
      <c r="AC576" s="20"/>
    </row>
    <row r="577" hidden="1">
      <c r="A577" s="16" t="s">
        <v>99</v>
      </c>
      <c r="B577" s="17">
        <v>45457.0</v>
      </c>
      <c r="C577" s="16" t="s">
        <v>181</v>
      </c>
      <c r="D577" s="16">
        <v>3.0</v>
      </c>
      <c r="G577" s="17"/>
      <c r="H577" s="16" t="s">
        <v>31</v>
      </c>
      <c r="J577" s="16" t="s">
        <v>43</v>
      </c>
      <c r="K577" s="16" t="s">
        <v>33</v>
      </c>
      <c r="L577" s="14" t="s">
        <v>56</v>
      </c>
      <c r="N577" s="16"/>
      <c r="O577" s="16"/>
      <c r="P577" s="16"/>
      <c r="Q577" s="17">
        <f t="shared" si="107"/>
        <v>45457</v>
      </c>
      <c r="S577" s="20"/>
      <c r="T577" s="20" t="str">
        <f>VLOOKUP(A577,'Calendar ID'!$A:$C,3,false)</f>
        <v>alicemauguin.l@gmail.com</v>
      </c>
      <c r="U577" s="19" t="b">
        <v>0</v>
      </c>
      <c r="V577" s="20" t="str">
        <f>VLOOKUP($A577,'Calendar ID'!$A:$C,2,false)</f>
        <v>c_569af196f9b5e28fc536ca0422e6405e6d4e402300b9504eaa944f45c672daff@group.calendar.google.com</v>
      </c>
      <c r="W577" s="19" t="b">
        <v>0</v>
      </c>
      <c r="X577" s="20" t="str">
        <f>VLOOKUP($A577,'Calendar ID'!$A:$C,2,false)</f>
        <v>c_569af196f9b5e28fc536ca0422e6405e6d4e402300b9504eaa944f45c672daff@group.calendar.google.com</v>
      </c>
      <c r="Y577" s="20"/>
      <c r="Z577" s="20"/>
      <c r="AA577" s="20"/>
      <c r="AB577" s="20"/>
      <c r="AC577" s="20"/>
    </row>
    <row r="578" hidden="1">
      <c r="A578" s="160" t="s">
        <v>601</v>
      </c>
      <c r="B578" s="17">
        <v>45711.0</v>
      </c>
      <c r="C578" s="16" t="s">
        <v>640</v>
      </c>
      <c r="E578" s="17"/>
      <c r="F578" s="107">
        <v>45715.0</v>
      </c>
      <c r="G578" s="122">
        <v>45736.0</v>
      </c>
      <c r="H578" s="10" t="s">
        <v>31</v>
      </c>
      <c r="J578" s="16" t="s">
        <v>641</v>
      </c>
      <c r="K578" s="16" t="s">
        <v>33</v>
      </c>
      <c r="L578" s="31" t="s">
        <v>56</v>
      </c>
      <c r="N578" s="65" t="s">
        <v>642</v>
      </c>
      <c r="O578" s="16"/>
      <c r="P578" s="16"/>
      <c r="Q578" s="17">
        <f t="shared" si="107"/>
        <v>45711</v>
      </c>
      <c r="S578" s="20"/>
      <c r="T578" s="68" t="str">
        <f>VLOOKUP(A578,'Calendar ID'!$A:$C,3,false)</f>
        <v>contact.amandambt@gmail.com </v>
      </c>
      <c r="U578" s="71" t="b">
        <v>0</v>
      </c>
      <c r="V578" s="68" t="str">
        <f>VLOOKUP($A578,'Calendar ID'!$A:$C,2,false)</f>
        <v>c_ebde6df3eb6b0899fbe6696247d2e4255b950c6e1d491bbce480648f603c2f22@group.calendar.google.com</v>
      </c>
      <c r="W578" s="69" t="b">
        <v>1</v>
      </c>
      <c r="X578" s="70" t="s">
        <v>82</v>
      </c>
    </row>
    <row r="579" hidden="1">
      <c r="A579" s="16" t="s">
        <v>601</v>
      </c>
      <c r="B579" s="17">
        <v>45751.0</v>
      </c>
      <c r="C579" s="16" t="s">
        <v>624</v>
      </c>
      <c r="E579" s="17"/>
      <c r="F579" s="30">
        <v>45755.0</v>
      </c>
      <c r="G579" s="36">
        <f>F579+20</f>
        <v>45775</v>
      </c>
      <c r="H579" s="10" t="s">
        <v>31</v>
      </c>
      <c r="J579" s="16" t="s">
        <v>593</v>
      </c>
      <c r="K579" s="16" t="s">
        <v>33</v>
      </c>
      <c r="L579" s="31" t="s">
        <v>56</v>
      </c>
      <c r="N579" s="55" t="s">
        <v>643</v>
      </c>
      <c r="O579" s="16"/>
      <c r="P579" s="23"/>
      <c r="Q579" s="17">
        <f t="shared" si="107"/>
        <v>45751</v>
      </c>
      <c r="R579" s="15"/>
      <c r="S579" s="20"/>
      <c r="T579" s="68" t="str">
        <f>VLOOKUP(A579,'Calendar ID'!$A:$C,3,false)</f>
        <v>contact.amandambt@gmail.com </v>
      </c>
      <c r="U579" s="71" t="b">
        <v>0</v>
      </c>
      <c r="V579" s="68" t="str">
        <f>VLOOKUP($A579,'Calendar ID'!$A:$C,2,false)</f>
        <v>c_ebde6df3eb6b0899fbe6696247d2e4255b950c6e1d491bbce480648f603c2f22@group.calendar.google.com</v>
      </c>
      <c r="W579" s="71" t="b">
        <v>0</v>
      </c>
      <c r="X579" s="68" t="str">
        <f>VLOOKUP($A579,'Calendar ID'!$A:$C,2,false)</f>
        <v>c_ebde6df3eb6b0899fbe6696247d2e4255b950c6e1d491bbce480648f603c2f22@group.calendar.google.com</v>
      </c>
    </row>
    <row r="580" hidden="1">
      <c r="A580" s="160" t="s">
        <v>348</v>
      </c>
      <c r="B580" s="17">
        <v>45711.0</v>
      </c>
      <c r="C580" s="16" t="s">
        <v>640</v>
      </c>
      <c r="E580" s="17"/>
      <c r="F580" s="107">
        <v>45715.0</v>
      </c>
      <c r="G580" s="122">
        <v>45736.0</v>
      </c>
      <c r="H580" s="10" t="s">
        <v>31</v>
      </c>
      <c r="J580" s="16" t="s">
        <v>641</v>
      </c>
      <c r="K580" s="16" t="s">
        <v>33</v>
      </c>
      <c r="L580" s="31" t="s">
        <v>56</v>
      </c>
      <c r="N580" s="16"/>
      <c r="O580" s="16"/>
      <c r="P580" s="16"/>
      <c r="Q580" s="17">
        <f t="shared" si="107"/>
        <v>45711</v>
      </c>
      <c r="S580" s="20"/>
      <c r="T580" s="68" t="str">
        <f>VLOOKUP(A580,'Calendar ID'!$A:$C,3,false)</f>
        <v>amani.mee10@gmail.com</v>
      </c>
      <c r="U580" s="71" t="b">
        <v>0</v>
      </c>
      <c r="V580" s="68" t="str">
        <f>VLOOKUP($A580,'Calendar ID'!$A:$C,2,false)</f>
        <v>c_0fe46f911aa7c417189a62fdd8716ddaaef232a02bd45c49b9c02c6d6e2e4815@group.calendar.google.com</v>
      </c>
      <c r="W580" s="69" t="b">
        <v>1</v>
      </c>
      <c r="X580" s="70" t="s">
        <v>82</v>
      </c>
    </row>
    <row r="581" hidden="1">
      <c r="A581" s="10" t="s">
        <v>644</v>
      </c>
      <c r="B581" s="17">
        <v>45680.0</v>
      </c>
      <c r="C581" s="16" t="s">
        <v>645</v>
      </c>
      <c r="E581" s="17"/>
      <c r="F581" s="105">
        <v>45684.0</v>
      </c>
      <c r="G581" s="86">
        <v>45698.0</v>
      </c>
      <c r="H581" s="10" t="s">
        <v>31</v>
      </c>
      <c r="J581" s="16" t="s">
        <v>641</v>
      </c>
      <c r="K581" s="23" t="s">
        <v>33</v>
      </c>
      <c r="L581" s="31" t="s">
        <v>56</v>
      </c>
      <c r="N581" s="55" t="s">
        <v>646</v>
      </c>
      <c r="O581" s="16"/>
      <c r="P581" s="16"/>
      <c r="Q581" s="17">
        <f t="shared" si="107"/>
        <v>45680</v>
      </c>
      <c r="S581" s="20"/>
      <c r="T581" s="68" t="str">
        <f>VLOOKUP(A581,'Calendar ID'!$A:$C,3,false)</f>
        <v>#N/A</v>
      </c>
      <c r="U581" s="71" t="b">
        <v>0</v>
      </c>
      <c r="V581" s="68" t="str">
        <f>VLOOKUP($A581,'Calendar ID'!$A:$C,2,false)</f>
        <v>#N/A</v>
      </c>
      <c r="W581" s="71" t="b">
        <v>0</v>
      </c>
      <c r="X581" s="68" t="str">
        <f>VLOOKUP($A581,'Calendar ID'!$A:$C,2,false)</f>
        <v>#N/A</v>
      </c>
    </row>
    <row r="582" hidden="1">
      <c r="A582" s="10" t="s">
        <v>213</v>
      </c>
      <c r="B582" s="11">
        <v>45525.0</v>
      </c>
      <c r="C582" s="23" t="s">
        <v>175</v>
      </c>
      <c r="D582" s="7"/>
      <c r="E582" s="26"/>
      <c r="F582" s="11">
        <v>45537.0</v>
      </c>
      <c r="G582" s="11">
        <v>45557.0</v>
      </c>
      <c r="H582" s="10" t="s">
        <v>31</v>
      </c>
      <c r="I582" s="7"/>
      <c r="J582" s="23" t="s">
        <v>43</v>
      </c>
      <c r="K582" s="23" t="s">
        <v>33</v>
      </c>
      <c r="L582" s="14" t="s">
        <v>56</v>
      </c>
      <c r="M582" s="7"/>
      <c r="N582" s="23"/>
      <c r="O582" s="23"/>
      <c r="P582" s="23"/>
      <c r="Q582" s="17">
        <f t="shared" si="107"/>
        <v>45525</v>
      </c>
      <c r="R582" s="7"/>
      <c r="S582" s="68"/>
      <c r="T582" s="68" t="str">
        <f>VLOOKUP(A582,'Calendar ID'!$A:$C,3,false)</f>
        <v>anaiswry@yahoo.fr</v>
      </c>
      <c r="U582" s="78" t="b">
        <v>0</v>
      </c>
      <c r="V582" s="68" t="str">
        <f>VLOOKUP($A582,'Calendar ID'!$A:$C,2,false)</f>
        <v>c_2754856c5047affc6767bb85fb787591389bf7d14d3afd368efdff9979492ab5@group.calendar.google.com</v>
      </c>
      <c r="W582" s="69" t="b">
        <v>1</v>
      </c>
      <c r="X582" s="70" t="s">
        <v>82</v>
      </c>
      <c r="Y582" s="7"/>
      <c r="Z582" s="7"/>
      <c r="AA582" s="23"/>
      <c r="AB582" s="7"/>
      <c r="AC582" s="7"/>
    </row>
    <row r="583" hidden="1">
      <c r="A583" s="16" t="s">
        <v>213</v>
      </c>
      <c r="B583" s="17">
        <v>45603.0</v>
      </c>
      <c r="C583" s="16" t="s">
        <v>647</v>
      </c>
      <c r="E583" s="17"/>
      <c r="F583" s="17">
        <v>45607.0</v>
      </c>
      <c r="G583" s="17">
        <v>45628.0</v>
      </c>
      <c r="H583" s="10" t="s">
        <v>31</v>
      </c>
      <c r="J583" s="16" t="s">
        <v>593</v>
      </c>
      <c r="K583" s="23" t="s">
        <v>33</v>
      </c>
      <c r="L583" s="31" t="s">
        <v>56</v>
      </c>
      <c r="N583" s="16"/>
      <c r="O583" s="16"/>
      <c r="P583" s="16"/>
      <c r="Q583" s="17">
        <f t="shared" si="107"/>
        <v>45603</v>
      </c>
      <c r="S583" s="20"/>
      <c r="T583" s="68" t="str">
        <f>VLOOKUP(A583,'Calendar ID'!$A:$C,3,false)</f>
        <v>anaiswry@yahoo.fr</v>
      </c>
      <c r="U583" s="78" t="b">
        <v>0</v>
      </c>
      <c r="V583" s="68" t="str">
        <f>VLOOKUP($A583,'Calendar ID'!$A:$C,2,false)</f>
        <v>c_2754856c5047affc6767bb85fb787591389bf7d14d3afd368efdff9979492ab5@group.calendar.google.com</v>
      </c>
      <c r="W583" s="69" t="b">
        <v>1</v>
      </c>
      <c r="X583" s="70" t="s">
        <v>82</v>
      </c>
    </row>
    <row r="584" hidden="1">
      <c r="A584" s="16" t="s">
        <v>213</v>
      </c>
      <c r="B584" s="17">
        <v>45624.0</v>
      </c>
      <c r="C584" s="16" t="s">
        <v>648</v>
      </c>
      <c r="E584" s="17"/>
      <c r="F584" s="17">
        <v>45624.0</v>
      </c>
      <c r="G584" s="17">
        <v>45648.0</v>
      </c>
      <c r="H584" s="10" t="s">
        <v>31</v>
      </c>
      <c r="J584" s="16" t="s">
        <v>43</v>
      </c>
      <c r="K584" s="23" t="s">
        <v>33</v>
      </c>
      <c r="L584" s="31" t="s">
        <v>56</v>
      </c>
      <c r="N584" s="16"/>
      <c r="O584" s="16"/>
      <c r="P584" s="16"/>
      <c r="Q584" s="17">
        <f t="shared" si="107"/>
        <v>45624</v>
      </c>
      <c r="S584" s="20"/>
      <c r="T584" s="68" t="str">
        <f>VLOOKUP(A584,'Calendar ID'!$A:$C,3,false)</f>
        <v>anaiswry@yahoo.fr</v>
      </c>
      <c r="U584" s="77" t="b">
        <v>0</v>
      </c>
      <c r="V584" s="68" t="str">
        <f>VLOOKUP($A584,'Calendar ID'!$A:$C,2,false)</f>
        <v>c_2754856c5047affc6767bb85fb787591389bf7d14d3afd368efdff9979492ab5@group.calendar.google.com</v>
      </c>
      <c r="W584" s="77" t="b">
        <v>1</v>
      </c>
      <c r="X584" s="70" t="s">
        <v>82</v>
      </c>
    </row>
    <row r="585" hidden="1">
      <c r="A585" s="16" t="s">
        <v>213</v>
      </c>
      <c r="B585" s="17">
        <v>45630.0</v>
      </c>
      <c r="C585" s="16" t="s">
        <v>636</v>
      </c>
      <c r="E585" s="17"/>
      <c r="F585" s="17">
        <v>45632.0</v>
      </c>
      <c r="G585" s="17">
        <v>45651.0</v>
      </c>
      <c r="H585" s="10" t="s">
        <v>31</v>
      </c>
      <c r="J585" s="16" t="s">
        <v>593</v>
      </c>
      <c r="K585" s="23" t="s">
        <v>33</v>
      </c>
      <c r="L585" s="31" t="s">
        <v>56</v>
      </c>
      <c r="N585" s="16"/>
      <c r="O585" s="16"/>
      <c r="P585" s="16"/>
      <c r="Q585" s="17">
        <f t="shared" si="107"/>
        <v>45630</v>
      </c>
      <c r="S585" s="20"/>
      <c r="T585" s="68" t="str">
        <f>VLOOKUP(A585,'Calendar ID'!$A:$C,3,false)</f>
        <v>anaiswry@yahoo.fr</v>
      </c>
      <c r="U585" s="77" t="b">
        <v>0</v>
      </c>
      <c r="V585" s="68" t="str">
        <f>VLOOKUP($A585,'Calendar ID'!$A:$C,2,false)</f>
        <v>c_2754856c5047affc6767bb85fb787591389bf7d14d3afd368efdff9979492ab5@group.calendar.google.com</v>
      </c>
      <c r="W585" s="77" t="b">
        <v>1</v>
      </c>
      <c r="X585" s="70" t="s">
        <v>82</v>
      </c>
    </row>
    <row r="586" hidden="1">
      <c r="A586" s="16" t="s">
        <v>213</v>
      </c>
      <c r="B586" s="17">
        <v>45644.0</v>
      </c>
      <c r="C586" s="16" t="s">
        <v>649</v>
      </c>
      <c r="E586" s="17"/>
      <c r="F586" s="82">
        <v>45647.0</v>
      </c>
      <c r="G586" s="161">
        <v>45668.0</v>
      </c>
      <c r="H586" s="10" t="s">
        <v>31</v>
      </c>
      <c r="J586" s="16" t="s">
        <v>593</v>
      </c>
      <c r="K586" s="23" t="s">
        <v>33</v>
      </c>
      <c r="L586" s="31" t="s">
        <v>56</v>
      </c>
      <c r="N586" s="16"/>
      <c r="O586" s="16"/>
      <c r="P586" s="16"/>
      <c r="Q586" s="17">
        <f t="shared" si="107"/>
        <v>45644</v>
      </c>
      <c r="S586" s="20"/>
      <c r="T586" s="68" t="str">
        <f>VLOOKUP(A586,'Calendar ID'!$A:$C,3,false)</f>
        <v>anaiswry@yahoo.fr</v>
      </c>
      <c r="U586" s="71" t="b">
        <v>0</v>
      </c>
      <c r="V586" s="68" t="str">
        <f>VLOOKUP($A586,'Calendar ID'!$A:$C,2,false)</f>
        <v>c_2754856c5047affc6767bb85fb787591389bf7d14d3afd368efdff9979492ab5@group.calendar.google.com</v>
      </c>
      <c r="W586" s="69" t="b">
        <v>1</v>
      </c>
      <c r="X586" s="70" t="s">
        <v>82</v>
      </c>
    </row>
    <row r="587" hidden="1">
      <c r="A587" s="16" t="s">
        <v>213</v>
      </c>
      <c r="B587" s="17">
        <v>45666.0</v>
      </c>
      <c r="C587" s="16" t="s">
        <v>650</v>
      </c>
      <c r="E587" s="17"/>
      <c r="F587" s="101">
        <v>45670.0</v>
      </c>
      <c r="G587" s="105">
        <v>45685.0</v>
      </c>
      <c r="H587" s="10" t="s">
        <v>31</v>
      </c>
      <c r="J587" s="16" t="s">
        <v>593</v>
      </c>
      <c r="K587" s="23" t="s">
        <v>33</v>
      </c>
      <c r="L587" s="31" t="s">
        <v>56</v>
      </c>
      <c r="N587" s="16"/>
      <c r="O587" s="16"/>
      <c r="P587" s="16"/>
      <c r="Q587" s="17">
        <f t="shared" si="107"/>
        <v>45666</v>
      </c>
      <c r="S587" s="20"/>
      <c r="T587" s="68" t="str">
        <f>VLOOKUP(A587,'Calendar ID'!$A:$C,3,false)</f>
        <v>anaiswry@yahoo.fr</v>
      </c>
      <c r="U587" s="69" t="b">
        <v>0</v>
      </c>
      <c r="V587" s="68" t="str">
        <f>VLOOKUP($A587,'Calendar ID'!$A:$C,2,false)</f>
        <v>c_2754856c5047affc6767bb85fb787591389bf7d14d3afd368efdff9979492ab5@group.calendar.google.com</v>
      </c>
      <c r="W587" s="69" t="b">
        <v>1</v>
      </c>
      <c r="X587" s="70" t="s">
        <v>82</v>
      </c>
    </row>
    <row r="588" hidden="1">
      <c r="A588" s="16" t="s">
        <v>213</v>
      </c>
      <c r="B588" s="17">
        <v>45664.0</v>
      </c>
      <c r="C588" s="16" t="s">
        <v>651</v>
      </c>
      <c r="E588" s="162"/>
      <c r="F588" s="96">
        <v>45666.0</v>
      </c>
      <c r="G588" s="106">
        <v>45695.0</v>
      </c>
      <c r="H588" s="10" t="s">
        <v>31</v>
      </c>
      <c r="J588" s="16" t="s">
        <v>593</v>
      </c>
      <c r="K588" s="23" t="s">
        <v>33</v>
      </c>
      <c r="L588" s="31" t="s">
        <v>56</v>
      </c>
      <c r="N588" s="16"/>
      <c r="O588" s="16"/>
      <c r="P588" s="16"/>
      <c r="Q588" s="17">
        <f t="shared" si="107"/>
        <v>45664</v>
      </c>
      <c r="S588" s="20"/>
      <c r="T588" s="68" t="str">
        <f>VLOOKUP(A588,'Calendar ID'!$A:$C,3,false)</f>
        <v>anaiswry@yahoo.fr</v>
      </c>
      <c r="U588" s="69" t="b">
        <v>0</v>
      </c>
      <c r="V588" s="68" t="str">
        <f>VLOOKUP($A588,'Calendar ID'!$A:$C,2,false)</f>
        <v>c_2754856c5047affc6767bb85fb787591389bf7d14d3afd368efdff9979492ab5@group.calendar.google.com</v>
      </c>
      <c r="W588" s="69" t="b">
        <v>1</v>
      </c>
      <c r="X588" s="70" t="s">
        <v>82</v>
      </c>
    </row>
    <row r="589" hidden="1">
      <c r="A589" s="23" t="s">
        <v>213</v>
      </c>
      <c r="B589" s="17">
        <v>45680.0</v>
      </c>
      <c r="C589" s="16" t="s">
        <v>645</v>
      </c>
      <c r="E589" s="17"/>
      <c r="F589" s="105">
        <v>45684.0</v>
      </c>
      <c r="G589" s="86">
        <v>45698.0</v>
      </c>
      <c r="H589" s="10" t="s">
        <v>31</v>
      </c>
      <c r="J589" s="16" t="s">
        <v>641</v>
      </c>
      <c r="K589" s="23" t="s">
        <v>33</v>
      </c>
      <c r="L589" s="31" t="s">
        <v>56</v>
      </c>
      <c r="N589" s="16"/>
      <c r="O589" s="16"/>
      <c r="P589" s="16"/>
      <c r="Q589" s="17">
        <f t="shared" si="107"/>
        <v>45680</v>
      </c>
      <c r="S589" s="20"/>
      <c r="T589" s="68" t="str">
        <f>VLOOKUP(A589,'Calendar ID'!$A:$C,3,false)</f>
        <v>anaiswry@yahoo.fr</v>
      </c>
      <c r="U589" s="71" t="b">
        <v>0</v>
      </c>
      <c r="V589" s="68" t="str">
        <f>VLOOKUP($A589,'Calendar ID'!$A:$C,2,false)</f>
        <v>c_2754856c5047affc6767bb85fb787591389bf7d14d3afd368efdff9979492ab5@group.calendar.google.com</v>
      </c>
      <c r="W589" s="69" t="b">
        <v>1</v>
      </c>
      <c r="X589" s="70" t="s">
        <v>82</v>
      </c>
    </row>
    <row r="590" hidden="1">
      <c r="A590" s="16" t="s">
        <v>213</v>
      </c>
      <c r="B590" s="17">
        <v>45699.0</v>
      </c>
      <c r="C590" s="16" t="s">
        <v>634</v>
      </c>
      <c r="E590" s="17"/>
      <c r="F590" s="86">
        <v>45699.0</v>
      </c>
      <c r="G590" s="107">
        <v>45716.0</v>
      </c>
      <c r="H590" s="10" t="s">
        <v>31</v>
      </c>
      <c r="J590" s="16" t="s">
        <v>43</v>
      </c>
      <c r="K590" s="16" t="s">
        <v>33</v>
      </c>
      <c r="L590" s="31" t="s">
        <v>56</v>
      </c>
      <c r="N590" s="16"/>
      <c r="O590" s="16"/>
      <c r="P590" s="16"/>
      <c r="Q590" s="17">
        <f t="shared" si="107"/>
        <v>45699</v>
      </c>
      <c r="S590" s="20"/>
      <c r="T590" s="68" t="str">
        <f>VLOOKUP(A590,'Calendar ID'!$A:$C,3,false)</f>
        <v>anaiswry@yahoo.fr</v>
      </c>
      <c r="U590" s="69" t="b">
        <v>0</v>
      </c>
      <c r="V590" s="68" t="str">
        <f>VLOOKUP($A590,'Calendar ID'!$A:$C,2,false)</f>
        <v>c_2754856c5047affc6767bb85fb787591389bf7d14d3afd368efdff9979492ab5@group.calendar.google.com</v>
      </c>
      <c r="W590" s="69" t="b">
        <v>1</v>
      </c>
      <c r="X590" s="70" t="s">
        <v>82</v>
      </c>
    </row>
    <row r="591" hidden="1">
      <c r="A591" s="16" t="s">
        <v>213</v>
      </c>
      <c r="B591" s="17">
        <v>45674.0</v>
      </c>
      <c r="C591" s="16" t="s">
        <v>630</v>
      </c>
      <c r="E591" s="17"/>
      <c r="F591" s="17"/>
      <c r="G591" s="122">
        <v>45733.0</v>
      </c>
      <c r="H591" s="10" t="s">
        <v>31</v>
      </c>
      <c r="J591" s="16" t="s">
        <v>43</v>
      </c>
      <c r="K591" s="23" t="s">
        <v>33</v>
      </c>
      <c r="L591" s="31" t="s">
        <v>56</v>
      </c>
      <c r="Q591" s="17">
        <f t="shared" si="107"/>
        <v>45674</v>
      </c>
      <c r="S591" s="20"/>
      <c r="T591" s="68" t="str">
        <f>VLOOKUP(A591,'Calendar ID'!$A:$C,3,false)</f>
        <v>anaiswry@yahoo.fr</v>
      </c>
      <c r="U591" s="77" t="b">
        <v>0</v>
      </c>
      <c r="V591" s="68" t="str">
        <f>VLOOKUP($A591,'Calendar ID'!$A:$C,2,false)</f>
        <v>c_2754856c5047affc6767bb85fb787591389bf7d14d3afd368efdff9979492ab5@group.calendar.google.com</v>
      </c>
      <c r="W591" s="77" t="b">
        <v>1</v>
      </c>
      <c r="X591" s="70" t="s">
        <v>82</v>
      </c>
    </row>
    <row r="592" hidden="1">
      <c r="A592" s="160" t="s">
        <v>213</v>
      </c>
      <c r="B592" s="17">
        <v>45711.0</v>
      </c>
      <c r="C592" s="16" t="s">
        <v>640</v>
      </c>
      <c r="E592" s="17"/>
      <c r="F592" s="107">
        <v>45715.0</v>
      </c>
      <c r="G592" s="122">
        <v>45736.0</v>
      </c>
      <c r="H592" s="10" t="s">
        <v>31</v>
      </c>
      <c r="J592" s="16" t="s">
        <v>641</v>
      </c>
      <c r="K592" s="16" t="s">
        <v>33</v>
      </c>
      <c r="L592" s="31" t="s">
        <v>56</v>
      </c>
      <c r="N592" s="16"/>
      <c r="O592" s="16"/>
      <c r="P592" s="16"/>
      <c r="Q592" s="17">
        <f t="shared" si="107"/>
        <v>45711</v>
      </c>
      <c r="S592" s="20"/>
      <c r="T592" s="68" t="str">
        <f>VLOOKUP(A592,'Calendar ID'!$A:$C,3,false)</f>
        <v>anaiswry@yahoo.fr</v>
      </c>
      <c r="U592" s="71" t="b">
        <v>0</v>
      </c>
      <c r="V592" s="68" t="str">
        <f>VLOOKUP($A592,'Calendar ID'!$A:$C,2,false)</f>
        <v>c_2754856c5047affc6767bb85fb787591389bf7d14d3afd368efdff9979492ab5@group.calendar.google.com</v>
      </c>
      <c r="W592" s="69" t="b">
        <v>1</v>
      </c>
      <c r="X592" s="70" t="s">
        <v>82</v>
      </c>
    </row>
    <row r="593" hidden="1">
      <c r="A593" s="16" t="s">
        <v>213</v>
      </c>
      <c r="B593" s="17">
        <v>45695.0</v>
      </c>
      <c r="C593" s="16" t="s">
        <v>652</v>
      </c>
      <c r="E593" s="163"/>
      <c r="F593" s="94">
        <v>45722.0</v>
      </c>
      <c r="G593" s="122">
        <v>45737.0</v>
      </c>
      <c r="H593" s="10" t="s">
        <v>31</v>
      </c>
      <c r="I593" s="89" t="s">
        <v>653</v>
      </c>
      <c r="J593" s="16" t="s">
        <v>43</v>
      </c>
      <c r="K593" s="16" t="s">
        <v>33</v>
      </c>
      <c r="L593" s="31" t="s">
        <v>56</v>
      </c>
      <c r="N593" s="16"/>
      <c r="O593" s="16"/>
      <c r="P593" s="16"/>
      <c r="Q593" s="17">
        <f t="shared" si="107"/>
        <v>45695</v>
      </c>
      <c r="S593" s="20"/>
      <c r="T593" s="68" t="str">
        <f>VLOOKUP(A593,'Calendar ID'!$A:$C,3,false)</f>
        <v>anaiswry@yahoo.fr</v>
      </c>
      <c r="U593" s="69" t="b">
        <v>0</v>
      </c>
      <c r="V593" s="68" t="str">
        <f>VLOOKUP($A593,'Calendar ID'!$A:$C,2,false)</f>
        <v>c_2754856c5047affc6767bb85fb787591389bf7d14d3afd368efdff9979492ab5@group.calendar.google.com</v>
      </c>
      <c r="W593" s="69" t="b">
        <v>1</v>
      </c>
      <c r="X593" s="70" t="s">
        <v>82</v>
      </c>
    </row>
    <row r="594" hidden="1">
      <c r="A594" s="16" t="s">
        <v>213</v>
      </c>
      <c r="B594" s="17">
        <v>45751.0</v>
      </c>
      <c r="C594" s="16" t="s">
        <v>624</v>
      </c>
      <c r="E594" s="17"/>
      <c r="F594" s="30">
        <v>45755.0</v>
      </c>
      <c r="G594" s="36">
        <f>F594+20</f>
        <v>45775</v>
      </c>
      <c r="H594" s="10" t="s">
        <v>31</v>
      </c>
      <c r="J594" s="16" t="s">
        <v>593</v>
      </c>
      <c r="K594" s="16" t="s">
        <v>33</v>
      </c>
      <c r="L594" s="31" t="s">
        <v>56</v>
      </c>
      <c r="N594" s="16"/>
      <c r="O594" s="16"/>
      <c r="P594" s="23"/>
      <c r="Q594" s="17">
        <f t="shared" si="107"/>
        <v>45751</v>
      </c>
      <c r="R594" s="15"/>
      <c r="S594" s="20"/>
      <c r="T594" s="68" t="str">
        <f>VLOOKUP(A594,'Calendar ID'!$A:$C,3,false)</f>
        <v>anaiswry@yahoo.fr</v>
      </c>
      <c r="U594" s="71" t="b">
        <v>0</v>
      </c>
      <c r="V594" s="68" t="str">
        <f>VLOOKUP($A594,'Calendar ID'!$A:$C,2,false)</f>
        <v>c_2754856c5047affc6767bb85fb787591389bf7d14d3afd368efdff9979492ab5@group.calendar.google.com</v>
      </c>
      <c r="W594" s="71" t="b">
        <v>0</v>
      </c>
      <c r="X594" s="68" t="str">
        <f>VLOOKUP($A594,'Calendar ID'!$A:$C,2,false)</f>
        <v>c_2754856c5047affc6767bb85fb787591389bf7d14d3afd368efdff9979492ab5@group.calendar.google.com</v>
      </c>
    </row>
    <row r="595" hidden="1">
      <c r="A595" s="16" t="s">
        <v>213</v>
      </c>
      <c r="B595" s="17">
        <v>45532.0</v>
      </c>
      <c r="C595" s="16" t="s">
        <v>654</v>
      </c>
      <c r="E595" s="17"/>
      <c r="G595" s="17"/>
      <c r="H595" s="10" t="s">
        <v>31</v>
      </c>
      <c r="J595" s="16" t="s">
        <v>43</v>
      </c>
      <c r="K595" s="23" t="s">
        <v>33</v>
      </c>
      <c r="L595" s="31"/>
      <c r="N595" s="16"/>
      <c r="O595" s="16"/>
      <c r="P595" s="16"/>
      <c r="Q595" s="17">
        <f t="shared" si="107"/>
        <v>45532</v>
      </c>
      <c r="S595" s="20"/>
      <c r="T595" s="68" t="str">
        <f>VLOOKUP(A595,'Calendar ID'!$A:$C,3,false)</f>
        <v>anaiswry@yahoo.fr</v>
      </c>
      <c r="U595" s="78" t="b">
        <v>0</v>
      </c>
      <c r="V595" s="68" t="str">
        <f>VLOOKUP($A595,'Calendar ID'!$A:$C,2,false)</f>
        <v>c_2754856c5047affc6767bb85fb787591389bf7d14d3afd368efdff9979492ab5@group.calendar.google.com</v>
      </c>
      <c r="W595" s="71" t="b">
        <v>0</v>
      </c>
      <c r="X595" s="68" t="str">
        <f>VLOOKUP($A595,'Calendar ID'!$A:$C,2,false)</f>
        <v>c_2754856c5047affc6767bb85fb787591389bf7d14d3afd368efdff9979492ab5@group.calendar.google.com</v>
      </c>
    </row>
    <row r="596" hidden="1">
      <c r="A596" s="16" t="s">
        <v>213</v>
      </c>
      <c r="B596" s="17">
        <v>45540.0</v>
      </c>
      <c r="C596" s="16" t="s">
        <v>655</v>
      </c>
      <c r="E596" s="17"/>
      <c r="G596" s="17"/>
      <c r="H596" s="10" t="s">
        <v>31</v>
      </c>
      <c r="J596" s="16" t="s">
        <v>266</v>
      </c>
      <c r="K596" s="23" t="s">
        <v>33</v>
      </c>
      <c r="L596" s="31" t="s">
        <v>56</v>
      </c>
      <c r="N596" s="16"/>
      <c r="O596" s="16"/>
      <c r="P596" s="16"/>
      <c r="Q596" s="17">
        <f t="shared" si="107"/>
        <v>45540</v>
      </c>
      <c r="S596" s="20"/>
      <c r="T596" s="68" t="str">
        <f>VLOOKUP(A596,'Calendar ID'!$A:$C,3,false)</f>
        <v>anaiswry@yahoo.fr</v>
      </c>
      <c r="U596" s="78" t="b">
        <v>0</v>
      </c>
      <c r="V596" s="68" t="str">
        <f>VLOOKUP($A596,'Calendar ID'!$A:$C,2,false)</f>
        <v>c_2754856c5047affc6767bb85fb787591389bf7d14d3afd368efdff9979492ab5@group.calendar.google.com</v>
      </c>
      <c r="W596" s="71" t="b">
        <v>0</v>
      </c>
      <c r="X596" s="68" t="str">
        <f>VLOOKUP($A596,'Calendar ID'!$A:$C,2,false)</f>
        <v>c_2754856c5047affc6767bb85fb787591389bf7d14d3afd368efdff9979492ab5@group.calendar.google.com</v>
      </c>
    </row>
    <row r="597" hidden="1">
      <c r="A597" s="160" t="s">
        <v>656</v>
      </c>
      <c r="B597" s="17">
        <v>45401.0</v>
      </c>
      <c r="C597" s="16" t="s">
        <v>657</v>
      </c>
      <c r="G597" s="38">
        <v>45421.0</v>
      </c>
      <c r="H597" s="16" t="s">
        <v>31</v>
      </c>
      <c r="I597" s="16" t="s">
        <v>658</v>
      </c>
      <c r="J597" s="16" t="s">
        <v>659</v>
      </c>
      <c r="K597" s="14" t="s">
        <v>33</v>
      </c>
      <c r="L597" s="16" t="s">
        <v>56</v>
      </c>
      <c r="Q597" s="17">
        <f t="shared" si="107"/>
        <v>45401</v>
      </c>
      <c r="S597" s="20" t="b">
        <v>0</v>
      </c>
      <c r="T597" s="20"/>
      <c r="U597" s="20"/>
      <c r="V597" s="20"/>
      <c r="W597" s="20"/>
      <c r="X597" s="20"/>
      <c r="Y597" s="20"/>
      <c r="Z597" s="20"/>
      <c r="AA597" s="20"/>
      <c r="AB597" s="20"/>
      <c r="AC597" s="20"/>
    </row>
    <row r="598" hidden="1">
      <c r="A598" s="16" t="s">
        <v>276</v>
      </c>
      <c r="B598" s="17">
        <v>45639.0</v>
      </c>
      <c r="C598" s="16" t="s">
        <v>660</v>
      </c>
      <c r="E598" s="17"/>
      <c r="G598" s="17">
        <v>45654.0</v>
      </c>
      <c r="H598" s="10" t="s">
        <v>31</v>
      </c>
      <c r="J598" s="16" t="s">
        <v>43</v>
      </c>
      <c r="K598" s="23" t="s">
        <v>33</v>
      </c>
      <c r="L598" s="31" t="s">
        <v>56</v>
      </c>
      <c r="N598" s="65" t="s">
        <v>661</v>
      </c>
      <c r="O598" s="16"/>
      <c r="P598" s="16"/>
      <c r="Q598" s="17">
        <f t="shared" si="107"/>
        <v>45639</v>
      </c>
      <c r="S598" s="20"/>
      <c r="T598" s="68" t="str">
        <f>VLOOKUP(A598,'Calendar ID'!$A:$C,3,false)</f>
        <v>arwen.mechineau@outlook.fr</v>
      </c>
      <c r="U598" s="78" t="b">
        <v>0</v>
      </c>
      <c r="V598" s="68" t="str">
        <f>VLOOKUP($A598,'Calendar ID'!$A:$C,2,false)</f>
        <v>c_df86b3d6c5aa83af7e7dadc1108907ecb89d8fc7e4b645a62e375b31e7b5e3a3@group.calendar.google.com</v>
      </c>
      <c r="W598" s="69" t="b">
        <v>1</v>
      </c>
      <c r="X598" s="70" t="s">
        <v>82</v>
      </c>
    </row>
    <row r="599" hidden="1">
      <c r="A599" s="16" t="s">
        <v>276</v>
      </c>
      <c r="B599" s="17">
        <v>45639.0</v>
      </c>
      <c r="C599" s="16" t="s">
        <v>660</v>
      </c>
      <c r="E599" s="17"/>
      <c r="G599" s="95">
        <v>45661.0</v>
      </c>
      <c r="H599" s="10" t="s">
        <v>31</v>
      </c>
      <c r="J599" s="16" t="s">
        <v>43</v>
      </c>
      <c r="K599" s="23" t="s">
        <v>33</v>
      </c>
      <c r="L599" s="31" t="s">
        <v>56</v>
      </c>
      <c r="N599" s="65" t="s">
        <v>662</v>
      </c>
      <c r="O599" s="16"/>
      <c r="P599" s="16"/>
      <c r="Q599" s="17">
        <f t="shared" si="107"/>
        <v>45639</v>
      </c>
      <c r="S599" s="20"/>
      <c r="T599" s="68" t="str">
        <f>VLOOKUP(A599,'Calendar ID'!$A:$C,3,false)</f>
        <v>arwen.mechineau@outlook.fr</v>
      </c>
      <c r="U599" s="78" t="b">
        <v>0</v>
      </c>
      <c r="V599" s="68" t="str">
        <f>VLOOKUP($A599,'Calendar ID'!$A:$C,2,false)</f>
        <v>c_df86b3d6c5aa83af7e7dadc1108907ecb89d8fc7e4b645a62e375b31e7b5e3a3@group.calendar.google.com</v>
      </c>
      <c r="W599" s="69" t="b">
        <v>1</v>
      </c>
      <c r="X599" s="70" t="s">
        <v>82</v>
      </c>
    </row>
    <row r="600" hidden="1">
      <c r="A600" s="16" t="s">
        <v>276</v>
      </c>
      <c r="B600" s="17">
        <v>45639.0</v>
      </c>
      <c r="C600" s="16" t="s">
        <v>660</v>
      </c>
      <c r="E600" s="17"/>
      <c r="G600" s="96">
        <v>45668.0</v>
      </c>
      <c r="H600" s="10" t="s">
        <v>31</v>
      </c>
      <c r="J600" s="16" t="s">
        <v>43</v>
      </c>
      <c r="K600" s="23" t="s">
        <v>33</v>
      </c>
      <c r="L600" s="31"/>
      <c r="N600" s="65" t="s">
        <v>663</v>
      </c>
      <c r="O600" s="16"/>
      <c r="P600" s="16"/>
      <c r="Q600" s="17">
        <f t="shared" si="107"/>
        <v>45639</v>
      </c>
      <c r="S600" s="20"/>
      <c r="T600" s="68" t="str">
        <f>VLOOKUP(A600,'Calendar ID'!$A:$C,3,false)</f>
        <v>arwen.mechineau@outlook.fr</v>
      </c>
      <c r="U600" s="78" t="b">
        <v>0</v>
      </c>
      <c r="V600" s="68" t="str">
        <f>VLOOKUP($A600,'Calendar ID'!$A:$C,2,false)</f>
        <v>c_df86b3d6c5aa83af7e7dadc1108907ecb89d8fc7e4b645a62e375b31e7b5e3a3@group.calendar.google.com</v>
      </c>
      <c r="W600" s="69" t="b">
        <v>1</v>
      </c>
      <c r="X600" s="70" t="s">
        <v>82</v>
      </c>
    </row>
    <row r="601" hidden="1">
      <c r="A601" s="160" t="s">
        <v>260</v>
      </c>
      <c r="B601" s="17">
        <v>45711.0</v>
      </c>
      <c r="C601" s="16" t="s">
        <v>640</v>
      </c>
      <c r="E601" s="17"/>
      <c r="F601" s="107">
        <v>45715.0</v>
      </c>
      <c r="G601" s="122">
        <v>45736.0</v>
      </c>
      <c r="H601" s="10" t="s">
        <v>31</v>
      </c>
      <c r="J601" s="16" t="s">
        <v>641</v>
      </c>
      <c r="K601" s="16" t="s">
        <v>33</v>
      </c>
      <c r="L601" s="31" t="s">
        <v>56</v>
      </c>
      <c r="N601" s="16"/>
      <c r="O601" s="16"/>
      <c r="P601" s="16"/>
      <c r="Q601" s="17">
        <f t="shared" si="107"/>
        <v>45711</v>
      </c>
      <c r="S601" s="20"/>
      <c r="T601" s="68" t="str">
        <f>VLOOKUP(A601,'Calendar ID'!$A:$C,3,false)</f>
        <v>asmae-nemar@hotmail.fr </v>
      </c>
      <c r="U601" s="71" t="b">
        <v>0</v>
      </c>
      <c r="V601" s="68" t="str">
        <f>VLOOKUP($A601,'Calendar ID'!$A:$C,2,false)</f>
        <v>c_35f3aada7c9c0ba626ac56e6cf10c5959c56663450ffd058a5bdc005508d0954@group.calendar.google.com</v>
      </c>
      <c r="W601" s="69" t="b">
        <v>1</v>
      </c>
      <c r="X601" s="70" t="s">
        <v>82</v>
      </c>
    </row>
    <row r="602" hidden="1">
      <c r="A602" s="16" t="s">
        <v>42</v>
      </c>
      <c r="B602" s="17">
        <v>45381.0</v>
      </c>
      <c r="C602" s="29" t="s">
        <v>220</v>
      </c>
      <c r="E602" s="17"/>
      <c r="F602" s="28">
        <v>45383.0</v>
      </c>
      <c r="G602" s="30">
        <v>45396.0</v>
      </c>
      <c r="H602" s="10" t="s">
        <v>31</v>
      </c>
      <c r="J602" s="16" t="s">
        <v>43</v>
      </c>
      <c r="K602" s="16" t="s">
        <v>33</v>
      </c>
      <c r="L602" s="14" t="s">
        <v>56</v>
      </c>
      <c r="Q602" s="17">
        <f t="shared" si="107"/>
        <v>45381</v>
      </c>
      <c r="S602" s="20"/>
      <c r="T602" s="20"/>
      <c r="U602" s="20"/>
      <c r="V602" s="20"/>
      <c r="W602" s="20"/>
      <c r="X602" s="20"/>
      <c r="Y602" s="20"/>
      <c r="Z602" s="20"/>
      <c r="AA602" s="20"/>
      <c r="AB602" s="20"/>
      <c r="AC602" s="20"/>
    </row>
    <row r="603" hidden="1">
      <c r="A603" s="16" t="s">
        <v>42</v>
      </c>
      <c r="B603" s="17">
        <v>45359.0</v>
      </c>
      <c r="C603" s="16" t="s">
        <v>664</v>
      </c>
      <c r="F603" s="30">
        <v>45390.0</v>
      </c>
      <c r="G603" s="33">
        <v>45401.0</v>
      </c>
      <c r="H603" s="23" t="s">
        <v>31</v>
      </c>
      <c r="J603" s="16" t="s">
        <v>43</v>
      </c>
      <c r="K603" s="14" t="s">
        <v>33</v>
      </c>
      <c r="L603" s="16" t="s">
        <v>56</v>
      </c>
      <c r="Q603" s="17">
        <f t="shared" si="107"/>
        <v>45359</v>
      </c>
      <c r="S603" s="20"/>
      <c r="T603" s="20"/>
      <c r="U603" s="20"/>
      <c r="V603" s="20"/>
      <c r="W603" s="20"/>
      <c r="X603" s="20"/>
      <c r="Y603" s="20"/>
      <c r="Z603" s="20"/>
      <c r="AA603" s="20"/>
      <c r="AB603" s="20"/>
      <c r="AC603" s="20"/>
    </row>
    <row r="604" hidden="1">
      <c r="A604" s="16" t="s">
        <v>42</v>
      </c>
      <c r="B604" s="17">
        <v>45381.0</v>
      </c>
      <c r="C604" s="16" t="s">
        <v>88</v>
      </c>
      <c r="F604" s="107">
        <v>45351.0</v>
      </c>
      <c r="G604" s="36">
        <v>45411.0</v>
      </c>
      <c r="H604" s="7" t="s">
        <v>31</v>
      </c>
      <c r="I604" s="16" t="s">
        <v>665</v>
      </c>
      <c r="J604" s="16" t="s">
        <v>43</v>
      </c>
      <c r="K604" s="14" t="s">
        <v>33</v>
      </c>
      <c r="L604" s="31">
        <v>300.0</v>
      </c>
      <c r="N604" s="16"/>
      <c r="O604" s="16"/>
      <c r="P604" s="16" t="s">
        <v>666</v>
      </c>
      <c r="Q604" s="17">
        <f t="shared" si="107"/>
        <v>45381</v>
      </c>
      <c r="S604" s="20" t="b">
        <v>0</v>
      </c>
      <c r="T604" s="20"/>
      <c r="U604" s="20"/>
      <c r="V604" s="20"/>
      <c r="W604" s="20"/>
      <c r="X604" s="20"/>
      <c r="Y604" s="16"/>
      <c r="Z604" s="16"/>
      <c r="AA604" s="16"/>
      <c r="AB604" s="16"/>
      <c r="AC604" s="16"/>
    </row>
    <row r="605" hidden="1">
      <c r="A605" s="16" t="s">
        <v>42</v>
      </c>
      <c r="B605" s="17">
        <v>45401.0</v>
      </c>
      <c r="C605" s="16" t="s">
        <v>645</v>
      </c>
      <c r="F605" s="33">
        <v>45400.0</v>
      </c>
      <c r="G605" s="38">
        <v>45423.0</v>
      </c>
      <c r="H605" s="10" t="s">
        <v>31</v>
      </c>
      <c r="J605" s="10" t="s">
        <v>658</v>
      </c>
      <c r="K605" s="14" t="s">
        <v>33</v>
      </c>
      <c r="L605" s="14" t="s">
        <v>56</v>
      </c>
      <c r="Q605" s="17">
        <f t="shared" si="107"/>
        <v>45401</v>
      </c>
      <c r="S605" s="20"/>
      <c r="T605" s="20"/>
      <c r="U605" s="20"/>
      <c r="V605" s="20"/>
      <c r="W605" s="20"/>
      <c r="X605" s="20"/>
      <c r="Y605" s="20"/>
      <c r="Z605" s="20"/>
      <c r="AA605" s="20"/>
      <c r="AB605" s="20"/>
      <c r="AC605" s="20"/>
    </row>
    <row r="606" hidden="1">
      <c r="A606" s="16" t="s">
        <v>42</v>
      </c>
      <c r="B606" s="17">
        <v>45404.0</v>
      </c>
      <c r="C606" s="29" t="s">
        <v>667</v>
      </c>
      <c r="E606" s="17"/>
      <c r="F606" s="17"/>
      <c r="G606" s="48">
        <v>45440.0</v>
      </c>
      <c r="H606" s="16" t="s">
        <v>31</v>
      </c>
      <c r="I606" s="55" t="s">
        <v>668</v>
      </c>
      <c r="J606" s="16" t="s">
        <v>43</v>
      </c>
      <c r="K606" s="14" t="s">
        <v>33</v>
      </c>
      <c r="L606" s="31" t="s">
        <v>56</v>
      </c>
      <c r="N606" s="55" t="s">
        <v>669</v>
      </c>
      <c r="O606" s="16"/>
      <c r="P606" s="16"/>
      <c r="Q606" s="17">
        <f t="shared" si="107"/>
        <v>45404</v>
      </c>
      <c r="S606" s="20"/>
      <c r="T606" s="20"/>
      <c r="U606" s="20"/>
      <c r="V606" s="20"/>
      <c r="W606" s="20"/>
      <c r="X606" s="20"/>
      <c r="Y606" s="20"/>
      <c r="Z606" s="20"/>
      <c r="AA606" s="20"/>
      <c r="AB606" s="20"/>
      <c r="AC606" s="20"/>
    </row>
    <row r="607" hidden="1">
      <c r="A607" s="16" t="s">
        <v>42</v>
      </c>
      <c r="B607" s="17">
        <v>45429.0</v>
      </c>
      <c r="C607" s="29" t="s">
        <v>101</v>
      </c>
      <c r="G607" s="48">
        <v>45442.0</v>
      </c>
      <c r="H607" s="16" t="s">
        <v>31</v>
      </c>
      <c r="I607" s="37"/>
      <c r="J607" s="16" t="s">
        <v>43</v>
      </c>
      <c r="K607" s="23" t="s">
        <v>33</v>
      </c>
      <c r="L607" s="31">
        <v>800.0</v>
      </c>
      <c r="N607" s="16"/>
      <c r="O607" s="16"/>
      <c r="P607" s="16" t="s">
        <v>34</v>
      </c>
      <c r="Q607" s="17">
        <f t="shared" si="107"/>
        <v>45429</v>
      </c>
      <c r="R607" s="18">
        <f t="shared" ref="R607:R608" si="108">L607*0.25</f>
        <v>200</v>
      </c>
      <c r="S607" s="20" t="b">
        <v>0</v>
      </c>
      <c r="T607" s="20"/>
      <c r="U607" s="20"/>
      <c r="V607" s="20"/>
      <c r="W607" s="20"/>
      <c r="X607" s="20"/>
      <c r="Y607" s="16"/>
      <c r="Z607" s="16"/>
      <c r="AA607" s="16"/>
      <c r="AB607" s="16"/>
      <c r="AC607" s="16"/>
    </row>
    <row r="608" hidden="1">
      <c r="A608" s="16" t="s">
        <v>42</v>
      </c>
      <c r="B608" s="17">
        <v>45401.0</v>
      </c>
      <c r="C608" s="29" t="s">
        <v>62</v>
      </c>
      <c r="G608" s="48">
        <v>45445.0</v>
      </c>
      <c r="H608" s="16" t="s">
        <v>31</v>
      </c>
      <c r="J608" s="16" t="s">
        <v>43</v>
      </c>
      <c r="K608" s="14" t="s">
        <v>33</v>
      </c>
      <c r="L608" s="31">
        <v>450.0</v>
      </c>
      <c r="N608" s="16"/>
      <c r="O608" s="16"/>
      <c r="P608" s="16" t="s">
        <v>34</v>
      </c>
      <c r="Q608" s="17">
        <f t="shared" si="107"/>
        <v>45401</v>
      </c>
      <c r="R608" s="18">
        <f t="shared" si="108"/>
        <v>112.5</v>
      </c>
      <c r="S608" s="19" t="b">
        <v>1</v>
      </c>
      <c r="T608" s="20"/>
      <c r="U608" s="20"/>
      <c r="V608" s="20"/>
      <c r="W608" s="20"/>
      <c r="X608" s="20"/>
      <c r="Y608" s="16"/>
      <c r="Z608" s="16"/>
      <c r="AA608" s="16"/>
      <c r="AB608" s="16"/>
      <c r="AC608" s="16"/>
    </row>
    <row r="609" hidden="1">
      <c r="A609" s="16" t="s">
        <v>42</v>
      </c>
      <c r="B609" s="17">
        <v>45425.0</v>
      </c>
      <c r="C609" s="16" t="s">
        <v>651</v>
      </c>
      <c r="E609" s="17"/>
      <c r="G609" s="139">
        <v>45448.0</v>
      </c>
      <c r="H609" s="16" t="s">
        <v>31</v>
      </c>
      <c r="I609" s="16" t="s">
        <v>670</v>
      </c>
      <c r="J609" s="16" t="s">
        <v>659</v>
      </c>
      <c r="K609" s="16" t="s">
        <v>33</v>
      </c>
      <c r="L609" s="31" t="s">
        <v>56</v>
      </c>
      <c r="N609" s="55" t="s">
        <v>671</v>
      </c>
      <c r="O609" s="16"/>
      <c r="P609" s="16"/>
      <c r="Q609" s="17">
        <f t="shared" si="107"/>
        <v>45425</v>
      </c>
      <c r="S609" s="20"/>
      <c r="T609" s="20"/>
      <c r="U609" s="20"/>
      <c r="V609" s="20"/>
      <c r="W609" s="20"/>
      <c r="X609" s="20"/>
      <c r="Y609" s="20"/>
      <c r="Z609" s="20"/>
      <c r="AA609" s="20"/>
      <c r="AB609" s="20"/>
      <c r="AC609" s="20"/>
    </row>
    <row r="610" hidden="1">
      <c r="A610" s="16" t="s">
        <v>42</v>
      </c>
      <c r="B610" s="17">
        <v>45406.0</v>
      </c>
      <c r="C610" s="16" t="s">
        <v>672</v>
      </c>
      <c r="E610" s="17"/>
      <c r="G610" s="139">
        <v>45448.0</v>
      </c>
      <c r="H610" s="16" t="s">
        <v>31</v>
      </c>
      <c r="I610" s="16" t="s">
        <v>670</v>
      </c>
      <c r="J610" s="16" t="s">
        <v>659</v>
      </c>
      <c r="K610" s="14" t="s">
        <v>33</v>
      </c>
      <c r="L610" s="31" t="s">
        <v>56</v>
      </c>
      <c r="N610" s="55" t="s">
        <v>673</v>
      </c>
      <c r="O610" s="16"/>
      <c r="P610" s="16"/>
      <c r="Q610" s="17">
        <f t="shared" si="107"/>
        <v>45406</v>
      </c>
      <c r="S610" s="20"/>
      <c r="T610" s="20"/>
      <c r="U610" s="20"/>
      <c r="V610" s="20"/>
      <c r="W610" s="20"/>
      <c r="X610" s="20"/>
      <c r="Y610" s="20"/>
      <c r="Z610" s="20"/>
      <c r="AA610" s="20"/>
      <c r="AB610" s="20"/>
      <c r="AC610" s="20"/>
    </row>
    <row r="611" hidden="1">
      <c r="A611" s="16" t="s">
        <v>42</v>
      </c>
      <c r="B611" s="17">
        <v>45401.0</v>
      </c>
      <c r="C611" s="29" t="s">
        <v>52</v>
      </c>
      <c r="F611" s="139">
        <v>45450.0</v>
      </c>
      <c r="G611" s="139">
        <v>45450.0</v>
      </c>
      <c r="H611" s="16" t="s">
        <v>31</v>
      </c>
      <c r="J611" s="16" t="s">
        <v>43</v>
      </c>
      <c r="K611" s="14" t="s">
        <v>33</v>
      </c>
      <c r="L611" s="42">
        <f>350/2</f>
        <v>175</v>
      </c>
      <c r="N611" s="16"/>
      <c r="O611" s="16"/>
      <c r="P611" s="16" t="s">
        <v>34</v>
      </c>
      <c r="Q611" s="17">
        <f t="shared" si="107"/>
        <v>45401</v>
      </c>
      <c r="R611" s="42">
        <f>L611*0.25</f>
        <v>43.75</v>
      </c>
      <c r="S611" s="20" t="b">
        <v>0</v>
      </c>
      <c r="T611" s="20"/>
      <c r="U611" s="20" t="b">
        <v>0</v>
      </c>
      <c r="V611" s="20" t="str">
        <f>VLOOKUP(A611,'Calendar ID'!$A$2:$C$15,2)</f>
        <v>c_15e3504fd6fde5b88106b6d99934e830e051067bbd4af855bfd432d30fc2f262@group.calendar.google.com</v>
      </c>
      <c r="W611" s="20" t="b">
        <v>0</v>
      </c>
      <c r="X611" s="20" t="str">
        <f>VLOOKUP(A611,'Calendar ID'!$A$2:$C$15,2)</f>
        <v>c_15e3504fd6fde5b88106b6d99934e830e051067bbd4af855bfd432d30fc2f262@group.calendar.google.com</v>
      </c>
      <c r="Y611" s="16"/>
      <c r="Z611" s="16"/>
      <c r="AA611" s="16"/>
      <c r="AB611" s="16"/>
      <c r="AC611" s="16"/>
    </row>
    <row r="612" hidden="1">
      <c r="A612" s="16" t="s">
        <v>42</v>
      </c>
      <c r="B612" s="17">
        <v>45381.0</v>
      </c>
      <c r="C612" s="29" t="s">
        <v>464</v>
      </c>
      <c r="E612" s="17"/>
      <c r="F612" s="122">
        <v>45372.0</v>
      </c>
      <c r="G612" s="53">
        <v>45464.0</v>
      </c>
      <c r="H612" s="16" t="s">
        <v>31</v>
      </c>
      <c r="I612" s="16" t="s">
        <v>674</v>
      </c>
      <c r="J612" s="16" t="s">
        <v>675</v>
      </c>
      <c r="K612" s="14" t="s">
        <v>33</v>
      </c>
      <c r="L612" s="16" t="s">
        <v>676</v>
      </c>
      <c r="Q612" s="17">
        <f t="shared" si="107"/>
        <v>45381</v>
      </c>
      <c r="S612" s="20"/>
      <c r="T612" s="20" t="str">
        <f>VLOOKUP(A612,'Calendar ID'!$A$2:$C$15,3)</f>
        <v>cmepls.pro@gmail.com</v>
      </c>
      <c r="U612" s="20" t="b">
        <v>0</v>
      </c>
      <c r="V612" s="20" t="str">
        <f>VLOOKUP($A612,'Calendar ID'!$A:$C,2,false)</f>
        <v>c_15e3504fd6fde5b88106b6d99934e830e051067bbd4af855bfd432d30fc2f262@group.calendar.google.com</v>
      </c>
      <c r="W612" s="19" t="b">
        <v>0</v>
      </c>
      <c r="X612" s="20" t="str">
        <f>VLOOKUP($A612,'Calendar ID'!$A:$C,2,false)</f>
        <v>c_15e3504fd6fde5b88106b6d99934e830e051067bbd4af855bfd432d30fc2f262@group.calendar.google.com</v>
      </c>
      <c r="Y612" s="20"/>
      <c r="Z612" s="20"/>
      <c r="AA612" s="20"/>
      <c r="AB612" s="20"/>
      <c r="AC612" s="20"/>
    </row>
    <row r="613" hidden="1">
      <c r="A613" s="16" t="s">
        <v>42</v>
      </c>
      <c r="B613" s="17">
        <v>45425.0</v>
      </c>
      <c r="C613" s="16" t="s">
        <v>101</v>
      </c>
      <c r="D613" s="16" t="s">
        <v>677</v>
      </c>
      <c r="E613" s="17"/>
      <c r="G613" s="58">
        <v>45473.0</v>
      </c>
      <c r="H613" s="16" t="s">
        <v>31</v>
      </c>
      <c r="I613" s="104"/>
      <c r="J613" s="16" t="s">
        <v>97</v>
      </c>
      <c r="K613" s="16" t="s">
        <v>33</v>
      </c>
      <c r="L613" s="31" t="s">
        <v>56</v>
      </c>
      <c r="N613" s="16"/>
      <c r="O613" s="16"/>
      <c r="P613" s="16"/>
      <c r="Q613" s="17">
        <f t="shared" si="107"/>
        <v>45425</v>
      </c>
      <c r="S613" s="20"/>
      <c r="T613" s="20" t="str">
        <f>VLOOKUP(A613,'Calendar ID'!$A:$C,3,false)</f>
        <v>cmepls.pro@gmail.com</v>
      </c>
      <c r="U613" s="20" t="b">
        <v>0</v>
      </c>
      <c r="V613" s="20" t="str">
        <f>VLOOKUP($A613,'Calendar ID'!$A:$C,2,false)</f>
        <v>c_15e3504fd6fde5b88106b6d99934e830e051067bbd4af855bfd432d30fc2f262@group.calendar.google.com</v>
      </c>
      <c r="W613" s="19" t="b">
        <v>0</v>
      </c>
      <c r="X613" s="20" t="str">
        <f>VLOOKUP($A613,'Calendar ID'!$A:$C,2,false)</f>
        <v>c_15e3504fd6fde5b88106b6d99934e830e051067bbd4af855bfd432d30fc2f262@group.calendar.google.com</v>
      </c>
      <c r="Y613" s="20"/>
      <c r="Z613" s="20"/>
      <c r="AA613" s="20"/>
      <c r="AB613" s="20"/>
      <c r="AC613" s="20"/>
    </row>
    <row r="614" hidden="1">
      <c r="A614" s="16" t="s">
        <v>42</v>
      </c>
      <c r="B614" s="17">
        <v>45436.0</v>
      </c>
      <c r="C614" s="16" t="s">
        <v>678</v>
      </c>
      <c r="E614" s="17"/>
      <c r="F614" s="52">
        <v>45453.0</v>
      </c>
      <c r="G614" s="58">
        <v>45473.0</v>
      </c>
      <c r="H614" s="16" t="s">
        <v>31</v>
      </c>
      <c r="J614" s="16" t="s">
        <v>43</v>
      </c>
      <c r="K614" s="16" t="s">
        <v>33</v>
      </c>
      <c r="L614" s="31" t="s">
        <v>56</v>
      </c>
      <c r="N614" s="16"/>
      <c r="O614" s="16"/>
      <c r="P614" s="16"/>
      <c r="Q614" s="17">
        <f t="shared" si="107"/>
        <v>45436</v>
      </c>
      <c r="S614" s="20"/>
      <c r="T614" s="20"/>
      <c r="U614" s="20" t="b">
        <v>0</v>
      </c>
      <c r="V614" s="20" t="str">
        <f>VLOOKUP(A614,'Calendar ID'!$A$2:$C$15,2)</f>
        <v>c_15e3504fd6fde5b88106b6d99934e830e051067bbd4af855bfd432d30fc2f262@group.calendar.google.com</v>
      </c>
      <c r="W614" s="20" t="b">
        <v>0</v>
      </c>
      <c r="X614" s="20" t="str">
        <f>VLOOKUP(A614,'Calendar ID'!$A$2:$C$15,2)</f>
        <v>c_15e3504fd6fde5b88106b6d99934e830e051067bbd4af855bfd432d30fc2f262@group.calendar.google.com</v>
      </c>
      <c r="Y614" s="20"/>
      <c r="Z614" s="20"/>
      <c r="AA614" s="20"/>
      <c r="AB614" s="20"/>
      <c r="AC614" s="20"/>
    </row>
    <row r="615" hidden="1">
      <c r="A615" s="16" t="s">
        <v>42</v>
      </c>
      <c r="B615" s="17">
        <v>45442.0</v>
      </c>
      <c r="C615" s="16" t="s">
        <v>679</v>
      </c>
      <c r="E615" s="17"/>
      <c r="F615" s="53">
        <v>45460.0</v>
      </c>
      <c r="G615" s="58">
        <v>45473.0</v>
      </c>
      <c r="H615" s="16" t="s">
        <v>31</v>
      </c>
      <c r="J615" s="16" t="s">
        <v>43</v>
      </c>
      <c r="K615" s="16" t="s">
        <v>33</v>
      </c>
      <c r="L615" s="31" t="s">
        <v>56</v>
      </c>
      <c r="N615" s="16"/>
      <c r="O615" s="16"/>
      <c r="P615" s="16"/>
      <c r="Q615" s="17">
        <f t="shared" si="107"/>
        <v>45442</v>
      </c>
      <c r="S615" s="20"/>
      <c r="T615" s="20" t="str">
        <f>VLOOKUP(A615,'Calendar ID'!$A:$C,3,false)</f>
        <v>cmepls.pro@gmail.com</v>
      </c>
      <c r="U615" s="20" t="b">
        <v>0</v>
      </c>
      <c r="V615" s="20" t="str">
        <f>VLOOKUP($A615,'Calendar ID'!$A:$C,2,false)</f>
        <v>c_15e3504fd6fde5b88106b6d99934e830e051067bbd4af855bfd432d30fc2f262@group.calendar.google.com</v>
      </c>
      <c r="W615" s="19" t="b">
        <v>0</v>
      </c>
      <c r="X615" s="20" t="str">
        <f>VLOOKUP($A615,'Calendar ID'!$A:$C,2,false)</f>
        <v>c_15e3504fd6fde5b88106b6d99934e830e051067bbd4af855bfd432d30fc2f262@group.calendar.google.com</v>
      </c>
      <c r="Y615" s="20"/>
      <c r="Z615" s="20"/>
      <c r="AA615" s="20"/>
      <c r="AB615" s="20"/>
      <c r="AC615" s="20"/>
    </row>
    <row r="616" hidden="1">
      <c r="A616" s="23" t="s">
        <v>42</v>
      </c>
      <c r="B616" s="17">
        <v>45463.0</v>
      </c>
      <c r="C616" s="16" t="s">
        <v>680</v>
      </c>
      <c r="E616" s="17"/>
      <c r="F616" s="58">
        <v>45467.0</v>
      </c>
      <c r="G616" s="61">
        <v>45476.0</v>
      </c>
      <c r="H616" s="16" t="s">
        <v>31</v>
      </c>
      <c r="I616" s="55" t="s">
        <v>681</v>
      </c>
      <c r="J616" s="16" t="s">
        <v>682</v>
      </c>
      <c r="K616" s="16" t="s">
        <v>33</v>
      </c>
      <c r="L616" s="31" t="s">
        <v>56</v>
      </c>
      <c r="N616" s="16"/>
      <c r="O616" s="16"/>
      <c r="P616" s="16"/>
      <c r="Q616" s="17">
        <f t="shared" si="107"/>
        <v>45463</v>
      </c>
      <c r="S616" s="20"/>
      <c r="T616" s="20" t="str">
        <f>VLOOKUP(A616,'Calendar ID'!$A:$C,3,false)</f>
        <v>cmepls.pro@gmail.com</v>
      </c>
      <c r="U616" s="20" t="b">
        <v>0</v>
      </c>
      <c r="V616" s="20" t="str">
        <f>VLOOKUP($A616,'Calendar ID'!$A:$C,2,false)</f>
        <v>c_15e3504fd6fde5b88106b6d99934e830e051067bbd4af855bfd432d30fc2f262@group.calendar.google.com</v>
      </c>
      <c r="W616" s="19" t="b">
        <v>1</v>
      </c>
      <c r="X616" s="19" t="s">
        <v>82</v>
      </c>
      <c r="Y616" s="20"/>
      <c r="Z616" s="20"/>
      <c r="AA616" s="20"/>
      <c r="AB616" s="20"/>
      <c r="AC616" s="20"/>
    </row>
    <row r="617" hidden="1">
      <c r="A617" s="16" t="s">
        <v>42</v>
      </c>
      <c r="B617" s="17">
        <v>45442.0</v>
      </c>
      <c r="C617" s="16" t="s">
        <v>683</v>
      </c>
      <c r="E617" s="17"/>
      <c r="F617" s="53">
        <v>45463.0</v>
      </c>
      <c r="G617" s="67">
        <v>45488.0</v>
      </c>
      <c r="H617" s="16" t="s">
        <v>31</v>
      </c>
      <c r="J617" s="16" t="s">
        <v>43</v>
      </c>
      <c r="K617" s="16" t="s">
        <v>33</v>
      </c>
      <c r="L617" s="31" t="s">
        <v>56</v>
      </c>
      <c r="N617" s="65" t="s">
        <v>684</v>
      </c>
      <c r="O617" s="16"/>
      <c r="P617" s="16"/>
      <c r="Q617" s="17">
        <f t="shared" si="107"/>
        <v>45442</v>
      </c>
      <c r="S617" s="20"/>
      <c r="T617" s="20" t="str">
        <f>VLOOKUP(A617,'Calendar ID'!$A:$C,3,false)</f>
        <v>cmepls.pro@gmail.com</v>
      </c>
      <c r="U617" s="20" t="b">
        <v>0</v>
      </c>
      <c r="V617" s="20" t="str">
        <f>VLOOKUP($A617,'Calendar ID'!$A:$C,2,false)</f>
        <v>c_15e3504fd6fde5b88106b6d99934e830e051067bbd4af855bfd432d30fc2f262@group.calendar.google.com</v>
      </c>
      <c r="W617" s="19" t="b">
        <v>0</v>
      </c>
      <c r="X617" s="20" t="str">
        <f>VLOOKUP($A617,'Calendar ID'!$A:$C,2,false)</f>
        <v>c_15e3504fd6fde5b88106b6d99934e830e051067bbd4af855bfd432d30fc2f262@group.calendar.google.com</v>
      </c>
      <c r="Y617" s="20"/>
      <c r="Z617" s="20"/>
      <c r="AA617" s="20"/>
      <c r="AB617" s="20"/>
      <c r="AC617" s="20"/>
    </row>
    <row r="618" hidden="1">
      <c r="A618" s="16" t="s">
        <v>42</v>
      </c>
      <c r="B618" s="17">
        <v>45454.0</v>
      </c>
      <c r="C618" s="16" t="s">
        <v>174</v>
      </c>
      <c r="D618" s="16" t="s">
        <v>685</v>
      </c>
      <c r="E618" s="17"/>
      <c r="F618" s="156">
        <v>45481.0</v>
      </c>
      <c r="G618" s="164">
        <v>45501.0</v>
      </c>
      <c r="H618" s="16" t="s">
        <v>31</v>
      </c>
      <c r="J618" s="16" t="s">
        <v>43</v>
      </c>
      <c r="K618" s="16" t="s">
        <v>33</v>
      </c>
      <c r="L618" s="31" t="s">
        <v>56</v>
      </c>
      <c r="N618" s="55" t="s">
        <v>686</v>
      </c>
      <c r="O618" s="16"/>
      <c r="P618" s="16"/>
      <c r="Q618" s="17">
        <f t="shared" si="107"/>
        <v>45454</v>
      </c>
      <c r="S618" s="20"/>
      <c r="T618" s="20" t="str">
        <f>VLOOKUP(A618,'Calendar ID'!$A:$C,3,false)</f>
        <v>cmepls.pro@gmail.com</v>
      </c>
      <c r="U618" s="20" t="b">
        <v>0</v>
      </c>
      <c r="V618" s="20" t="str">
        <f>VLOOKUP($A618,'Calendar ID'!$A:$C,2,false)</f>
        <v>c_15e3504fd6fde5b88106b6d99934e830e051067bbd4af855bfd432d30fc2f262@group.calendar.google.com</v>
      </c>
      <c r="W618" s="19" t="b">
        <v>1</v>
      </c>
      <c r="X618" s="19" t="s">
        <v>82</v>
      </c>
      <c r="Y618" s="20"/>
      <c r="Z618" s="20"/>
      <c r="AA618" s="20"/>
      <c r="AB618" s="20"/>
      <c r="AC618" s="20"/>
    </row>
    <row r="619" hidden="1">
      <c r="A619" s="16" t="s">
        <v>42</v>
      </c>
      <c r="B619" s="17">
        <v>45492.0</v>
      </c>
      <c r="C619" s="16" t="s">
        <v>687</v>
      </c>
      <c r="E619" s="17"/>
      <c r="F619" s="67">
        <v>45492.0</v>
      </c>
      <c r="G619" s="73">
        <v>45513.0</v>
      </c>
      <c r="H619" s="10" t="s">
        <v>31</v>
      </c>
      <c r="J619" s="16" t="s">
        <v>97</v>
      </c>
      <c r="K619" s="23" t="s">
        <v>33</v>
      </c>
      <c r="L619" s="31" t="s">
        <v>56</v>
      </c>
      <c r="N619" s="16"/>
      <c r="O619" s="16"/>
      <c r="P619" s="16"/>
      <c r="Q619" s="17">
        <f t="shared" si="107"/>
        <v>45492</v>
      </c>
      <c r="S619" s="20"/>
      <c r="T619" s="68" t="str">
        <f>VLOOKUP(A619,'Calendar ID'!$A:$C,3,false)</f>
        <v>cmepls.pro@gmail.com</v>
      </c>
      <c r="U619" s="71" t="b">
        <v>0</v>
      </c>
      <c r="V619" s="68" t="str">
        <f>VLOOKUP($A619,'Calendar ID'!$A:$C,2,false)</f>
        <v>c_15e3504fd6fde5b88106b6d99934e830e051067bbd4af855bfd432d30fc2f262@group.calendar.google.com</v>
      </c>
      <c r="W619" s="69" t="b">
        <v>1</v>
      </c>
      <c r="X619" s="70" t="s">
        <v>82</v>
      </c>
      <c r="Y619" s="20"/>
      <c r="Z619" s="20"/>
      <c r="AA619" s="20"/>
      <c r="AB619" s="20"/>
      <c r="AC619" s="20"/>
    </row>
    <row r="620" hidden="1">
      <c r="A620" s="16" t="s">
        <v>42</v>
      </c>
      <c r="B620" s="17">
        <v>45502.0</v>
      </c>
      <c r="C620" s="16" t="s">
        <v>688</v>
      </c>
      <c r="E620" s="17"/>
      <c r="F620" s="72">
        <v>45502.0</v>
      </c>
      <c r="G620" s="17">
        <v>45522.0</v>
      </c>
      <c r="H620" s="10" t="s">
        <v>31</v>
      </c>
      <c r="J620" s="16" t="s">
        <v>97</v>
      </c>
      <c r="K620" s="23" t="s">
        <v>33</v>
      </c>
      <c r="L620" s="31" t="s">
        <v>56</v>
      </c>
      <c r="N620" s="55" t="s">
        <v>689</v>
      </c>
      <c r="O620" s="16"/>
      <c r="P620" s="16"/>
      <c r="Q620" s="17">
        <f t="shared" si="107"/>
        <v>45502</v>
      </c>
      <c r="S620" s="20"/>
      <c r="T620" s="68" t="str">
        <f>VLOOKUP(A620,'Calendar ID'!$A:$C,3,false)</f>
        <v>cmepls.pro@gmail.com</v>
      </c>
      <c r="U620" s="71" t="b">
        <v>0</v>
      </c>
      <c r="V620" s="68" t="str">
        <f>VLOOKUP($A620,'Calendar ID'!$A:$C,2,false)</f>
        <v>c_15e3504fd6fde5b88106b6d99934e830e051067bbd4af855bfd432d30fc2f262@group.calendar.google.com</v>
      </c>
      <c r="W620" s="69" t="b">
        <v>0</v>
      </c>
      <c r="X620" s="70" t="s">
        <v>82</v>
      </c>
      <c r="Y620" s="20"/>
      <c r="Z620" s="20"/>
      <c r="AA620" s="20"/>
      <c r="AB620" s="20"/>
      <c r="AC620" s="20"/>
    </row>
    <row r="621" hidden="1">
      <c r="A621" s="16" t="s">
        <v>42</v>
      </c>
      <c r="B621" s="17">
        <v>45503.0</v>
      </c>
      <c r="C621" s="16" t="s">
        <v>690</v>
      </c>
      <c r="E621" s="17"/>
      <c r="G621" s="17">
        <v>45522.0</v>
      </c>
      <c r="H621" s="10" t="s">
        <v>31</v>
      </c>
      <c r="I621" s="16" t="s">
        <v>158</v>
      </c>
      <c r="J621" s="16" t="s">
        <v>97</v>
      </c>
      <c r="K621" s="23" t="s">
        <v>33</v>
      </c>
      <c r="L621" s="31" t="s">
        <v>56</v>
      </c>
      <c r="N621" s="65" t="s">
        <v>691</v>
      </c>
      <c r="O621" s="16"/>
      <c r="P621" s="16"/>
      <c r="Q621" s="17">
        <f t="shared" si="107"/>
        <v>45503</v>
      </c>
      <c r="S621" s="20"/>
      <c r="T621" s="68" t="str">
        <f>VLOOKUP(A621,'Calendar ID'!$A:$C,3,false)</f>
        <v>cmepls.pro@gmail.com</v>
      </c>
      <c r="U621" s="71" t="b">
        <v>0</v>
      </c>
      <c r="V621" s="68" t="str">
        <f>VLOOKUP($A621,'Calendar ID'!$A:$C,2,false)</f>
        <v>c_15e3504fd6fde5b88106b6d99934e830e051067bbd4af855bfd432d30fc2f262@group.calendar.google.com</v>
      </c>
      <c r="W621" s="69" t="b">
        <v>0</v>
      </c>
      <c r="X621" s="68" t="str">
        <f>VLOOKUP($A621,'Calendar ID'!$A:$C,2,false)</f>
        <v>c_15e3504fd6fde5b88106b6d99934e830e051067bbd4af855bfd432d30fc2f262@group.calendar.google.com</v>
      </c>
      <c r="Y621" s="20"/>
      <c r="Z621" s="20"/>
      <c r="AA621" s="20"/>
      <c r="AB621" s="20"/>
      <c r="AC621" s="20"/>
    </row>
    <row r="622" hidden="1">
      <c r="A622" s="16" t="s">
        <v>42</v>
      </c>
      <c r="B622" s="54">
        <v>45513.0</v>
      </c>
      <c r="C622" s="16" t="s">
        <v>692</v>
      </c>
      <c r="E622" s="17"/>
      <c r="F622" s="17">
        <v>45536.0</v>
      </c>
      <c r="G622" s="17">
        <v>45551.0</v>
      </c>
      <c r="H622" s="10" t="s">
        <v>31</v>
      </c>
      <c r="J622" s="16" t="s">
        <v>43</v>
      </c>
      <c r="K622" s="23" t="s">
        <v>33</v>
      </c>
      <c r="L622" s="31" t="s">
        <v>56</v>
      </c>
      <c r="N622" s="65" t="s">
        <v>693</v>
      </c>
      <c r="O622" s="16"/>
      <c r="P622" s="16"/>
      <c r="Q622" s="17">
        <f t="shared" si="107"/>
        <v>45513</v>
      </c>
      <c r="S622" s="20"/>
      <c r="T622" s="68" t="str">
        <f>VLOOKUP(A622,'Calendar ID'!$A:$C,3,false)</f>
        <v>cmepls.pro@gmail.com</v>
      </c>
      <c r="U622" s="78" t="b">
        <v>0</v>
      </c>
      <c r="V622" s="68" t="str">
        <f>VLOOKUP($A622,'Calendar ID'!$A:$C,2,false)</f>
        <v>c_15e3504fd6fde5b88106b6d99934e830e051067bbd4af855bfd432d30fc2f262@group.calendar.google.com</v>
      </c>
      <c r="W622" s="69" t="b">
        <v>1</v>
      </c>
      <c r="X622" s="70" t="s">
        <v>82</v>
      </c>
      <c r="Y622" s="17">
        <v>45539.0</v>
      </c>
      <c r="AA622" s="29"/>
    </row>
    <row r="623" hidden="1">
      <c r="A623" s="16" t="s">
        <v>42</v>
      </c>
      <c r="B623" s="17">
        <v>45474.0</v>
      </c>
      <c r="C623" s="16" t="s">
        <v>694</v>
      </c>
      <c r="E623" s="17"/>
      <c r="F623" s="17">
        <v>45547.0</v>
      </c>
      <c r="G623" s="17">
        <f>F623+15</f>
        <v>45562</v>
      </c>
      <c r="H623" s="10" t="s">
        <v>31</v>
      </c>
      <c r="J623" s="16" t="s">
        <v>97</v>
      </c>
      <c r="K623" s="16" t="s">
        <v>33</v>
      </c>
      <c r="L623" s="31" t="s">
        <v>56</v>
      </c>
      <c r="N623" s="65" t="s">
        <v>695</v>
      </c>
      <c r="O623" s="16"/>
      <c r="P623" s="16"/>
      <c r="Q623" s="17">
        <f t="shared" si="107"/>
        <v>45474</v>
      </c>
      <c r="S623" s="20"/>
      <c r="T623" s="68" t="str">
        <f>VLOOKUP(A623,'Calendar ID'!$A:$C,3,false)</f>
        <v>cmepls.pro@gmail.com</v>
      </c>
      <c r="U623" s="71" t="b">
        <v>0</v>
      </c>
      <c r="V623" s="68" t="str">
        <f>VLOOKUP($A623,'Calendar ID'!$A:$C,2,false)</f>
        <v>c_15e3504fd6fde5b88106b6d99934e830e051067bbd4af855bfd432d30fc2f262@group.calendar.google.com</v>
      </c>
      <c r="W623" s="69" t="b">
        <v>1</v>
      </c>
      <c r="X623" s="70" t="s">
        <v>82</v>
      </c>
      <c r="Y623" s="20"/>
      <c r="Z623" s="20"/>
      <c r="AA623" s="20"/>
      <c r="AB623" s="20"/>
      <c r="AC623" s="20"/>
    </row>
    <row r="624" hidden="1">
      <c r="A624" s="16" t="s">
        <v>42</v>
      </c>
      <c r="B624" s="17">
        <v>45530.0</v>
      </c>
      <c r="C624" s="16" t="s">
        <v>220</v>
      </c>
      <c r="D624" s="16" t="s">
        <v>696</v>
      </c>
      <c r="E624" s="17"/>
      <c r="F624" s="165">
        <v>45558.0</v>
      </c>
      <c r="G624" s="17">
        <v>45571.0</v>
      </c>
      <c r="H624" s="10" t="s">
        <v>31</v>
      </c>
      <c r="J624" s="16" t="s">
        <v>43</v>
      </c>
      <c r="K624" s="23" t="s">
        <v>33</v>
      </c>
      <c r="L624" s="31" t="s">
        <v>56</v>
      </c>
      <c r="N624" s="65" t="s">
        <v>697</v>
      </c>
      <c r="O624" s="16"/>
      <c r="P624" s="16"/>
      <c r="Q624" s="17">
        <f t="shared" si="107"/>
        <v>45530</v>
      </c>
      <c r="S624" s="20"/>
      <c r="T624" s="68" t="str">
        <f>VLOOKUP(A624,'Calendar ID'!$A:$C,3,false)</f>
        <v>cmepls.pro@gmail.com</v>
      </c>
      <c r="U624" s="78" t="b">
        <v>0</v>
      </c>
      <c r="V624" s="68" t="str">
        <f>VLOOKUP($A624,'Calendar ID'!$A:$C,2,false)</f>
        <v>c_15e3504fd6fde5b88106b6d99934e830e051067bbd4af855bfd432d30fc2f262@group.calendar.google.com</v>
      </c>
      <c r="W624" s="69" t="b">
        <v>1</v>
      </c>
      <c r="X624" s="70" t="s">
        <v>82</v>
      </c>
      <c r="AA624" s="16"/>
    </row>
    <row r="625" hidden="1">
      <c r="A625" s="23" t="s">
        <v>42</v>
      </c>
      <c r="B625" s="11">
        <v>45552.0</v>
      </c>
      <c r="C625" s="23" t="s">
        <v>160</v>
      </c>
      <c r="D625" s="7"/>
      <c r="E625" s="11"/>
      <c r="F625" s="7"/>
      <c r="G625" s="54">
        <v>45572.0</v>
      </c>
      <c r="H625" s="23" t="s">
        <v>31</v>
      </c>
      <c r="I625" s="10" t="s">
        <v>698</v>
      </c>
      <c r="J625" s="23" t="s">
        <v>43</v>
      </c>
      <c r="K625" s="23" t="s">
        <v>33</v>
      </c>
      <c r="L625" s="15">
        <v>1250.0</v>
      </c>
      <c r="M625" s="7"/>
      <c r="N625" s="23"/>
      <c r="O625" s="23"/>
      <c r="P625" s="23" t="s">
        <v>34</v>
      </c>
      <c r="Q625" s="17">
        <f t="shared" si="107"/>
        <v>45552</v>
      </c>
      <c r="R625" s="15">
        <f t="shared" ref="R625:R626" si="109">L625*0.25</f>
        <v>312.5</v>
      </c>
      <c r="S625" s="68"/>
      <c r="T625" s="68" t="str">
        <f>VLOOKUP(A625,'Calendar ID'!$A:$C,3,false)</f>
        <v>cmepls.pro@gmail.com</v>
      </c>
      <c r="U625" s="78" t="b">
        <v>1</v>
      </c>
      <c r="V625" s="68" t="s">
        <v>82</v>
      </c>
      <c r="W625" s="71" t="b">
        <v>1</v>
      </c>
      <c r="X625" s="68" t="s">
        <v>82</v>
      </c>
      <c r="Y625" s="7"/>
      <c r="Z625" s="7"/>
      <c r="AA625" s="7"/>
      <c r="AB625" s="7"/>
      <c r="AC625" s="7"/>
    </row>
    <row r="626" hidden="1">
      <c r="A626" s="16" t="s">
        <v>42</v>
      </c>
      <c r="B626" s="17">
        <v>45552.0</v>
      </c>
      <c r="C626" s="16" t="s">
        <v>160</v>
      </c>
      <c r="E626" s="17"/>
      <c r="G626" s="17">
        <v>45572.0</v>
      </c>
      <c r="H626" s="10" t="s">
        <v>31</v>
      </c>
      <c r="I626" s="16" t="s">
        <v>699</v>
      </c>
      <c r="J626" s="16" t="s">
        <v>43</v>
      </c>
      <c r="K626" s="23" t="s">
        <v>33</v>
      </c>
      <c r="L626" s="31">
        <v>250.0</v>
      </c>
      <c r="N626" s="16"/>
      <c r="O626" s="16"/>
      <c r="P626" s="23" t="s">
        <v>34</v>
      </c>
      <c r="Q626" s="17">
        <f t="shared" si="107"/>
        <v>45552</v>
      </c>
      <c r="R626" s="15">
        <f t="shared" si="109"/>
        <v>62.5</v>
      </c>
      <c r="S626" s="20"/>
      <c r="T626" s="68" t="str">
        <f>VLOOKUP(A626,'Calendar ID'!$A:$C,3,false)</f>
        <v>cmepls.pro@gmail.com</v>
      </c>
      <c r="U626" s="77" t="b">
        <v>1</v>
      </c>
      <c r="V626" s="70" t="s">
        <v>82</v>
      </c>
      <c r="W626" s="69" t="b">
        <v>1</v>
      </c>
      <c r="X626" s="70" t="s">
        <v>82</v>
      </c>
    </row>
    <row r="627" hidden="1">
      <c r="A627" s="16" t="s">
        <v>42</v>
      </c>
      <c r="B627" s="17">
        <v>45549.0</v>
      </c>
      <c r="C627" s="16" t="s">
        <v>628</v>
      </c>
      <c r="E627" s="17"/>
      <c r="G627" s="17">
        <v>45575.0</v>
      </c>
      <c r="H627" s="10" t="s">
        <v>31</v>
      </c>
      <c r="J627" s="16" t="s">
        <v>266</v>
      </c>
      <c r="K627" s="23" t="s">
        <v>33</v>
      </c>
      <c r="L627" s="31" t="s">
        <v>56</v>
      </c>
      <c r="N627" s="16"/>
      <c r="O627" s="16"/>
      <c r="P627" s="16"/>
      <c r="Q627" s="17">
        <f t="shared" si="107"/>
        <v>45549</v>
      </c>
      <c r="S627" s="20"/>
      <c r="T627" s="68" t="str">
        <f>VLOOKUP(A627,'Calendar ID'!$A:$C,3,false)</f>
        <v>cmepls.pro@gmail.com</v>
      </c>
      <c r="U627" s="78" t="b">
        <v>0</v>
      </c>
      <c r="V627" s="68" t="str">
        <f>VLOOKUP($A627,'Calendar ID'!$A:$C,2,false)</f>
        <v>c_15e3504fd6fde5b88106b6d99934e830e051067bbd4af855bfd432d30fc2f262@group.calendar.google.com</v>
      </c>
      <c r="W627" s="71" t="b">
        <v>0</v>
      </c>
      <c r="X627" s="68" t="str">
        <f>VLOOKUP($A627,'Calendar ID'!$A:$C,2,false)</f>
        <v>c_15e3504fd6fde5b88106b6d99934e830e051067bbd4af855bfd432d30fc2f262@group.calendar.google.com</v>
      </c>
    </row>
    <row r="628" hidden="1">
      <c r="A628" s="16" t="s">
        <v>42</v>
      </c>
      <c r="B628" s="17">
        <v>45560.0</v>
      </c>
      <c r="C628" s="16" t="s">
        <v>700</v>
      </c>
      <c r="D628" s="16" t="s">
        <v>701</v>
      </c>
      <c r="E628" s="17"/>
      <c r="F628" s="17">
        <v>45563.0</v>
      </c>
      <c r="G628" s="17">
        <v>45585.0</v>
      </c>
      <c r="H628" s="10" t="s">
        <v>31</v>
      </c>
      <c r="J628" s="16" t="s">
        <v>266</v>
      </c>
      <c r="K628" s="23" t="s">
        <v>33</v>
      </c>
      <c r="L628" s="31" t="s">
        <v>56</v>
      </c>
      <c r="N628" s="65" t="s">
        <v>702</v>
      </c>
      <c r="O628" s="16"/>
      <c r="P628" s="16"/>
      <c r="Q628" s="17">
        <f t="shared" si="107"/>
        <v>45560</v>
      </c>
      <c r="S628" s="20"/>
      <c r="T628" s="68" t="str">
        <f>VLOOKUP(A628,'Calendar ID'!$A:$C,3,false)</f>
        <v>cmepls.pro@gmail.com</v>
      </c>
      <c r="U628" s="78" t="b">
        <v>0</v>
      </c>
      <c r="V628" s="68" t="str">
        <f>VLOOKUP($A628,'Calendar ID'!$A:$C,2,false)</f>
        <v>c_15e3504fd6fde5b88106b6d99934e830e051067bbd4af855bfd432d30fc2f262@group.calendar.google.com</v>
      </c>
      <c r="W628" s="69" t="b">
        <v>1</v>
      </c>
      <c r="X628" s="70" t="s">
        <v>82</v>
      </c>
    </row>
    <row r="629" hidden="1">
      <c r="A629" s="16" t="s">
        <v>42</v>
      </c>
      <c r="B629" s="17">
        <v>45562.0</v>
      </c>
      <c r="C629" s="16" t="s">
        <v>256</v>
      </c>
      <c r="E629" s="17"/>
      <c r="F629" s="17">
        <v>45565.0</v>
      </c>
      <c r="G629" s="17">
        <v>45586.0</v>
      </c>
      <c r="H629" s="10" t="s">
        <v>31</v>
      </c>
      <c r="J629" s="23" t="s">
        <v>43</v>
      </c>
      <c r="K629" s="23" t="s">
        <v>33</v>
      </c>
      <c r="L629" s="31" t="s">
        <v>56</v>
      </c>
      <c r="N629" s="65" t="s">
        <v>703</v>
      </c>
      <c r="O629" s="16"/>
      <c r="P629" s="16"/>
      <c r="Q629" s="17">
        <f t="shared" si="107"/>
        <v>45562</v>
      </c>
      <c r="S629" s="20"/>
      <c r="T629" s="68" t="str">
        <f>VLOOKUP(A629,'Calendar ID'!$A:$C,3,false)</f>
        <v>cmepls.pro@gmail.com</v>
      </c>
      <c r="U629" s="78" t="b">
        <v>0</v>
      </c>
      <c r="V629" s="68" t="str">
        <f>VLOOKUP($A629,'Calendar ID'!$A:$C,2,false)</f>
        <v>c_15e3504fd6fde5b88106b6d99934e830e051067bbd4af855bfd432d30fc2f262@group.calendar.google.com</v>
      </c>
      <c r="W629" s="69" t="b">
        <v>1</v>
      </c>
      <c r="X629" s="70" t="s">
        <v>82</v>
      </c>
    </row>
    <row r="630" hidden="1">
      <c r="A630" s="16" t="s">
        <v>42</v>
      </c>
      <c r="B630" s="17">
        <v>45565.0</v>
      </c>
      <c r="C630" s="16" t="s">
        <v>630</v>
      </c>
      <c r="D630" s="16" t="s">
        <v>704</v>
      </c>
      <c r="E630" s="17"/>
      <c r="F630" s="17">
        <v>45566.0</v>
      </c>
      <c r="G630" s="17">
        <v>45587.0</v>
      </c>
      <c r="H630" s="10" t="s">
        <v>31</v>
      </c>
      <c r="J630" s="16" t="s">
        <v>43</v>
      </c>
      <c r="K630" s="23" t="s">
        <v>33</v>
      </c>
      <c r="L630" s="31" t="s">
        <v>56</v>
      </c>
      <c r="N630" s="65" t="s">
        <v>705</v>
      </c>
      <c r="O630" s="16"/>
      <c r="P630" s="16"/>
      <c r="Q630" s="17">
        <f t="shared" si="107"/>
        <v>45565</v>
      </c>
      <c r="S630" s="20"/>
      <c r="T630" s="68" t="str">
        <f>VLOOKUP(A630,'Calendar ID'!$A:$C,3,false)</f>
        <v>cmepls.pro@gmail.com</v>
      </c>
      <c r="U630" s="78" t="b">
        <v>0</v>
      </c>
      <c r="V630" s="68" t="str">
        <f>VLOOKUP($A630,'Calendar ID'!$A:$C,2,false)</f>
        <v>c_15e3504fd6fde5b88106b6d99934e830e051067bbd4af855bfd432d30fc2f262@group.calendar.google.com</v>
      </c>
      <c r="W630" s="69" t="b">
        <v>1</v>
      </c>
      <c r="X630" s="70" t="s">
        <v>82</v>
      </c>
    </row>
    <row r="631" hidden="1">
      <c r="A631" s="16" t="s">
        <v>42</v>
      </c>
      <c r="B631" s="82">
        <v>45579.0</v>
      </c>
      <c r="C631" s="16" t="s">
        <v>630</v>
      </c>
      <c r="D631" s="16" t="s">
        <v>631</v>
      </c>
      <c r="E631" s="17"/>
      <c r="F631" s="82">
        <v>45581.0</v>
      </c>
      <c r="G631" s="82">
        <v>45595.0</v>
      </c>
      <c r="H631" s="10" t="s">
        <v>31</v>
      </c>
      <c r="J631" s="16" t="s">
        <v>43</v>
      </c>
      <c r="K631" s="23" t="s">
        <v>33</v>
      </c>
      <c r="L631" s="31" t="s">
        <v>56</v>
      </c>
      <c r="N631" s="65" t="s">
        <v>706</v>
      </c>
      <c r="O631" s="16"/>
      <c r="P631" s="16"/>
      <c r="Q631" s="17">
        <f t="shared" si="107"/>
        <v>45579</v>
      </c>
      <c r="S631" s="20"/>
      <c r="T631" s="68" t="str">
        <f>VLOOKUP(A631,'Calendar ID'!$A:$C,3,false)</f>
        <v>cmepls.pro@gmail.com</v>
      </c>
      <c r="U631" s="78" t="b">
        <v>0</v>
      </c>
      <c r="V631" s="68" t="str">
        <f>VLOOKUP($A631,'Calendar ID'!$A:$C,2,false)</f>
        <v>c_15e3504fd6fde5b88106b6d99934e830e051067bbd4af855bfd432d30fc2f262@group.calendar.google.com</v>
      </c>
      <c r="W631" s="69" t="b">
        <v>1</v>
      </c>
      <c r="X631" s="70" t="s">
        <v>82</v>
      </c>
    </row>
    <row r="632" hidden="1">
      <c r="A632" s="16" t="s">
        <v>42</v>
      </c>
      <c r="B632" s="82">
        <v>45575.0</v>
      </c>
      <c r="C632" s="16" t="s">
        <v>51</v>
      </c>
      <c r="E632" s="17"/>
      <c r="F632" s="17">
        <v>45577.0</v>
      </c>
      <c r="G632" s="17">
        <v>45598.0</v>
      </c>
      <c r="H632" s="10" t="s">
        <v>31</v>
      </c>
      <c r="J632" s="16" t="s">
        <v>97</v>
      </c>
      <c r="K632" s="23" t="s">
        <v>33</v>
      </c>
      <c r="L632" s="31" t="s">
        <v>56</v>
      </c>
      <c r="N632" s="65" t="s">
        <v>707</v>
      </c>
      <c r="O632" s="16"/>
      <c r="P632" s="16"/>
      <c r="Q632" s="17">
        <f t="shared" si="107"/>
        <v>45575</v>
      </c>
      <c r="S632" s="20"/>
      <c r="T632" s="68" t="str">
        <f>VLOOKUP(A632,'Calendar ID'!$A:$C,3,false)</f>
        <v>cmepls.pro@gmail.com</v>
      </c>
      <c r="U632" s="78" t="b">
        <v>0</v>
      </c>
      <c r="V632" s="68" t="str">
        <f>VLOOKUP($A632,'Calendar ID'!$A:$C,2,false)</f>
        <v>c_15e3504fd6fde5b88106b6d99934e830e051067bbd4af855bfd432d30fc2f262@group.calendar.google.com</v>
      </c>
      <c r="W632" s="69" t="b">
        <v>1</v>
      </c>
      <c r="X632" s="70" t="s">
        <v>82</v>
      </c>
    </row>
    <row r="633" hidden="1">
      <c r="A633" s="16" t="s">
        <v>42</v>
      </c>
      <c r="B633" s="17">
        <v>45600.0</v>
      </c>
      <c r="C633" s="16" t="s">
        <v>708</v>
      </c>
      <c r="E633" s="17"/>
      <c r="F633" s="17">
        <v>45602.0</v>
      </c>
      <c r="G633" s="17">
        <v>45623.0</v>
      </c>
      <c r="H633" s="10" t="s">
        <v>31</v>
      </c>
      <c r="J633" s="16" t="s">
        <v>43</v>
      </c>
      <c r="K633" s="23" t="s">
        <v>33</v>
      </c>
      <c r="L633" s="31" t="s">
        <v>56</v>
      </c>
      <c r="N633" s="65" t="s">
        <v>709</v>
      </c>
      <c r="O633" s="16"/>
      <c r="P633" s="16"/>
      <c r="Q633" s="17">
        <f t="shared" si="107"/>
        <v>45600</v>
      </c>
      <c r="S633" s="20"/>
      <c r="T633" s="68" t="str">
        <f>VLOOKUP(A633,'Calendar ID'!$A:$C,3,false)</f>
        <v>cmepls.pro@gmail.com</v>
      </c>
      <c r="U633" s="77" t="b">
        <v>0</v>
      </c>
      <c r="V633" s="68" t="str">
        <f>VLOOKUP($A633,'Calendar ID'!$A:$C,2,false)</f>
        <v>c_15e3504fd6fde5b88106b6d99934e830e051067bbd4af855bfd432d30fc2f262@group.calendar.google.com</v>
      </c>
      <c r="W633" s="77" t="b">
        <v>1</v>
      </c>
      <c r="X633" s="70" t="s">
        <v>82</v>
      </c>
    </row>
    <row r="634" hidden="1">
      <c r="A634" s="16" t="s">
        <v>42</v>
      </c>
      <c r="B634" s="17">
        <v>45636.0</v>
      </c>
      <c r="C634" s="16" t="s">
        <v>634</v>
      </c>
      <c r="E634" s="17"/>
      <c r="F634" s="96">
        <v>45302.0</v>
      </c>
      <c r="G634" s="17">
        <v>45650.0</v>
      </c>
      <c r="H634" s="10" t="s">
        <v>31</v>
      </c>
      <c r="J634" s="16" t="s">
        <v>43</v>
      </c>
      <c r="K634" s="23" t="s">
        <v>33</v>
      </c>
      <c r="L634" s="31" t="s">
        <v>56</v>
      </c>
      <c r="N634" s="55" t="s">
        <v>710</v>
      </c>
      <c r="O634" s="16"/>
      <c r="P634" s="16"/>
      <c r="Q634" s="17">
        <f t="shared" si="107"/>
        <v>45636</v>
      </c>
      <c r="S634" s="20"/>
      <c r="T634" s="68" t="str">
        <f>VLOOKUP(A634,'Calendar ID'!$A:$C,3,false)</f>
        <v>cmepls.pro@gmail.com</v>
      </c>
      <c r="U634" s="69" t="b">
        <v>0</v>
      </c>
      <c r="V634" s="68" t="str">
        <f>VLOOKUP($A634,'Calendar ID'!$A:$C,2,false)</f>
        <v>c_15e3504fd6fde5b88106b6d99934e830e051067bbd4af855bfd432d30fc2f262@group.calendar.google.com</v>
      </c>
      <c r="W634" s="69" t="b">
        <v>1</v>
      </c>
      <c r="X634" s="70" t="s">
        <v>82</v>
      </c>
    </row>
    <row r="635" hidden="1">
      <c r="A635" s="16" t="s">
        <v>42</v>
      </c>
      <c r="B635" s="17">
        <v>45628.0</v>
      </c>
      <c r="C635" s="16" t="s">
        <v>651</v>
      </c>
      <c r="E635" s="17"/>
      <c r="F635" s="17">
        <v>45630.0</v>
      </c>
      <c r="G635" s="17">
        <v>45651.0</v>
      </c>
      <c r="H635" s="10" t="s">
        <v>31</v>
      </c>
      <c r="J635" s="16" t="s">
        <v>593</v>
      </c>
      <c r="K635" s="23" t="s">
        <v>33</v>
      </c>
      <c r="L635" s="31" t="s">
        <v>56</v>
      </c>
      <c r="N635" s="16"/>
      <c r="O635" s="16"/>
      <c r="P635" s="16"/>
      <c r="Q635" s="17">
        <f t="shared" si="107"/>
        <v>45628</v>
      </c>
      <c r="S635" s="20"/>
      <c r="T635" s="68" t="str">
        <f>VLOOKUP(A635,'Calendar ID'!$A:$C,3,false)</f>
        <v>cmepls.pro@gmail.com</v>
      </c>
      <c r="U635" s="71" t="b">
        <v>0</v>
      </c>
      <c r="V635" s="68" t="str">
        <f>VLOOKUP($A635,'Calendar ID'!$A:$C,2,false)</f>
        <v>c_15e3504fd6fde5b88106b6d99934e830e051067bbd4af855bfd432d30fc2f262@group.calendar.google.com</v>
      </c>
      <c r="W635" s="69" t="b">
        <v>1</v>
      </c>
      <c r="X635" s="70" t="s">
        <v>82</v>
      </c>
    </row>
    <row r="636" hidden="1">
      <c r="A636" s="16" t="s">
        <v>42</v>
      </c>
      <c r="B636" s="17">
        <v>45630.0</v>
      </c>
      <c r="C636" s="16" t="s">
        <v>636</v>
      </c>
      <c r="E636" s="17"/>
      <c r="F636" s="17">
        <v>45632.0</v>
      </c>
      <c r="G636" s="17">
        <v>45651.0</v>
      </c>
      <c r="H636" s="10" t="s">
        <v>31</v>
      </c>
      <c r="J636" s="16" t="s">
        <v>593</v>
      </c>
      <c r="K636" s="23" t="s">
        <v>33</v>
      </c>
      <c r="L636" s="31" t="s">
        <v>56</v>
      </c>
      <c r="N636" s="16"/>
      <c r="O636" s="16"/>
      <c r="P636" s="16"/>
      <c r="Q636" s="17">
        <f t="shared" si="107"/>
        <v>45630</v>
      </c>
      <c r="S636" s="20"/>
      <c r="T636" s="68" t="str">
        <f>VLOOKUP(A636,'Calendar ID'!$A:$C,3,false)</f>
        <v>cmepls.pro@gmail.com</v>
      </c>
      <c r="U636" s="77" t="b">
        <v>0</v>
      </c>
      <c r="V636" s="68" t="str">
        <f>VLOOKUP($A636,'Calendar ID'!$A:$C,2,false)</f>
        <v>c_15e3504fd6fde5b88106b6d99934e830e051067bbd4af855bfd432d30fc2f262@group.calendar.google.com</v>
      </c>
      <c r="W636" s="77" t="b">
        <v>1</v>
      </c>
      <c r="X636" s="70" t="s">
        <v>82</v>
      </c>
    </row>
    <row r="637" hidden="1">
      <c r="A637" s="16" t="s">
        <v>42</v>
      </c>
      <c r="B637" s="17">
        <v>45663.0</v>
      </c>
      <c r="C637" s="16" t="s">
        <v>220</v>
      </c>
      <c r="D637" s="16" t="s">
        <v>711</v>
      </c>
      <c r="E637" s="17"/>
      <c r="F637" s="96">
        <v>45666.0</v>
      </c>
      <c r="G637" s="105">
        <v>45685.0</v>
      </c>
      <c r="H637" s="10" t="s">
        <v>31</v>
      </c>
      <c r="J637" s="16" t="s">
        <v>593</v>
      </c>
      <c r="K637" s="23" t="s">
        <v>33</v>
      </c>
      <c r="L637" s="31" t="s">
        <v>56</v>
      </c>
      <c r="N637" s="65" t="s">
        <v>712</v>
      </c>
      <c r="O637" s="16"/>
      <c r="P637" s="16"/>
      <c r="Q637" s="17">
        <f t="shared" si="107"/>
        <v>45663</v>
      </c>
      <c r="S637" s="20"/>
      <c r="T637" s="68" t="str">
        <f>VLOOKUP(A637,'Calendar ID'!$A:$C,3,false)</f>
        <v>cmepls.pro@gmail.com</v>
      </c>
      <c r="U637" s="69" t="b">
        <v>0</v>
      </c>
      <c r="V637" s="68" t="str">
        <f>VLOOKUP($A637,'Calendar ID'!$A:$C,2,false)</f>
        <v>c_15e3504fd6fde5b88106b6d99934e830e051067bbd4af855bfd432d30fc2f262@group.calendar.google.com</v>
      </c>
      <c r="W637" s="69" t="b">
        <v>1</v>
      </c>
      <c r="X637" s="70" t="s">
        <v>82</v>
      </c>
    </row>
    <row r="638" hidden="1">
      <c r="A638" s="16" t="s">
        <v>42</v>
      </c>
      <c r="B638" s="17">
        <v>45664.0</v>
      </c>
      <c r="C638" s="16" t="s">
        <v>713</v>
      </c>
      <c r="E638" s="17"/>
      <c r="F638" s="96">
        <v>45666.0</v>
      </c>
      <c r="G638" s="105">
        <v>45685.0</v>
      </c>
      <c r="H638" s="10" t="s">
        <v>31</v>
      </c>
      <c r="J638" s="16" t="s">
        <v>593</v>
      </c>
      <c r="K638" s="23" t="s">
        <v>33</v>
      </c>
      <c r="L638" s="31" t="s">
        <v>56</v>
      </c>
      <c r="N638" s="16"/>
      <c r="O638" s="16"/>
      <c r="P638" s="16"/>
      <c r="Q638" s="17">
        <f t="shared" si="107"/>
        <v>45664</v>
      </c>
      <c r="S638" s="20"/>
      <c r="T638" s="68" t="str">
        <f>VLOOKUP(A638,'Calendar ID'!$A:$C,3,false)</f>
        <v>cmepls.pro@gmail.com</v>
      </c>
      <c r="U638" s="69" t="b">
        <v>0</v>
      </c>
      <c r="V638" s="68" t="str">
        <f>VLOOKUP($A638,'Calendar ID'!$A:$C,2,false)</f>
        <v>c_15e3504fd6fde5b88106b6d99934e830e051067bbd4af855bfd432d30fc2f262@group.calendar.google.com</v>
      </c>
      <c r="W638" s="69" t="b">
        <v>1</v>
      </c>
      <c r="X638" s="70" t="s">
        <v>82</v>
      </c>
    </row>
    <row r="639" hidden="1">
      <c r="A639" s="16" t="s">
        <v>42</v>
      </c>
      <c r="B639" s="17">
        <v>45670.0</v>
      </c>
      <c r="C639" s="16" t="s">
        <v>220</v>
      </c>
      <c r="D639" s="16" t="s">
        <v>714</v>
      </c>
      <c r="E639" s="17"/>
      <c r="F639" s="101">
        <v>45673.0</v>
      </c>
      <c r="G639" s="106">
        <v>45694.0</v>
      </c>
      <c r="H639" s="10" t="s">
        <v>31</v>
      </c>
      <c r="J639" s="16" t="s">
        <v>593</v>
      </c>
      <c r="K639" s="23" t="s">
        <v>33</v>
      </c>
      <c r="L639" s="31" t="s">
        <v>56</v>
      </c>
      <c r="N639" s="65" t="s">
        <v>715</v>
      </c>
      <c r="O639" s="16"/>
      <c r="P639" s="16"/>
      <c r="Q639" s="17">
        <f t="shared" si="107"/>
        <v>45670</v>
      </c>
      <c r="S639" s="20"/>
      <c r="T639" s="68" t="str">
        <f>VLOOKUP(A639,'Calendar ID'!$A:$C,3,false)</f>
        <v>cmepls.pro@gmail.com</v>
      </c>
      <c r="U639" s="71" t="b">
        <v>0</v>
      </c>
      <c r="V639" s="68" t="str">
        <f>VLOOKUP($A639,'Calendar ID'!$A:$C,2,false)</f>
        <v>c_15e3504fd6fde5b88106b6d99934e830e051067bbd4af855bfd432d30fc2f262@group.calendar.google.com</v>
      </c>
      <c r="W639" s="69" t="b">
        <v>1</v>
      </c>
      <c r="X639" s="70" t="s">
        <v>82</v>
      </c>
    </row>
    <row r="640" hidden="1">
      <c r="A640" s="16" t="s">
        <v>42</v>
      </c>
      <c r="B640" s="17">
        <v>45664.0</v>
      </c>
      <c r="C640" s="16" t="s">
        <v>651</v>
      </c>
      <c r="E640" s="17"/>
      <c r="F640" s="96">
        <v>45666.0</v>
      </c>
      <c r="G640" s="106">
        <v>45695.0</v>
      </c>
      <c r="H640" s="10" t="s">
        <v>31</v>
      </c>
      <c r="J640" s="16" t="s">
        <v>593</v>
      </c>
      <c r="K640" s="23" t="s">
        <v>33</v>
      </c>
      <c r="L640" s="31" t="s">
        <v>56</v>
      </c>
      <c r="N640" s="16"/>
      <c r="O640" s="16"/>
      <c r="P640" s="16"/>
      <c r="Q640" s="17">
        <f t="shared" si="107"/>
        <v>45664</v>
      </c>
      <c r="S640" s="20"/>
      <c r="T640" s="68" t="str">
        <f>VLOOKUP(A640,'Calendar ID'!$A:$C,3,false)</f>
        <v>cmepls.pro@gmail.com</v>
      </c>
      <c r="U640" s="69" t="b">
        <v>0</v>
      </c>
      <c r="V640" s="68" t="str">
        <f>VLOOKUP($A640,'Calendar ID'!$A:$C,2,false)</f>
        <v>c_15e3504fd6fde5b88106b6d99934e830e051067bbd4af855bfd432d30fc2f262@group.calendar.google.com</v>
      </c>
      <c r="W640" s="69" t="b">
        <v>1</v>
      </c>
      <c r="X640" s="70" t="s">
        <v>82</v>
      </c>
    </row>
    <row r="641" hidden="1">
      <c r="A641" s="23" t="s">
        <v>42</v>
      </c>
      <c r="B641" s="17">
        <v>45680.0</v>
      </c>
      <c r="C641" s="16" t="s">
        <v>645</v>
      </c>
      <c r="E641" s="17"/>
      <c r="F641" s="105">
        <v>45684.0</v>
      </c>
      <c r="G641" s="86">
        <v>45698.0</v>
      </c>
      <c r="H641" s="10" t="s">
        <v>31</v>
      </c>
      <c r="J641" s="16" t="s">
        <v>641</v>
      </c>
      <c r="K641" s="23" t="s">
        <v>33</v>
      </c>
      <c r="L641" s="31" t="s">
        <v>56</v>
      </c>
      <c r="N641" s="65" t="s">
        <v>716</v>
      </c>
      <c r="O641" s="16"/>
      <c r="P641" s="16"/>
      <c r="Q641" s="17">
        <f t="shared" si="107"/>
        <v>45680</v>
      </c>
      <c r="S641" s="20"/>
      <c r="T641" s="68" t="str">
        <f>VLOOKUP(A641,'Calendar ID'!$A:$C,3,false)</f>
        <v>cmepls.pro@gmail.com</v>
      </c>
      <c r="U641" s="71" t="b">
        <v>0</v>
      </c>
      <c r="V641" s="68" t="str">
        <f>VLOOKUP($A641,'Calendar ID'!$A:$C,2,false)</f>
        <v>c_15e3504fd6fde5b88106b6d99934e830e051067bbd4af855bfd432d30fc2f262@group.calendar.google.com</v>
      </c>
      <c r="W641" s="69" t="b">
        <v>1</v>
      </c>
      <c r="X641" s="70" t="s">
        <v>82</v>
      </c>
    </row>
    <row r="642" hidden="1">
      <c r="A642" s="16" t="s">
        <v>42</v>
      </c>
      <c r="B642" s="17">
        <v>45680.0</v>
      </c>
      <c r="C642" s="16" t="s">
        <v>717</v>
      </c>
      <c r="E642" s="17"/>
      <c r="F642" s="105">
        <v>45684.0</v>
      </c>
      <c r="G642" s="107">
        <v>45705.0</v>
      </c>
      <c r="H642" s="10" t="s">
        <v>31</v>
      </c>
      <c r="J642" s="16" t="s">
        <v>97</v>
      </c>
      <c r="K642" s="23" t="s">
        <v>33</v>
      </c>
      <c r="L642" s="31" t="s">
        <v>676</v>
      </c>
      <c r="N642" s="16"/>
      <c r="O642" s="16"/>
      <c r="P642" s="16"/>
      <c r="Q642" s="17">
        <f t="shared" si="107"/>
        <v>45680</v>
      </c>
      <c r="S642" s="20"/>
      <c r="T642" s="68" t="str">
        <f>VLOOKUP(A642,'Calendar ID'!$A:$C,3,false)</f>
        <v>cmepls.pro@gmail.com</v>
      </c>
      <c r="U642" s="71" t="b">
        <v>0</v>
      </c>
      <c r="V642" s="68" t="str">
        <f>VLOOKUP($A642,'Calendar ID'!$A:$C,2,false)</f>
        <v>c_15e3504fd6fde5b88106b6d99934e830e051067bbd4af855bfd432d30fc2f262@group.calendar.google.com</v>
      </c>
      <c r="W642" s="69" t="b">
        <v>1</v>
      </c>
      <c r="X642" s="70" t="s">
        <v>82</v>
      </c>
    </row>
    <row r="643" hidden="1">
      <c r="A643" s="16" t="s">
        <v>42</v>
      </c>
      <c r="B643" s="17">
        <v>45674.0</v>
      </c>
      <c r="C643" s="16" t="s">
        <v>630</v>
      </c>
      <c r="E643" s="17"/>
      <c r="F643" s="97">
        <v>45677.0</v>
      </c>
      <c r="G643" s="107">
        <v>45711.0</v>
      </c>
      <c r="H643" s="10" t="s">
        <v>31</v>
      </c>
      <c r="J643" s="16" t="s">
        <v>43</v>
      </c>
      <c r="K643" s="23" t="s">
        <v>33</v>
      </c>
      <c r="L643" s="31" t="s">
        <v>56</v>
      </c>
      <c r="N643" s="65" t="s">
        <v>718</v>
      </c>
      <c r="Q643" s="17">
        <f t="shared" si="107"/>
        <v>45674</v>
      </c>
      <c r="S643" s="20"/>
      <c r="T643" s="68" t="str">
        <f>VLOOKUP(A643,'Calendar ID'!$A:$C,3,false)</f>
        <v>cmepls.pro@gmail.com</v>
      </c>
      <c r="U643" s="77" t="b">
        <v>0</v>
      </c>
      <c r="V643" s="68" t="str">
        <f>VLOOKUP($A643,'Calendar ID'!$A:$C,2,false)</f>
        <v>c_15e3504fd6fde5b88106b6d99934e830e051067bbd4af855bfd432d30fc2f262@group.calendar.google.com</v>
      </c>
      <c r="W643" s="77" t="b">
        <v>1</v>
      </c>
      <c r="X643" s="70" t="s">
        <v>82</v>
      </c>
    </row>
    <row r="644" hidden="1">
      <c r="A644" s="160" t="s">
        <v>42</v>
      </c>
      <c r="B644" s="17">
        <v>45711.0</v>
      </c>
      <c r="C644" s="16" t="s">
        <v>640</v>
      </c>
      <c r="E644" s="17"/>
      <c r="F644" s="107">
        <v>45715.0</v>
      </c>
      <c r="G644" s="122">
        <v>45736.0</v>
      </c>
      <c r="H644" s="10" t="s">
        <v>31</v>
      </c>
      <c r="J644" s="16" t="s">
        <v>641</v>
      </c>
      <c r="K644" s="16" t="s">
        <v>33</v>
      </c>
      <c r="L644" s="31" t="s">
        <v>56</v>
      </c>
      <c r="N644" s="65" t="s">
        <v>719</v>
      </c>
      <c r="O644" s="16"/>
      <c r="P644" s="16"/>
      <c r="Q644" s="17">
        <f t="shared" si="107"/>
        <v>45711</v>
      </c>
      <c r="S644" s="20"/>
      <c r="T644" s="68" t="str">
        <f>VLOOKUP(A644,'Calendar ID'!$A:$C,3,false)</f>
        <v>cmepls.pro@gmail.com</v>
      </c>
      <c r="U644" s="71" t="b">
        <v>0</v>
      </c>
      <c r="V644" s="68" t="str">
        <f>VLOOKUP($A644,'Calendar ID'!$A:$C,2,false)</f>
        <v>c_15e3504fd6fde5b88106b6d99934e830e051067bbd4af855bfd432d30fc2f262@group.calendar.google.com</v>
      </c>
      <c r="W644" s="69" t="b">
        <v>1</v>
      </c>
      <c r="X644" s="70" t="s">
        <v>82</v>
      </c>
    </row>
    <row r="645" hidden="1">
      <c r="A645" s="16" t="s">
        <v>42</v>
      </c>
      <c r="B645" s="17">
        <v>45450.0</v>
      </c>
      <c r="C645" s="16" t="s">
        <v>173</v>
      </c>
      <c r="E645" s="17"/>
      <c r="G645" s="17"/>
      <c r="H645" s="16" t="s">
        <v>31</v>
      </c>
      <c r="J645" s="16" t="s">
        <v>97</v>
      </c>
      <c r="K645" s="16" t="s">
        <v>33</v>
      </c>
      <c r="L645" s="31" t="s">
        <v>56</v>
      </c>
      <c r="N645" s="16"/>
      <c r="O645" s="16"/>
      <c r="P645" s="16"/>
      <c r="Q645" s="17">
        <f t="shared" si="107"/>
        <v>45450</v>
      </c>
      <c r="S645" s="20"/>
      <c r="T645" s="20" t="str">
        <f>VLOOKUP(A645,'Calendar ID'!$A$2:$C$15,3)</f>
        <v>cmepls.pro@gmail.com</v>
      </c>
      <c r="U645" s="20" t="b">
        <v>0</v>
      </c>
      <c r="V645" s="20" t="str">
        <f>VLOOKUP($A645,'Calendar ID'!$A:$C,2,false)</f>
        <v>c_15e3504fd6fde5b88106b6d99934e830e051067bbd4af855bfd432d30fc2f262@group.calendar.google.com</v>
      </c>
      <c r="W645" s="19" t="b">
        <v>0</v>
      </c>
      <c r="X645" s="20" t="str">
        <f>VLOOKUP($A645,'Calendar ID'!$A:$C,2,false)</f>
        <v>c_15e3504fd6fde5b88106b6d99934e830e051067bbd4af855bfd432d30fc2f262@group.calendar.google.com</v>
      </c>
      <c r="Y645" s="20"/>
      <c r="Z645" s="20"/>
      <c r="AA645" s="20"/>
      <c r="AB645" s="20"/>
      <c r="AC645" s="20"/>
    </row>
    <row r="646" hidden="1">
      <c r="A646" s="16" t="s">
        <v>42</v>
      </c>
      <c r="B646" s="17">
        <v>45469.0</v>
      </c>
      <c r="C646" s="16" t="s">
        <v>720</v>
      </c>
      <c r="E646" s="17"/>
      <c r="G646" s="17"/>
      <c r="H646" s="16" t="s">
        <v>31</v>
      </c>
      <c r="J646" s="16" t="s">
        <v>266</v>
      </c>
      <c r="K646" s="16" t="s">
        <v>33</v>
      </c>
      <c r="L646" s="31" t="s">
        <v>56</v>
      </c>
      <c r="N646" s="55" t="s">
        <v>721</v>
      </c>
      <c r="O646" s="16"/>
      <c r="P646" s="16"/>
      <c r="Q646" s="17">
        <f t="shared" si="107"/>
        <v>45469</v>
      </c>
      <c r="S646" s="20"/>
      <c r="T646" s="20" t="str">
        <f>VLOOKUP(A646,'Calendar ID'!$A:$C,3,false)</f>
        <v>cmepls.pro@gmail.com</v>
      </c>
      <c r="U646" s="20" t="b">
        <v>0</v>
      </c>
      <c r="V646" s="20" t="str">
        <f>VLOOKUP($A646,'Calendar ID'!$A:$C,2,false)</f>
        <v>c_15e3504fd6fde5b88106b6d99934e830e051067bbd4af855bfd432d30fc2f262@group.calendar.google.com</v>
      </c>
      <c r="W646" s="19" t="b">
        <v>0</v>
      </c>
      <c r="X646" s="20" t="str">
        <f>VLOOKUP($A646,'Calendar ID'!$A:$C,2,false)</f>
        <v>c_15e3504fd6fde5b88106b6d99934e830e051067bbd4af855bfd432d30fc2f262@group.calendar.google.com</v>
      </c>
      <c r="Y646" s="20"/>
      <c r="Z646" s="20"/>
      <c r="AA646" s="20"/>
      <c r="AB646" s="20"/>
      <c r="AC646" s="20"/>
    </row>
    <row r="647" hidden="1">
      <c r="A647" s="16" t="s">
        <v>42</v>
      </c>
      <c r="B647" s="17">
        <v>45497.0</v>
      </c>
      <c r="C647" s="16" t="s">
        <v>226</v>
      </c>
      <c r="E647" s="17"/>
      <c r="G647" s="17"/>
      <c r="H647" s="10" t="s">
        <v>31</v>
      </c>
      <c r="J647" s="16" t="s">
        <v>97</v>
      </c>
      <c r="K647" s="23" t="s">
        <v>33</v>
      </c>
      <c r="L647" s="31" t="s">
        <v>56</v>
      </c>
      <c r="N647" s="55" t="s">
        <v>722</v>
      </c>
      <c r="O647" s="16"/>
      <c r="P647" s="16"/>
      <c r="Q647" s="17">
        <f t="shared" si="107"/>
        <v>45497</v>
      </c>
      <c r="S647" s="20"/>
      <c r="T647" s="68" t="str">
        <f>VLOOKUP(A647,'Calendar ID'!$A:$C,3,false)</f>
        <v>cmepls.pro@gmail.com</v>
      </c>
      <c r="U647" s="71" t="b">
        <v>0</v>
      </c>
      <c r="V647" s="68" t="str">
        <f>VLOOKUP($A647,'Calendar ID'!$A:$C,2,false)</f>
        <v>c_15e3504fd6fde5b88106b6d99934e830e051067bbd4af855bfd432d30fc2f262@group.calendar.google.com</v>
      </c>
      <c r="W647" s="71" t="b">
        <v>0</v>
      </c>
      <c r="X647" s="68" t="str">
        <f>VLOOKUP($A647,'Calendar ID'!$A:$C,2,false)</f>
        <v>c_15e3504fd6fde5b88106b6d99934e830e051067bbd4af855bfd432d30fc2f262@group.calendar.google.com</v>
      </c>
      <c r="Y647" s="20"/>
      <c r="Z647" s="20"/>
      <c r="AA647" s="20"/>
      <c r="AB647" s="20"/>
      <c r="AC647" s="20"/>
    </row>
    <row r="648" hidden="1">
      <c r="A648" s="160" t="s">
        <v>42</v>
      </c>
      <c r="B648" s="17">
        <v>45407.0</v>
      </c>
      <c r="C648" s="16" t="s">
        <v>287</v>
      </c>
      <c r="E648" s="17"/>
      <c r="H648" s="16" t="s">
        <v>31</v>
      </c>
      <c r="J648" s="16" t="s">
        <v>97</v>
      </c>
      <c r="K648" s="14" t="s">
        <v>33</v>
      </c>
      <c r="L648" s="31" t="s">
        <v>56</v>
      </c>
      <c r="N648" s="55" t="s">
        <v>723</v>
      </c>
      <c r="O648" s="16"/>
      <c r="P648" s="16"/>
      <c r="Q648" s="17">
        <f t="shared" si="107"/>
        <v>45407</v>
      </c>
      <c r="S648" s="20"/>
      <c r="T648" s="20"/>
      <c r="U648" s="20"/>
      <c r="V648" s="20"/>
      <c r="W648" s="20"/>
      <c r="X648" s="20"/>
      <c r="Y648" s="20"/>
      <c r="Z648" s="20"/>
      <c r="AA648" s="20"/>
      <c r="AB648" s="20"/>
      <c r="AC648" s="20"/>
    </row>
    <row r="649" hidden="1">
      <c r="A649" s="16" t="s">
        <v>42</v>
      </c>
      <c r="B649" s="11">
        <v>45511.0</v>
      </c>
      <c r="C649" s="16" t="s">
        <v>724</v>
      </c>
      <c r="E649" s="17"/>
      <c r="G649" s="17"/>
      <c r="H649" s="10" t="s">
        <v>31</v>
      </c>
      <c r="J649" s="16" t="s">
        <v>97</v>
      </c>
      <c r="K649" s="23" t="s">
        <v>33</v>
      </c>
      <c r="L649" s="31" t="s">
        <v>56</v>
      </c>
      <c r="N649" s="65" t="s">
        <v>725</v>
      </c>
      <c r="O649" s="16"/>
      <c r="P649" s="16"/>
      <c r="Q649" s="17">
        <f t="shared" si="107"/>
        <v>45511</v>
      </c>
      <c r="S649" s="20"/>
      <c r="T649" s="68" t="str">
        <f>VLOOKUP(A649,'Calendar ID'!$A:$C,3,false)</f>
        <v>cmepls.pro@gmail.com</v>
      </c>
      <c r="U649" s="78" t="b">
        <v>0</v>
      </c>
      <c r="V649" s="68" t="str">
        <f>VLOOKUP($A649,'Calendar ID'!$A:$C,2,false)</f>
        <v>c_15e3504fd6fde5b88106b6d99934e830e051067bbd4af855bfd432d30fc2f262@group.calendar.google.com</v>
      </c>
      <c r="W649" s="71" t="b">
        <v>0</v>
      </c>
      <c r="X649" s="68" t="str">
        <f>VLOOKUP($A649,'Calendar ID'!$A:$C,2,false)</f>
        <v>c_15e3504fd6fde5b88106b6d99934e830e051067bbd4af855bfd432d30fc2f262@group.calendar.google.com</v>
      </c>
      <c r="AA649" s="16"/>
    </row>
    <row r="650" hidden="1">
      <c r="A650" s="16" t="s">
        <v>42</v>
      </c>
      <c r="B650" s="17">
        <v>45484.0</v>
      </c>
      <c r="C650" s="16" t="s">
        <v>634</v>
      </c>
      <c r="E650" s="17"/>
      <c r="G650" s="17"/>
      <c r="H650" s="10" t="s">
        <v>31</v>
      </c>
      <c r="J650" s="7" t="s">
        <v>43</v>
      </c>
      <c r="K650" s="23" t="s">
        <v>33</v>
      </c>
      <c r="L650" s="31" t="s">
        <v>56</v>
      </c>
      <c r="N650" s="65" t="s">
        <v>726</v>
      </c>
      <c r="O650" s="16"/>
      <c r="P650" s="16"/>
      <c r="Q650" s="17">
        <f t="shared" si="107"/>
        <v>45484</v>
      </c>
      <c r="S650" s="20"/>
      <c r="T650" s="68" t="str">
        <f>VLOOKUP(A650,'Calendar ID'!$A:$C,3,false)</f>
        <v>cmepls.pro@gmail.com</v>
      </c>
      <c r="U650" s="71" t="b">
        <v>0</v>
      </c>
      <c r="V650" s="68" t="str">
        <f>VLOOKUP($A650,'Calendar ID'!$A:$C,2,false)</f>
        <v>c_15e3504fd6fde5b88106b6d99934e830e051067bbd4af855bfd432d30fc2f262@group.calendar.google.com</v>
      </c>
      <c r="W650" s="71" t="b">
        <v>0</v>
      </c>
      <c r="X650" s="68" t="str">
        <f>VLOOKUP($A650,'Calendar ID'!$A:$C,2,false)</f>
        <v>c_15e3504fd6fde5b88106b6d99934e830e051067bbd4af855bfd432d30fc2f262@group.calendar.google.com</v>
      </c>
      <c r="Y650" s="20"/>
      <c r="Z650" s="20"/>
      <c r="AA650" s="20"/>
      <c r="AB650" s="20"/>
      <c r="AC650" s="20"/>
    </row>
    <row r="651" hidden="1">
      <c r="A651" s="16" t="s">
        <v>42</v>
      </c>
      <c r="B651" s="17">
        <v>45539.0</v>
      </c>
      <c r="C651" s="16" t="s">
        <v>173</v>
      </c>
      <c r="E651" s="17"/>
      <c r="G651" s="17"/>
      <c r="H651" s="10" t="s">
        <v>31</v>
      </c>
      <c r="J651" s="16" t="s">
        <v>266</v>
      </c>
      <c r="K651" s="23" t="s">
        <v>33</v>
      </c>
      <c r="L651" s="31" t="s">
        <v>56</v>
      </c>
      <c r="N651" s="16"/>
      <c r="O651" s="16"/>
      <c r="P651" s="16"/>
      <c r="Q651" s="17">
        <f t="shared" si="107"/>
        <v>45539</v>
      </c>
      <c r="S651" s="20"/>
      <c r="T651" s="68" t="str">
        <f>VLOOKUP(A651,'Calendar ID'!$A:$C,3,false)</f>
        <v>cmepls.pro@gmail.com</v>
      </c>
      <c r="U651" s="78" t="b">
        <v>0</v>
      </c>
      <c r="V651" s="68" t="str">
        <f>VLOOKUP($A651,'Calendar ID'!$A:$C,2,false)</f>
        <v>c_15e3504fd6fde5b88106b6d99934e830e051067bbd4af855bfd432d30fc2f262@group.calendar.google.com</v>
      </c>
      <c r="W651" s="71" t="b">
        <v>0</v>
      </c>
      <c r="X651" s="68" t="str">
        <f>VLOOKUP($A651,'Calendar ID'!$A:$C,2,false)</f>
        <v>c_15e3504fd6fde5b88106b6d99934e830e051067bbd4af855bfd432d30fc2f262@group.calendar.google.com</v>
      </c>
    </row>
    <row r="652" hidden="1">
      <c r="A652" s="16" t="s">
        <v>42</v>
      </c>
      <c r="B652" s="17">
        <v>45539.0</v>
      </c>
      <c r="C652" s="16" t="s">
        <v>655</v>
      </c>
      <c r="E652" s="17"/>
      <c r="G652" s="17"/>
      <c r="H652" s="10" t="s">
        <v>31</v>
      </c>
      <c r="J652" s="16" t="s">
        <v>266</v>
      </c>
      <c r="K652" s="23" t="s">
        <v>33</v>
      </c>
      <c r="L652" s="31" t="s">
        <v>56</v>
      </c>
      <c r="N652" s="16"/>
      <c r="O652" s="16"/>
      <c r="P652" s="16"/>
      <c r="Q652" s="17">
        <f t="shared" si="107"/>
        <v>45539</v>
      </c>
      <c r="S652" s="20"/>
      <c r="T652" s="68" t="str">
        <f>VLOOKUP(A652,'Calendar ID'!$A:$C,3,false)</f>
        <v>cmepls.pro@gmail.com</v>
      </c>
      <c r="U652" s="78" t="b">
        <v>0</v>
      </c>
      <c r="V652" s="68" t="str">
        <f>VLOOKUP($A652,'Calendar ID'!$A:$C,2,false)</f>
        <v>c_15e3504fd6fde5b88106b6d99934e830e051067bbd4af855bfd432d30fc2f262@group.calendar.google.com</v>
      </c>
      <c r="W652" s="71" t="b">
        <v>0</v>
      </c>
      <c r="X652" s="68" t="str">
        <f>VLOOKUP($A652,'Calendar ID'!$A:$C,2,false)</f>
        <v>c_15e3504fd6fde5b88106b6d99934e830e051067bbd4af855bfd432d30fc2f262@group.calendar.google.com</v>
      </c>
    </row>
    <row r="653" hidden="1">
      <c r="A653" s="16" t="s">
        <v>42</v>
      </c>
      <c r="B653" s="17">
        <v>45544.0</v>
      </c>
      <c r="C653" s="16" t="s">
        <v>167</v>
      </c>
      <c r="E653" s="17"/>
      <c r="G653" s="17"/>
      <c r="H653" s="10" t="s">
        <v>31</v>
      </c>
      <c r="I653" s="16" t="s">
        <v>423</v>
      </c>
      <c r="J653" s="16" t="s">
        <v>43</v>
      </c>
      <c r="K653" s="23" t="s">
        <v>33</v>
      </c>
      <c r="L653" s="31">
        <v>800.0</v>
      </c>
      <c r="N653" s="16"/>
      <c r="O653" s="16"/>
      <c r="P653" s="23" t="s">
        <v>34</v>
      </c>
      <c r="Q653" s="17">
        <f t="shared" si="107"/>
        <v>45544</v>
      </c>
      <c r="R653" s="15">
        <f>L653*0.25</f>
        <v>200</v>
      </c>
      <c r="S653" s="20"/>
      <c r="T653" s="68" t="str">
        <f>VLOOKUP(A653,'Calendar ID'!$A:$C,3,false)</f>
        <v>cmepls.pro@gmail.com</v>
      </c>
      <c r="U653" s="78" t="b">
        <v>0</v>
      </c>
      <c r="V653" s="68" t="str">
        <f>VLOOKUP($A653,'Calendar ID'!$A:$C,2,false)</f>
        <v>c_15e3504fd6fde5b88106b6d99934e830e051067bbd4af855bfd432d30fc2f262@group.calendar.google.com</v>
      </c>
      <c r="W653" s="71" t="b">
        <v>0</v>
      </c>
      <c r="X653" s="68" t="str">
        <f>VLOOKUP($A653,'Calendar ID'!$A:$C,2,false)</f>
        <v>c_15e3504fd6fde5b88106b6d99934e830e051067bbd4af855bfd432d30fc2f262@group.calendar.google.com</v>
      </c>
    </row>
    <row r="654" hidden="1">
      <c r="A654" s="16" t="s">
        <v>42</v>
      </c>
      <c r="B654" s="17">
        <v>45551.0</v>
      </c>
      <c r="C654" s="16" t="s">
        <v>727</v>
      </c>
      <c r="E654" s="17"/>
      <c r="G654" s="17"/>
      <c r="H654" s="10" t="s">
        <v>31</v>
      </c>
      <c r="J654" s="16" t="s">
        <v>266</v>
      </c>
      <c r="K654" s="23" t="s">
        <v>33</v>
      </c>
      <c r="L654" s="31" t="s">
        <v>56</v>
      </c>
      <c r="N654" s="16"/>
      <c r="O654" s="16"/>
      <c r="P654" s="16"/>
      <c r="Q654" s="17">
        <f t="shared" si="107"/>
        <v>45551</v>
      </c>
      <c r="S654" s="20"/>
      <c r="T654" s="68" t="str">
        <f>VLOOKUP(A654,'Calendar ID'!$A:$C,3,false)</f>
        <v>cmepls.pro@gmail.com</v>
      </c>
      <c r="U654" s="78" t="b">
        <v>0</v>
      </c>
      <c r="V654" s="68" t="str">
        <f>VLOOKUP($A654,'Calendar ID'!$A:$C,2,false)</f>
        <v>c_15e3504fd6fde5b88106b6d99934e830e051067bbd4af855bfd432d30fc2f262@group.calendar.google.com</v>
      </c>
      <c r="W654" s="71" t="b">
        <v>0</v>
      </c>
      <c r="X654" s="68" t="str">
        <f>VLOOKUP($A654,'Calendar ID'!$A:$C,2,false)</f>
        <v>c_15e3504fd6fde5b88106b6d99934e830e051067bbd4af855bfd432d30fc2f262@group.calendar.google.com</v>
      </c>
    </row>
    <row r="655" hidden="1">
      <c r="A655" s="16" t="s">
        <v>42</v>
      </c>
      <c r="B655" s="17">
        <v>45560.0</v>
      </c>
      <c r="C655" s="16" t="s">
        <v>728</v>
      </c>
      <c r="E655" s="17"/>
      <c r="G655" s="17"/>
      <c r="H655" s="10" t="s">
        <v>31</v>
      </c>
      <c r="J655" s="16" t="s">
        <v>266</v>
      </c>
      <c r="K655" s="23" t="s">
        <v>33</v>
      </c>
      <c r="L655" s="31" t="s">
        <v>56</v>
      </c>
      <c r="N655" s="16"/>
      <c r="O655" s="16"/>
      <c r="P655" s="16"/>
      <c r="Q655" s="17">
        <f t="shared" si="107"/>
        <v>45560</v>
      </c>
      <c r="S655" s="20"/>
      <c r="T655" s="68" t="str">
        <f>VLOOKUP(A655,'Calendar ID'!$A:$C,3,false)</f>
        <v>cmepls.pro@gmail.com</v>
      </c>
      <c r="U655" s="78" t="b">
        <v>0</v>
      </c>
      <c r="V655" s="68" t="str">
        <f>VLOOKUP($A655,'Calendar ID'!$A:$C,2,false)</f>
        <v>c_15e3504fd6fde5b88106b6d99934e830e051067bbd4af855bfd432d30fc2f262@group.calendar.google.com</v>
      </c>
      <c r="W655" s="71" t="b">
        <v>0</v>
      </c>
      <c r="X655" s="68" t="str">
        <f>VLOOKUP($A655,'Calendar ID'!$A:$C,2,false)</f>
        <v>c_15e3504fd6fde5b88106b6d99934e830e051067bbd4af855bfd432d30fc2f262@group.calendar.google.com</v>
      </c>
    </row>
    <row r="656" hidden="1">
      <c r="A656" s="16" t="s">
        <v>42</v>
      </c>
      <c r="B656" s="17">
        <v>45565.0</v>
      </c>
      <c r="C656" s="16" t="s">
        <v>729</v>
      </c>
      <c r="E656" s="17"/>
      <c r="G656" s="17"/>
      <c r="H656" s="10" t="s">
        <v>31</v>
      </c>
      <c r="J656" s="16" t="s">
        <v>266</v>
      </c>
      <c r="K656" s="23" t="s">
        <v>33</v>
      </c>
      <c r="L656" s="31" t="s">
        <v>56</v>
      </c>
      <c r="N656" s="16"/>
      <c r="O656" s="16"/>
      <c r="P656" s="16"/>
      <c r="Q656" s="17">
        <f t="shared" si="107"/>
        <v>45565</v>
      </c>
      <c r="S656" s="20"/>
      <c r="T656" s="68" t="str">
        <f>VLOOKUP(A656,'Calendar ID'!$A:$C,3,false)</f>
        <v>cmepls.pro@gmail.com</v>
      </c>
      <c r="U656" s="78" t="b">
        <v>0</v>
      </c>
      <c r="V656" s="68" t="str">
        <f>VLOOKUP($A656,'Calendar ID'!$A:$C,2,false)</f>
        <v>c_15e3504fd6fde5b88106b6d99934e830e051067bbd4af855bfd432d30fc2f262@group.calendar.google.com</v>
      </c>
      <c r="W656" s="71" t="b">
        <v>0</v>
      </c>
      <c r="X656" s="68" t="str">
        <f>VLOOKUP($A656,'Calendar ID'!$A:$C,2,false)</f>
        <v>c_15e3504fd6fde5b88106b6d99934e830e051067bbd4af855bfd432d30fc2f262@group.calendar.google.com</v>
      </c>
    </row>
    <row r="657" hidden="1">
      <c r="A657" s="16" t="s">
        <v>42</v>
      </c>
      <c r="B657" s="17">
        <v>45593.0</v>
      </c>
      <c r="C657" s="16" t="s">
        <v>730</v>
      </c>
      <c r="E657" s="162"/>
      <c r="G657" s="17"/>
      <c r="H657" s="10" t="s">
        <v>31</v>
      </c>
      <c r="J657" s="16" t="s">
        <v>266</v>
      </c>
      <c r="K657" s="23" t="s">
        <v>33</v>
      </c>
      <c r="L657" s="31" t="s">
        <v>56</v>
      </c>
      <c r="N657" s="16"/>
      <c r="O657" s="16"/>
      <c r="P657" s="16"/>
      <c r="Q657" s="17">
        <f t="shared" si="107"/>
        <v>45593</v>
      </c>
      <c r="S657" s="20"/>
      <c r="T657" s="68" t="str">
        <f>VLOOKUP(A657,'Calendar ID'!$A:$C,3,false)</f>
        <v>cmepls.pro@gmail.com</v>
      </c>
      <c r="U657" s="77" t="b">
        <v>0</v>
      </c>
      <c r="V657" s="68" t="str">
        <f>VLOOKUP($A657,'Calendar ID'!$A:$C,2,false)</f>
        <v>c_15e3504fd6fde5b88106b6d99934e830e051067bbd4af855bfd432d30fc2f262@group.calendar.google.com</v>
      </c>
      <c r="W657" s="77" t="b">
        <v>0</v>
      </c>
      <c r="X657" s="68" t="str">
        <f>VLOOKUP($A657,'Calendar ID'!$A:$C,2,false)</f>
        <v>c_15e3504fd6fde5b88106b6d99934e830e051067bbd4af855bfd432d30fc2f262@group.calendar.google.com</v>
      </c>
    </row>
    <row r="658" hidden="1">
      <c r="A658" s="16" t="s">
        <v>42</v>
      </c>
      <c r="B658" s="17">
        <v>45476.0</v>
      </c>
      <c r="C658" s="16" t="s">
        <v>191</v>
      </c>
      <c r="E658" s="162"/>
      <c r="G658" s="17"/>
      <c r="H658" s="10" t="s">
        <v>31</v>
      </c>
      <c r="J658" s="16" t="s">
        <v>266</v>
      </c>
      <c r="K658" s="23" t="s">
        <v>33</v>
      </c>
      <c r="L658" s="31" t="s">
        <v>56</v>
      </c>
      <c r="N658" s="16"/>
      <c r="O658" s="16"/>
      <c r="P658" s="16"/>
      <c r="Q658" s="17">
        <f t="shared" si="107"/>
        <v>45476</v>
      </c>
      <c r="S658" s="20"/>
      <c r="T658" s="68" t="str">
        <f>VLOOKUP(A658,'Calendar ID'!$A:$C,3,false)</f>
        <v>cmepls.pro@gmail.com</v>
      </c>
      <c r="U658" s="71" t="b">
        <v>0</v>
      </c>
      <c r="V658" s="68" t="str">
        <f>VLOOKUP($A658,'Calendar ID'!$A:$C,2,false)</f>
        <v>c_15e3504fd6fde5b88106b6d99934e830e051067bbd4af855bfd432d30fc2f262@group.calendar.google.com</v>
      </c>
      <c r="W658" s="71" t="b">
        <v>0</v>
      </c>
      <c r="X658" s="68" t="str">
        <f>VLOOKUP($A658,'Calendar ID'!$A:$C,2,false)</f>
        <v>c_15e3504fd6fde5b88106b6d99934e830e051067bbd4af855bfd432d30fc2f262@group.calendar.google.com</v>
      </c>
      <c r="Y658" s="20"/>
      <c r="Z658" s="20"/>
      <c r="AA658" s="20"/>
      <c r="AB658" s="20"/>
      <c r="AC658" s="20"/>
    </row>
    <row r="659" hidden="1">
      <c r="A659" s="16" t="s">
        <v>42</v>
      </c>
      <c r="B659" s="17">
        <v>45604.0</v>
      </c>
      <c r="C659" s="16" t="s">
        <v>160</v>
      </c>
      <c r="E659" s="17"/>
      <c r="G659" s="17"/>
      <c r="H659" s="10" t="s">
        <v>31</v>
      </c>
      <c r="I659" s="16" t="s">
        <v>731</v>
      </c>
      <c r="J659" s="16" t="s">
        <v>43</v>
      </c>
      <c r="K659" s="23" t="s">
        <v>33</v>
      </c>
      <c r="L659" s="31">
        <v>1000.0</v>
      </c>
      <c r="N659" s="16"/>
      <c r="O659" s="16"/>
      <c r="P659" s="23" t="s">
        <v>34</v>
      </c>
      <c r="Q659" s="17">
        <f t="shared" si="107"/>
        <v>45604</v>
      </c>
      <c r="R659" s="15">
        <f>L659*0.25</f>
        <v>250</v>
      </c>
      <c r="S659" s="20"/>
      <c r="T659" s="68" t="str">
        <f>VLOOKUP(A659,'Calendar ID'!$A:$C,3,false)</f>
        <v>cmepls.pro@gmail.com</v>
      </c>
      <c r="U659" s="77" t="b">
        <v>0</v>
      </c>
      <c r="V659" s="68" t="str">
        <f>VLOOKUP($A659,'Calendar ID'!$A:$C,2,false)</f>
        <v>c_15e3504fd6fde5b88106b6d99934e830e051067bbd4af855bfd432d30fc2f262@group.calendar.google.com</v>
      </c>
      <c r="W659" s="77" t="b">
        <v>0</v>
      </c>
      <c r="X659" s="68" t="str">
        <f>VLOOKUP($A659,'Calendar ID'!$A:$C,2,false)</f>
        <v>c_15e3504fd6fde5b88106b6d99934e830e051067bbd4af855bfd432d30fc2f262@group.calendar.google.com</v>
      </c>
    </row>
    <row r="660" hidden="1">
      <c r="A660" s="16" t="s">
        <v>42</v>
      </c>
      <c r="B660" s="17">
        <v>45610.0</v>
      </c>
      <c r="C660" s="16" t="s">
        <v>732</v>
      </c>
      <c r="E660" s="17"/>
      <c r="G660" s="17"/>
      <c r="H660" s="10" t="s">
        <v>31</v>
      </c>
      <c r="J660" s="16" t="s">
        <v>266</v>
      </c>
      <c r="K660" s="23" t="s">
        <v>33</v>
      </c>
      <c r="L660" s="31" t="s">
        <v>56</v>
      </c>
      <c r="N660" s="16"/>
      <c r="O660" s="16"/>
      <c r="P660" s="16"/>
      <c r="Q660" s="17">
        <f t="shared" si="107"/>
        <v>45610</v>
      </c>
      <c r="S660" s="20"/>
      <c r="T660" s="68" t="str">
        <f>VLOOKUP(A660,'Calendar ID'!$A:$C,3,false)</f>
        <v>cmepls.pro@gmail.com</v>
      </c>
      <c r="U660" s="77" t="b">
        <v>0</v>
      </c>
      <c r="V660" s="68" t="str">
        <f>VLOOKUP($A660,'Calendar ID'!$A:$C,2,false)</f>
        <v>c_15e3504fd6fde5b88106b6d99934e830e051067bbd4af855bfd432d30fc2f262@group.calendar.google.com</v>
      </c>
      <c r="W660" s="77" t="b">
        <v>0</v>
      </c>
      <c r="X660" s="68" t="str">
        <f>VLOOKUP($A660,'Calendar ID'!$A:$C,2,false)</f>
        <v>c_15e3504fd6fde5b88106b6d99934e830e051067bbd4af855bfd432d30fc2f262@group.calendar.google.com</v>
      </c>
    </row>
    <row r="661" hidden="1">
      <c r="A661" s="16" t="s">
        <v>36</v>
      </c>
      <c r="B661" s="17">
        <v>45561.0</v>
      </c>
      <c r="C661" s="16" t="s">
        <v>245</v>
      </c>
      <c r="E661" s="26"/>
      <c r="F661" s="17"/>
      <c r="G661" s="17"/>
      <c r="H661" s="10" t="s">
        <v>31</v>
      </c>
      <c r="J661" s="16" t="s">
        <v>43</v>
      </c>
      <c r="K661" s="23" t="s">
        <v>33</v>
      </c>
      <c r="L661" s="51">
        <v>250.0</v>
      </c>
      <c r="N661" s="16"/>
      <c r="O661" s="16"/>
      <c r="P661" s="16" t="s">
        <v>34</v>
      </c>
      <c r="Q661" s="17">
        <f t="shared" si="107"/>
        <v>45561</v>
      </c>
      <c r="R661" s="81">
        <f>L661*0.2</f>
        <v>50</v>
      </c>
      <c r="S661" s="20"/>
      <c r="T661" s="68" t="str">
        <f>VLOOKUP(A661,'Calendar ID'!$A:$C,3,false)</f>
        <v>chiara@grapperagency.com</v>
      </c>
      <c r="U661" s="78" t="b">
        <v>0</v>
      </c>
      <c r="V661" s="68" t="str">
        <f>VLOOKUP($A661,'Calendar ID'!$A:$C,2,false)</f>
        <v>c_6fd5f3c25278bd569c413814d6452fc4f9cb936bb38174e89b1cb54f9ec7c89d@group.calendar.google.com</v>
      </c>
      <c r="W661" s="71" t="b">
        <v>0</v>
      </c>
      <c r="X661" s="68" t="str">
        <f>VLOOKUP($A661,'Calendar ID'!$A:$C,2,false)</f>
        <v>c_6fd5f3c25278bd569c413814d6452fc4f9cb936bb38174e89b1cb54f9ec7c89d@group.calendar.google.com</v>
      </c>
    </row>
    <row r="662" hidden="1">
      <c r="A662" s="23" t="s">
        <v>42</v>
      </c>
      <c r="B662" s="17">
        <v>45625.0</v>
      </c>
      <c r="C662" s="16" t="s">
        <v>733</v>
      </c>
      <c r="E662" s="17"/>
      <c r="G662" s="17"/>
      <c r="H662" s="10" t="s">
        <v>31</v>
      </c>
      <c r="J662" s="16" t="s">
        <v>97</v>
      </c>
      <c r="K662" s="23" t="s">
        <v>33</v>
      </c>
      <c r="L662" s="31" t="s">
        <v>56</v>
      </c>
      <c r="N662" s="16"/>
      <c r="O662" s="16"/>
      <c r="P662" s="16"/>
      <c r="Q662" s="17">
        <f t="shared" si="107"/>
        <v>45625</v>
      </c>
      <c r="S662" s="20"/>
      <c r="T662" s="68" t="str">
        <f>VLOOKUP(A662,'Calendar ID'!$A:$C,3,false)</f>
        <v>cmepls.pro@gmail.com</v>
      </c>
      <c r="U662" s="71" t="b">
        <v>0</v>
      </c>
      <c r="V662" s="68" t="str">
        <f>VLOOKUP($A662,'Calendar ID'!$A:$C,2,false)</f>
        <v>c_15e3504fd6fde5b88106b6d99934e830e051067bbd4af855bfd432d30fc2f262@group.calendar.google.com</v>
      </c>
      <c r="W662" s="71" t="b">
        <v>0</v>
      </c>
      <c r="X662" s="68" t="str">
        <f>VLOOKUP($A662,'Calendar ID'!$A:$C,2,false)</f>
        <v>c_15e3504fd6fde5b88106b6d99934e830e051067bbd4af855bfd432d30fc2f262@group.calendar.google.com</v>
      </c>
    </row>
    <row r="663" hidden="1">
      <c r="A663" s="7" t="s">
        <v>36</v>
      </c>
      <c r="B663" s="7"/>
      <c r="C663" s="7" t="s">
        <v>410</v>
      </c>
      <c r="D663" s="7" t="s">
        <v>734</v>
      </c>
      <c r="E663" s="10"/>
      <c r="F663" s="166"/>
      <c r="G663" s="21">
        <v>45352.0</v>
      </c>
      <c r="H663" s="23" t="s">
        <v>31</v>
      </c>
      <c r="I663" s="167"/>
      <c r="J663" s="7" t="s">
        <v>97</v>
      </c>
      <c r="K663" s="7" t="s">
        <v>33</v>
      </c>
      <c r="L663" s="7" t="s">
        <v>56</v>
      </c>
      <c r="M663" s="7"/>
      <c r="Q663" s="17" t="str">
        <f t="shared" si="107"/>
        <v/>
      </c>
      <c r="R663" s="7"/>
      <c r="S663" s="20"/>
      <c r="T663" s="20"/>
      <c r="U663" s="20"/>
      <c r="V663" s="20"/>
      <c r="W663" s="20"/>
      <c r="X663" s="20"/>
      <c r="Y663" s="20"/>
      <c r="Z663" s="20"/>
      <c r="AA663" s="20"/>
      <c r="AB663" s="20"/>
      <c r="AC663" s="20"/>
    </row>
    <row r="664" hidden="1">
      <c r="A664" s="16" t="s">
        <v>284</v>
      </c>
      <c r="B664" s="17">
        <v>45625.0</v>
      </c>
      <c r="C664" s="16" t="s">
        <v>245</v>
      </c>
      <c r="D664" s="16" t="s">
        <v>302</v>
      </c>
      <c r="E664" s="17"/>
      <c r="G664" s="8">
        <v>45638.0</v>
      </c>
      <c r="H664" s="10" t="s">
        <v>31</v>
      </c>
      <c r="J664" s="16" t="s">
        <v>43</v>
      </c>
      <c r="K664" s="23" t="s">
        <v>33</v>
      </c>
      <c r="L664" s="31">
        <v>300.0</v>
      </c>
      <c r="N664" s="16"/>
      <c r="O664" s="16"/>
      <c r="P664" s="23" t="s">
        <v>34</v>
      </c>
      <c r="Q664" s="17">
        <f t="shared" si="107"/>
        <v>45625</v>
      </c>
      <c r="R664" s="18">
        <f>L664*0.3</f>
        <v>90</v>
      </c>
      <c r="S664" s="20"/>
      <c r="T664" s="68" t="str">
        <f>VLOOKUP(A664,'Calendar ID'!$A:$C,3,false)</f>
        <v>Douns.collab@gmail.com</v>
      </c>
      <c r="U664" s="71" t="b">
        <v>0</v>
      </c>
      <c r="V664" s="68" t="str">
        <f>VLOOKUP($A664,'Calendar ID'!$A:$C,2,false)</f>
        <v>c_2208b8e561439ebc2637feb15fe2d308d5719cc64460071de6ba0c674eba6118@group.calendar.google.com</v>
      </c>
      <c r="W664" s="69" t="b">
        <v>1</v>
      </c>
      <c r="X664" s="70" t="s">
        <v>82</v>
      </c>
    </row>
    <row r="665" hidden="1">
      <c r="A665" s="7" t="s">
        <v>36</v>
      </c>
      <c r="B665" s="7"/>
      <c r="C665" s="7" t="s">
        <v>735</v>
      </c>
      <c r="D665" s="7" t="s">
        <v>736</v>
      </c>
      <c r="E665" s="7"/>
      <c r="F665" s="11"/>
      <c r="G665" s="21">
        <v>45352.0</v>
      </c>
      <c r="H665" s="23" t="s">
        <v>31</v>
      </c>
      <c r="I665" s="167"/>
      <c r="J665" s="7" t="s">
        <v>737</v>
      </c>
      <c r="K665" s="7" t="s">
        <v>33</v>
      </c>
      <c r="L665" s="7" t="s">
        <v>56</v>
      </c>
      <c r="M665" s="7"/>
      <c r="Q665" s="17" t="str">
        <f t="shared" si="107"/>
        <v/>
      </c>
      <c r="R665" s="7"/>
      <c r="S665" s="20"/>
      <c r="T665" s="20"/>
      <c r="U665" s="20"/>
      <c r="V665" s="20"/>
      <c r="W665" s="20"/>
      <c r="X665" s="20"/>
      <c r="Y665" s="20"/>
      <c r="Z665" s="20"/>
      <c r="AA665" s="20"/>
      <c r="AB665" s="20"/>
      <c r="AC665" s="20"/>
    </row>
    <row r="666" hidden="1">
      <c r="A666" s="7" t="s">
        <v>36</v>
      </c>
      <c r="B666" s="7"/>
      <c r="C666" s="7" t="s">
        <v>738</v>
      </c>
      <c r="D666" s="7" t="s">
        <v>734</v>
      </c>
      <c r="E666" s="7"/>
      <c r="F666" s="11"/>
      <c r="G666" s="21">
        <v>45352.0</v>
      </c>
      <c r="H666" s="23" t="s">
        <v>31</v>
      </c>
      <c r="I666" s="167"/>
      <c r="J666" s="7" t="s">
        <v>97</v>
      </c>
      <c r="K666" s="7" t="s">
        <v>33</v>
      </c>
      <c r="L666" s="7" t="s">
        <v>56</v>
      </c>
      <c r="M666" s="7"/>
      <c r="Q666" s="17" t="str">
        <f t="shared" si="107"/>
        <v/>
      </c>
      <c r="R666" s="7"/>
      <c r="S666" s="20"/>
      <c r="T666" s="20"/>
      <c r="U666" s="20"/>
      <c r="V666" s="20"/>
      <c r="W666" s="20"/>
      <c r="X666" s="20"/>
      <c r="Y666" s="20"/>
      <c r="Z666" s="20"/>
      <c r="AA666" s="20"/>
      <c r="AB666" s="20"/>
      <c r="AC666" s="20"/>
    </row>
    <row r="667" hidden="1">
      <c r="A667" s="7" t="s">
        <v>36</v>
      </c>
      <c r="B667" s="7"/>
      <c r="C667" s="7" t="s">
        <v>739</v>
      </c>
      <c r="D667" s="13"/>
      <c r="E667" s="7"/>
      <c r="F667" s="124">
        <v>45383.0</v>
      </c>
      <c r="G667" s="168">
        <v>45389.0</v>
      </c>
      <c r="H667" s="7" t="s">
        <v>31</v>
      </c>
      <c r="I667" s="7" t="s">
        <v>740</v>
      </c>
      <c r="J667" s="16" t="s">
        <v>43</v>
      </c>
      <c r="K667" s="14" t="s">
        <v>33</v>
      </c>
      <c r="L667" s="7" t="s">
        <v>56</v>
      </c>
      <c r="M667" s="27"/>
      <c r="Q667" s="17" t="str">
        <f t="shared" si="107"/>
        <v/>
      </c>
      <c r="R667" s="18"/>
      <c r="S667" s="20"/>
      <c r="T667" s="20"/>
      <c r="U667" s="20"/>
      <c r="V667" s="20"/>
      <c r="W667" s="20"/>
      <c r="X667" s="20"/>
      <c r="Y667" s="20"/>
      <c r="Z667" s="20"/>
      <c r="AA667" s="20"/>
      <c r="AB667" s="20"/>
      <c r="AC667" s="20"/>
    </row>
    <row r="668" hidden="1">
      <c r="A668" s="10" t="s">
        <v>36</v>
      </c>
      <c r="B668" s="17">
        <v>45373.0</v>
      </c>
      <c r="C668" s="16" t="s">
        <v>741</v>
      </c>
      <c r="G668" s="30">
        <v>45393.0</v>
      </c>
      <c r="H668" s="7" t="s">
        <v>31</v>
      </c>
      <c r="I668" s="16" t="s">
        <v>742</v>
      </c>
      <c r="J668" s="16" t="s">
        <v>59</v>
      </c>
      <c r="K668" s="16" t="s">
        <v>33</v>
      </c>
      <c r="L668" s="14" t="s">
        <v>56</v>
      </c>
      <c r="Q668" s="17">
        <f t="shared" si="107"/>
        <v>45373</v>
      </c>
      <c r="S668" s="20"/>
      <c r="T668" s="20"/>
      <c r="U668" s="20"/>
      <c r="V668" s="20"/>
      <c r="W668" s="20"/>
      <c r="X668" s="20"/>
      <c r="Y668" s="20"/>
      <c r="Z668" s="20"/>
      <c r="AA668" s="20"/>
      <c r="AB668" s="20"/>
      <c r="AC668" s="20"/>
    </row>
    <row r="669" hidden="1">
      <c r="A669" s="16" t="s">
        <v>36</v>
      </c>
      <c r="B669" s="17">
        <v>45376.0</v>
      </c>
      <c r="C669" s="29" t="s">
        <v>220</v>
      </c>
      <c r="F669" s="28">
        <v>45383.0</v>
      </c>
      <c r="G669" s="30">
        <v>45396.0</v>
      </c>
      <c r="H669" s="7" t="s">
        <v>31</v>
      </c>
      <c r="J669" s="16" t="s">
        <v>43</v>
      </c>
      <c r="K669" s="16" t="s">
        <v>33</v>
      </c>
      <c r="L669" s="14" t="s">
        <v>56</v>
      </c>
      <c r="Q669" s="17">
        <f t="shared" si="107"/>
        <v>45376</v>
      </c>
      <c r="S669" s="20"/>
      <c r="T669" s="20"/>
      <c r="U669" s="20"/>
      <c r="V669" s="20"/>
      <c r="W669" s="20"/>
      <c r="X669" s="20"/>
      <c r="Y669" s="20"/>
      <c r="Z669" s="20"/>
      <c r="AA669" s="20"/>
      <c r="AB669" s="20"/>
      <c r="AC669" s="20"/>
    </row>
    <row r="670" hidden="1">
      <c r="A670" s="7" t="s">
        <v>36</v>
      </c>
      <c r="B670" s="7"/>
      <c r="C670" s="7" t="s">
        <v>664</v>
      </c>
      <c r="D670" s="13"/>
      <c r="E670" s="7"/>
      <c r="F670" s="169">
        <v>45390.0</v>
      </c>
      <c r="G670" s="127">
        <v>45396.0</v>
      </c>
      <c r="H670" s="23" t="s">
        <v>31</v>
      </c>
      <c r="I670" s="10" t="s">
        <v>743</v>
      </c>
      <c r="J670" s="7" t="s">
        <v>40</v>
      </c>
      <c r="K670" s="14" t="s">
        <v>33</v>
      </c>
      <c r="L670" s="7" t="s">
        <v>56</v>
      </c>
      <c r="M670" s="27"/>
      <c r="Q670" s="17" t="str">
        <f t="shared" si="107"/>
        <v/>
      </c>
      <c r="R670" s="18"/>
      <c r="S670" s="20"/>
      <c r="T670" s="20"/>
      <c r="U670" s="20"/>
      <c r="V670" s="20"/>
      <c r="W670" s="20"/>
      <c r="X670" s="20"/>
      <c r="Y670" s="20"/>
      <c r="Z670" s="20"/>
      <c r="AA670" s="20"/>
      <c r="AB670" s="20"/>
      <c r="AC670" s="20"/>
    </row>
    <row r="671" hidden="1">
      <c r="A671" s="7" t="s">
        <v>36</v>
      </c>
      <c r="B671" s="7"/>
      <c r="C671" s="7" t="s">
        <v>744</v>
      </c>
      <c r="D671" s="13"/>
      <c r="E671" s="10"/>
      <c r="F671" s="170">
        <v>45397.0</v>
      </c>
      <c r="G671" s="144">
        <v>45403.0</v>
      </c>
      <c r="H671" s="23" t="s">
        <v>31</v>
      </c>
      <c r="I671" s="7" t="s">
        <v>745</v>
      </c>
      <c r="J671" s="7" t="s">
        <v>40</v>
      </c>
      <c r="K671" s="14" t="s">
        <v>33</v>
      </c>
      <c r="L671" s="7" t="s">
        <v>56</v>
      </c>
      <c r="M671" s="7"/>
      <c r="Q671" s="17" t="str">
        <f t="shared" si="107"/>
        <v/>
      </c>
      <c r="R671" s="18"/>
      <c r="S671" s="20" t="b">
        <v>0</v>
      </c>
      <c r="T671" s="20"/>
      <c r="U671" s="20"/>
      <c r="V671" s="20"/>
      <c r="W671" s="20"/>
      <c r="X671" s="20"/>
      <c r="Y671" s="20"/>
      <c r="Z671" s="20"/>
      <c r="AA671" s="20"/>
      <c r="AB671" s="20"/>
      <c r="AC671" s="20"/>
    </row>
    <row r="672" hidden="1">
      <c r="A672" s="7" t="s">
        <v>36</v>
      </c>
      <c r="B672" s="17">
        <v>45401.0</v>
      </c>
      <c r="C672" s="7" t="s">
        <v>630</v>
      </c>
      <c r="D672" s="10" t="s">
        <v>746</v>
      </c>
      <c r="E672" s="54"/>
      <c r="F672" s="123">
        <v>45377.0</v>
      </c>
      <c r="G672" s="141">
        <v>45408.0</v>
      </c>
      <c r="H672" s="10" t="s">
        <v>31</v>
      </c>
      <c r="I672" s="16" t="s">
        <v>747</v>
      </c>
      <c r="J672" s="7" t="s">
        <v>40</v>
      </c>
      <c r="K672" s="14" t="s">
        <v>33</v>
      </c>
      <c r="L672" s="7" t="s">
        <v>56</v>
      </c>
      <c r="M672" s="7"/>
      <c r="Q672" s="17">
        <f t="shared" si="107"/>
        <v>45401</v>
      </c>
      <c r="R672" s="18"/>
      <c r="S672" s="20"/>
      <c r="T672" s="20"/>
      <c r="U672" s="20"/>
      <c r="V672" s="20"/>
      <c r="W672" s="20"/>
      <c r="X672" s="20"/>
      <c r="Y672" s="20"/>
      <c r="Z672" s="20"/>
      <c r="AA672" s="20"/>
      <c r="AB672" s="20"/>
      <c r="AC672" s="20"/>
    </row>
    <row r="673" hidden="1">
      <c r="A673" s="160" t="s">
        <v>36</v>
      </c>
      <c r="B673" s="17">
        <v>45401.0</v>
      </c>
      <c r="C673" s="16" t="s">
        <v>748</v>
      </c>
      <c r="G673" s="38">
        <v>45421.0</v>
      </c>
      <c r="H673" s="16" t="s">
        <v>31</v>
      </c>
      <c r="I673" s="16" t="s">
        <v>658</v>
      </c>
      <c r="J673" s="16" t="s">
        <v>659</v>
      </c>
      <c r="K673" s="14" t="s">
        <v>33</v>
      </c>
      <c r="L673" s="16" t="s">
        <v>56</v>
      </c>
      <c r="Q673" s="17">
        <f t="shared" si="107"/>
        <v>45401</v>
      </c>
      <c r="S673" s="20"/>
      <c r="T673" s="20"/>
      <c r="U673" s="20"/>
      <c r="V673" s="20"/>
      <c r="W673" s="20"/>
      <c r="X673" s="20"/>
      <c r="Y673" s="20"/>
      <c r="Z673" s="20"/>
      <c r="AA673" s="20"/>
      <c r="AB673" s="20"/>
      <c r="AC673" s="20"/>
    </row>
    <row r="674">
      <c r="A674" s="16" t="s">
        <v>428</v>
      </c>
      <c r="B674" s="17">
        <v>45854.0</v>
      </c>
      <c r="C674" s="16" t="s">
        <v>316</v>
      </c>
      <c r="E674" s="72">
        <v>45867.0</v>
      </c>
      <c r="F674" s="17"/>
      <c r="G674" s="17"/>
      <c r="H674" s="10" t="s">
        <v>210</v>
      </c>
      <c r="J674" s="16" t="s">
        <v>43</v>
      </c>
      <c r="K674" s="23" t="s">
        <v>33</v>
      </c>
      <c r="L674" s="31">
        <v>300.0</v>
      </c>
      <c r="N674" s="16"/>
      <c r="O674" s="16"/>
      <c r="P674" s="16" t="s">
        <v>34</v>
      </c>
      <c r="Q674" s="17">
        <f t="shared" si="107"/>
        <v>45854</v>
      </c>
      <c r="R674" s="18">
        <f>L674*0.25</f>
        <v>75</v>
      </c>
      <c r="S674" s="20"/>
      <c r="T674" s="68" t="str">
        <f>VLOOKUP(A674,'Calendar ID'!$A:$C,3,false)</f>
        <v>#N/A</v>
      </c>
      <c r="U674" s="77" t="b">
        <v>0</v>
      </c>
      <c r="V674" s="68" t="str">
        <f>VLOOKUP($A674,'Calendar ID'!$A:$C,2,false)</f>
        <v>#N/A</v>
      </c>
      <c r="W674" s="77" t="b">
        <v>0</v>
      </c>
      <c r="X674" s="68" t="str">
        <f>VLOOKUP($A674,'Calendar ID'!$A:$C,2,false)</f>
        <v>#N/A</v>
      </c>
    </row>
    <row r="675">
      <c r="A675" s="128" t="s">
        <v>348</v>
      </c>
      <c r="B675" s="17">
        <v>45797.0</v>
      </c>
      <c r="C675" s="16" t="s">
        <v>412</v>
      </c>
      <c r="E675" s="72">
        <v>45867.0</v>
      </c>
      <c r="F675" s="17"/>
      <c r="G675" s="17"/>
      <c r="H675" s="10"/>
      <c r="J675" s="16" t="s">
        <v>43</v>
      </c>
      <c r="K675" s="16" t="s">
        <v>33</v>
      </c>
      <c r="L675" s="31">
        <v>800.0</v>
      </c>
      <c r="N675" s="16"/>
      <c r="O675" s="16"/>
      <c r="P675" s="10" t="s">
        <v>34</v>
      </c>
      <c r="Q675" s="17">
        <f t="shared" si="107"/>
        <v>45797</v>
      </c>
      <c r="R675" s="18">
        <f>L675*0.3</f>
        <v>240</v>
      </c>
      <c r="S675" s="20"/>
      <c r="T675" s="68" t="str">
        <f>VLOOKUP(A675,'Calendar ID'!$A:$C,3,false)</f>
        <v>amani.mee10@gmail.com</v>
      </c>
      <c r="U675" s="71" t="b">
        <v>0</v>
      </c>
      <c r="V675" s="68" t="str">
        <f>VLOOKUP($A675,'Calendar ID'!$A:$C,2,false)</f>
        <v>c_0fe46f911aa7c417189a62fdd8716ddaaef232a02bd45c49b9c02c6d6e2e4815@group.calendar.google.com</v>
      </c>
      <c r="W675" s="71" t="b">
        <v>0</v>
      </c>
      <c r="X675" s="68" t="str">
        <f>VLOOKUP($A675,'Calendar ID'!$A:$C,2,false)</f>
        <v>c_0fe46f911aa7c417189a62fdd8716ddaaef232a02bd45c49b9c02c6d6e2e4815@group.calendar.google.com</v>
      </c>
    </row>
    <row r="676" hidden="1">
      <c r="A676" s="16" t="s">
        <v>36</v>
      </c>
      <c r="B676" s="17">
        <v>45388.0</v>
      </c>
      <c r="C676" s="29" t="s">
        <v>749</v>
      </c>
      <c r="F676" s="17"/>
      <c r="G676" s="43">
        <v>45431.0</v>
      </c>
      <c r="H676" s="16" t="s">
        <v>31</v>
      </c>
      <c r="I676" s="16" t="s">
        <v>750</v>
      </c>
      <c r="J676" s="16" t="s">
        <v>751</v>
      </c>
      <c r="K676" s="16" t="s">
        <v>33</v>
      </c>
      <c r="L676" s="16" t="s">
        <v>752</v>
      </c>
      <c r="Q676" s="17">
        <f t="shared" si="107"/>
        <v>45388</v>
      </c>
      <c r="S676" s="20"/>
      <c r="T676" s="20" t="str">
        <f>VLOOKUP(A676,'Calendar ID'!$A:$C,3,false)</f>
        <v>chiara@grapperagency.com</v>
      </c>
      <c r="U676" s="20" t="b">
        <v>0</v>
      </c>
      <c r="V676" s="20" t="str">
        <f>VLOOKUP($A676,'Calendar ID'!$A:$C,2,false)</f>
        <v>c_6fd5f3c25278bd569c413814d6452fc4f9cb936bb38174e89b1cb54f9ec7c89d@group.calendar.google.com</v>
      </c>
      <c r="W676" s="19" t="b">
        <v>0</v>
      </c>
      <c r="X676" s="20" t="str">
        <f>VLOOKUP($A676,'Calendar ID'!$A:$C,2,false)</f>
        <v>c_6fd5f3c25278bd569c413814d6452fc4f9cb936bb38174e89b1cb54f9ec7c89d@group.calendar.google.com</v>
      </c>
      <c r="Y676" s="20"/>
      <c r="Z676" s="20"/>
      <c r="AA676" s="20"/>
      <c r="AB676" s="20"/>
      <c r="AC676" s="20"/>
    </row>
    <row r="677" hidden="1">
      <c r="A677" s="7" t="s">
        <v>36</v>
      </c>
      <c r="B677" s="17">
        <v>45401.0</v>
      </c>
      <c r="C677" s="29" t="s">
        <v>626</v>
      </c>
      <c r="D677" s="13"/>
      <c r="E677" s="7"/>
      <c r="F677" s="171">
        <v>45402.0</v>
      </c>
      <c r="G677" s="43">
        <v>45431.0</v>
      </c>
      <c r="H677" s="10" t="s">
        <v>31</v>
      </c>
      <c r="I677" s="7"/>
      <c r="J677" s="16" t="s">
        <v>659</v>
      </c>
      <c r="K677" s="14" t="s">
        <v>33</v>
      </c>
      <c r="L677" s="31" t="s">
        <v>56</v>
      </c>
      <c r="M677" s="7"/>
      <c r="Q677" s="17">
        <f t="shared" si="107"/>
        <v>45401</v>
      </c>
      <c r="R677" s="18"/>
      <c r="S677" s="20"/>
      <c r="T677" s="20"/>
      <c r="U677" s="20" t="b">
        <v>0</v>
      </c>
      <c r="V677" s="20" t="str">
        <f>VLOOKUP(A677,'Calendar ID'!$A$2:$C$15,2)</f>
        <v>c_6fd5f3c25278bd569c413814d6452fc4f9cb936bb38174e89b1cb54f9ec7c89d@group.calendar.google.com</v>
      </c>
      <c r="W677" s="20" t="b">
        <v>0</v>
      </c>
      <c r="X677" s="20" t="str">
        <f>VLOOKUP(A677,'Calendar ID'!$A$2:$C$15,2)</f>
        <v>c_6fd5f3c25278bd569c413814d6452fc4f9cb936bb38174e89b1cb54f9ec7c89d@group.calendar.google.com</v>
      </c>
      <c r="Y677" s="20"/>
      <c r="Z677" s="20"/>
      <c r="AA677" s="20"/>
      <c r="AB677" s="20"/>
      <c r="AC677" s="20"/>
    </row>
    <row r="678" hidden="1">
      <c r="A678" s="16" t="s">
        <v>36</v>
      </c>
      <c r="B678" s="17">
        <v>45389.0</v>
      </c>
      <c r="C678" s="16" t="s">
        <v>753</v>
      </c>
      <c r="G678" s="44">
        <v>45432.0</v>
      </c>
      <c r="H678" s="16" t="s">
        <v>31</v>
      </c>
      <c r="I678" s="16" t="s">
        <v>97</v>
      </c>
      <c r="J678" s="16" t="s">
        <v>754</v>
      </c>
      <c r="K678" s="16" t="s">
        <v>33</v>
      </c>
      <c r="L678" s="16" t="s">
        <v>56</v>
      </c>
      <c r="Q678" s="17">
        <f t="shared" si="107"/>
        <v>45389</v>
      </c>
      <c r="S678" s="20"/>
      <c r="T678" s="20"/>
      <c r="U678" s="20"/>
      <c r="V678" s="20"/>
      <c r="W678" s="20"/>
      <c r="X678" s="20"/>
      <c r="Y678" s="20"/>
      <c r="Z678" s="20"/>
      <c r="AA678" s="20"/>
      <c r="AB678" s="20"/>
      <c r="AC678" s="20"/>
    </row>
    <row r="679" hidden="1">
      <c r="A679" s="16" t="s">
        <v>36</v>
      </c>
      <c r="B679" s="17">
        <v>45442.0</v>
      </c>
      <c r="C679" s="16" t="s">
        <v>679</v>
      </c>
      <c r="E679" s="17"/>
      <c r="F679" s="53">
        <v>45460.0</v>
      </c>
      <c r="G679" s="58">
        <v>45473.0</v>
      </c>
      <c r="H679" s="16" t="s">
        <v>31</v>
      </c>
      <c r="J679" s="16" t="s">
        <v>43</v>
      </c>
      <c r="K679" s="16" t="s">
        <v>33</v>
      </c>
      <c r="L679" s="31" t="s">
        <v>56</v>
      </c>
      <c r="N679" s="16"/>
      <c r="O679" s="16"/>
      <c r="P679" s="16"/>
      <c r="Q679" s="17">
        <f t="shared" si="107"/>
        <v>45442</v>
      </c>
      <c r="S679" s="20"/>
      <c r="T679" s="20" t="str">
        <f>VLOOKUP(A679,'Calendar ID'!$A:$C,3,false)</f>
        <v>chiara@grapperagency.com</v>
      </c>
      <c r="U679" s="20" t="b">
        <v>0</v>
      </c>
      <c r="V679" s="20" t="str">
        <f>VLOOKUP($A679,'Calendar ID'!$A:$C,2,false)</f>
        <v>c_6fd5f3c25278bd569c413814d6452fc4f9cb936bb38174e89b1cb54f9ec7c89d@group.calendar.google.com</v>
      </c>
      <c r="W679" s="19" t="b">
        <v>0</v>
      </c>
      <c r="X679" s="20" t="str">
        <f>VLOOKUP($A679,'Calendar ID'!$A:$C,2,false)</f>
        <v>c_6fd5f3c25278bd569c413814d6452fc4f9cb936bb38174e89b1cb54f9ec7c89d@group.calendar.google.com</v>
      </c>
      <c r="Y679" s="20"/>
      <c r="Z679" s="20"/>
      <c r="AA679" s="20"/>
      <c r="AB679" s="20"/>
      <c r="AC679" s="20"/>
    </row>
    <row r="680" hidden="1">
      <c r="A680" s="16" t="s">
        <v>36</v>
      </c>
      <c r="B680" s="17">
        <v>45447.0</v>
      </c>
      <c r="C680" s="16" t="s">
        <v>683</v>
      </c>
      <c r="E680" s="17"/>
      <c r="F680" s="53">
        <v>45463.0</v>
      </c>
      <c r="G680" s="67">
        <v>45488.0</v>
      </c>
      <c r="H680" s="16" t="s">
        <v>31</v>
      </c>
      <c r="I680" s="16" t="s">
        <v>111</v>
      </c>
      <c r="J680" s="16" t="s">
        <v>43</v>
      </c>
      <c r="K680" s="16" t="s">
        <v>33</v>
      </c>
      <c r="L680" s="31" t="s">
        <v>56</v>
      </c>
      <c r="N680" s="55" t="s">
        <v>755</v>
      </c>
      <c r="O680" s="16"/>
      <c r="P680" s="16"/>
      <c r="Q680" s="17">
        <f t="shared" si="107"/>
        <v>45447</v>
      </c>
      <c r="S680" s="20"/>
      <c r="T680" s="20" t="str">
        <f>VLOOKUP(A680,'Calendar ID'!$A:$C,3,false)</f>
        <v>chiara@grapperagency.com</v>
      </c>
      <c r="U680" s="20" t="b">
        <v>0</v>
      </c>
      <c r="V680" s="20" t="str">
        <f>VLOOKUP($A680,'Calendar ID'!$A:$C,2,false)</f>
        <v>c_6fd5f3c25278bd569c413814d6452fc4f9cb936bb38174e89b1cb54f9ec7c89d@group.calendar.google.com</v>
      </c>
      <c r="W680" s="19" t="b">
        <v>0</v>
      </c>
      <c r="X680" s="20" t="str">
        <f>VLOOKUP($A680,'Calendar ID'!$A:$C,2,false)</f>
        <v>c_6fd5f3c25278bd569c413814d6452fc4f9cb936bb38174e89b1cb54f9ec7c89d@group.calendar.google.com</v>
      </c>
      <c r="Y680" s="20"/>
      <c r="Z680" s="20"/>
      <c r="AA680" s="20"/>
      <c r="AB680" s="20"/>
      <c r="AC680" s="20"/>
    </row>
    <row r="681" hidden="1">
      <c r="A681" s="16" t="s">
        <v>36</v>
      </c>
      <c r="B681" s="17">
        <v>45454.0</v>
      </c>
      <c r="C681" s="16" t="s">
        <v>174</v>
      </c>
      <c r="D681" s="16" t="s">
        <v>685</v>
      </c>
      <c r="E681" s="17"/>
      <c r="F681" s="156">
        <v>45481.0</v>
      </c>
      <c r="G681" s="164">
        <v>45501.0</v>
      </c>
      <c r="H681" s="16" t="s">
        <v>31</v>
      </c>
      <c r="J681" s="16" t="s">
        <v>43</v>
      </c>
      <c r="K681" s="16" t="s">
        <v>33</v>
      </c>
      <c r="L681" s="31" t="s">
        <v>56</v>
      </c>
      <c r="N681" s="55" t="s">
        <v>756</v>
      </c>
      <c r="O681" s="16"/>
      <c r="P681" s="16"/>
      <c r="Q681" s="17">
        <f t="shared" si="107"/>
        <v>45454</v>
      </c>
      <c r="S681" s="20"/>
      <c r="T681" s="20" t="str">
        <f>VLOOKUP(A681,'Calendar ID'!$A:$C,3,false)</f>
        <v>chiara@grapperagency.com</v>
      </c>
      <c r="U681" s="20" t="b">
        <v>0</v>
      </c>
      <c r="V681" s="20" t="str">
        <f>VLOOKUP($A681,'Calendar ID'!$A:$C,2,false)</f>
        <v>c_6fd5f3c25278bd569c413814d6452fc4f9cb936bb38174e89b1cb54f9ec7c89d@group.calendar.google.com</v>
      </c>
      <c r="W681" s="19" t="b">
        <v>1</v>
      </c>
      <c r="X681" s="19" t="s">
        <v>82</v>
      </c>
      <c r="Y681" s="20"/>
      <c r="Z681" s="20"/>
      <c r="AA681" s="20"/>
      <c r="AB681" s="20"/>
      <c r="AC681" s="20"/>
    </row>
    <row r="682" hidden="1">
      <c r="A682" s="16" t="s">
        <v>36</v>
      </c>
      <c r="B682" s="17">
        <v>45474.0</v>
      </c>
      <c r="C682" s="16" t="s">
        <v>757</v>
      </c>
      <c r="E682" s="17"/>
      <c r="F682" s="61">
        <v>45474.0</v>
      </c>
      <c r="G682" s="72">
        <v>45503.0</v>
      </c>
      <c r="H682" s="16" t="s">
        <v>31</v>
      </c>
      <c r="J682" s="16" t="s">
        <v>97</v>
      </c>
      <c r="K682" s="23" t="s">
        <v>33</v>
      </c>
      <c r="L682" s="31" t="s">
        <v>56</v>
      </c>
      <c r="N682" s="16"/>
      <c r="O682" s="16"/>
      <c r="P682" s="16"/>
      <c r="Q682" s="17">
        <f t="shared" si="107"/>
        <v>45474</v>
      </c>
      <c r="S682" s="20"/>
      <c r="T682" s="20" t="str">
        <f>VLOOKUP(A682,'Calendar ID'!$A:$C,3,false)</f>
        <v>chiara@grapperagency.com</v>
      </c>
      <c r="U682" s="19" t="b">
        <v>0</v>
      </c>
      <c r="V682" s="20" t="str">
        <f>VLOOKUP($A682,'Calendar ID'!$A:$C,2,false)</f>
        <v>c_6fd5f3c25278bd569c413814d6452fc4f9cb936bb38174e89b1cb54f9ec7c89d@group.calendar.google.com</v>
      </c>
      <c r="W682" s="19" t="b">
        <v>1</v>
      </c>
      <c r="X682" s="19" t="s">
        <v>82</v>
      </c>
      <c r="Y682" s="20"/>
      <c r="Z682" s="20"/>
      <c r="AA682" s="20"/>
      <c r="AB682" s="20"/>
      <c r="AC682" s="20"/>
    </row>
    <row r="683" hidden="1">
      <c r="A683" s="16" t="s">
        <v>36</v>
      </c>
      <c r="B683" s="17">
        <v>45497.0</v>
      </c>
      <c r="C683" s="16" t="s">
        <v>758</v>
      </c>
      <c r="E683" s="17"/>
      <c r="G683" s="73">
        <v>45515.0</v>
      </c>
      <c r="H683" s="16" t="s">
        <v>31</v>
      </c>
      <c r="I683" s="16" t="s">
        <v>111</v>
      </c>
      <c r="J683" s="16" t="s">
        <v>43</v>
      </c>
      <c r="K683" s="23" t="s">
        <v>33</v>
      </c>
      <c r="L683" s="31" t="s">
        <v>56</v>
      </c>
      <c r="N683" s="55" t="s">
        <v>759</v>
      </c>
      <c r="O683" s="16"/>
      <c r="P683" s="16"/>
      <c r="Q683" s="17">
        <f t="shared" si="107"/>
        <v>45497</v>
      </c>
      <c r="S683" s="20"/>
      <c r="T683" s="20" t="str">
        <f>VLOOKUP(A683,'Calendar ID'!$A:$C,3,false)</f>
        <v>chiara@grapperagency.com</v>
      </c>
      <c r="U683" s="19" t="b">
        <v>0</v>
      </c>
      <c r="V683" s="20" t="str">
        <f>VLOOKUP($A683,'Calendar ID'!$A:$C,2,false)</f>
        <v>c_6fd5f3c25278bd569c413814d6452fc4f9cb936bb38174e89b1cb54f9ec7c89d@group.calendar.google.com</v>
      </c>
      <c r="W683" s="69" t="b">
        <v>1</v>
      </c>
      <c r="X683" s="70" t="s">
        <v>82</v>
      </c>
      <c r="Y683" s="20"/>
      <c r="Z683" s="20"/>
      <c r="AA683" s="20"/>
      <c r="AB683" s="20"/>
      <c r="AC683" s="20"/>
    </row>
    <row r="684" hidden="1">
      <c r="A684" s="16" t="s">
        <v>36</v>
      </c>
      <c r="B684" s="17">
        <v>45503.0</v>
      </c>
      <c r="C684" s="16" t="s">
        <v>690</v>
      </c>
      <c r="E684" s="17"/>
      <c r="G684" s="17">
        <v>45522.0</v>
      </c>
      <c r="H684" s="10" t="s">
        <v>31</v>
      </c>
      <c r="I684" s="16" t="s">
        <v>158</v>
      </c>
      <c r="J684" s="16" t="s">
        <v>97</v>
      </c>
      <c r="K684" s="23" t="s">
        <v>33</v>
      </c>
      <c r="L684" s="31" t="s">
        <v>56</v>
      </c>
      <c r="N684" s="55" t="s">
        <v>760</v>
      </c>
      <c r="O684" s="16"/>
      <c r="P684" s="16"/>
      <c r="Q684" s="17">
        <f t="shared" si="107"/>
        <v>45503</v>
      </c>
      <c r="S684" s="20"/>
      <c r="T684" s="68" t="str">
        <f>VLOOKUP(A684,'Calendar ID'!$A:$C,3,false)</f>
        <v>chiara@grapperagency.com</v>
      </c>
      <c r="U684" s="71" t="b">
        <v>0</v>
      </c>
      <c r="V684" s="68" t="str">
        <f>VLOOKUP($A684,'Calendar ID'!$A:$C,2,false)</f>
        <v>c_6fd5f3c25278bd569c413814d6452fc4f9cb936bb38174e89b1cb54f9ec7c89d@group.calendar.google.com</v>
      </c>
      <c r="W684" s="69" t="b">
        <v>0</v>
      </c>
      <c r="X684" s="68" t="str">
        <f>VLOOKUP($A684,'Calendar ID'!$A:$C,2,false)</f>
        <v>c_6fd5f3c25278bd569c413814d6452fc4f9cb936bb38174e89b1cb54f9ec7c89d@group.calendar.google.com</v>
      </c>
      <c r="Y684" s="20"/>
      <c r="Z684" s="20"/>
      <c r="AA684" s="19" t="s">
        <v>158</v>
      </c>
      <c r="AB684" s="20"/>
      <c r="AC684" s="20"/>
    </row>
    <row r="685" hidden="1">
      <c r="A685" s="16" t="s">
        <v>36</v>
      </c>
      <c r="B685" s="17">
        <v>45497.0</v>
      </c>
      <c r="C685" s="16" t="s">
        <v>678</v>
      </c>
      <c r="E685" s="17"/>
      <c r="F685" s="17">
        <v>45530.0</v>
      </c>
      <c r="G685" s="17">
        <v>45555.0</v>
      </c>
      <c r="H685" s="10" t="s">
        <v>31</v>
      </c>
      <c r="J685" s="16" t="s">
        <v>43</v>
      </c>
      <c r="K685" s="23" t="s">
        <v>33</v>
      </c>
      <c r="L685" s="31" t="s">
        <v>56</v>
      </c>
      <c r="N685" s="65" t="s">
        <v>761</v>
      </c>
      <c r="O685" s="16"/>
      <c r="P685" s="16"/>
      <c r="Q685" s="17">
        <f t="shared" si="107"/>
        <v>45497</v>
      </c>
      <c r="S685" s="20"/>
      <c r="T685" s="68" t="str">
        <f>VLOOKUP(A685,'Calendar ID'!$A:$C,3,false)</f>
        <v>chiara@grapperagency.com</v>
      </c>
      <c r="U685" s="71" t="b">
        <v>0</v>
      </c>
      <c r="V685" s="68" t="str">
        <f>VLOOKUP($A685,'Calendar ID'!$A:$C,2,false)</f>
        <v>c_6fd5f3c25278bd569c413814d6452fc4f9cb936bb38174e89b1cb54f9ec7c89d@group.calendar.google.com</v>
      </c>
      <c r="W685" s="69" t="b">
        <v>1</v>
      </c>
      <c r="X685" s="70" t="s">
        <v>82</v>
      </c>
      <c r="Y685" s="20"/>
      <c r="Z685" s="20"/>
      <c r="AA685" s="20"/>
      <c r="AB685" s="20"/>
      <c r="AC685" s="20"/>
    </row>
    <row r="686" hidden="1">
      <c r="A686" s="16" t="s">
        <v>57</v>
      </c>
      <c r="B686" s="17">
        <v>45371.0</v>
      </c>
      <c r="C686" s="16" t="s">
        <v>48</v>
      </c>
      <c r="E686" s="17"/>
      <c r="F686" s="63">
        <v>45467.0</v>
      </c>
      <c r="G686" s="63">
        <v>45473.0</v>
      </c>
      <c r="H686" s="16" t="s">
        <v>31</v>
      </c>
      <c r="J686" s="16" t="s">
        <v>43</v>
      </c>
      <c r="K686" s="16" t="s">
        <v>33</v>
      </c>
      <c r="L686" s="31">
        <v>700.0</v>
      </c>
      <c r="N686" s="16"/>
      <c r="O686" s="16"/>
      <c r="P686" s="16" t="s">
        <v>34</v>
      </c>
      <c r="Q686" s="17">
        <f t="shared" si="107"/>
        <v>45371</v>
      </c>
      <c r="R686" s="18">
        <f>L686*0.2</f>
        <v>140</v>
      </c>
      <c r="S686" s="20" t="b">
        <v>0</v>
      </c>
      <c r="T686" s="20" t="str">
        <f>VLOOKUP(A686,'Calendar ID'!$A:$C,3,false)</f>
        <v>fgirault3@gmail.com</v>
      </c>
      <c r="U686" s="20" t="b">
        <v>0</v>
      </c>
      <c r="V686" s="20" t="str">
        <f>VLOOKUP($A686,'Calendar ID'!$A:$C,2,false)</f>
        <v>c_b412638d97e7dcffa392ccd62e6d5e2eccb052c0c08de7e1e7d547811d81c44c@group.calendar.google.com</v>
      </c>
      <c r="W686" s="19" t="b">
        <v>1</v>
      </c>
      <c r="X686" s="19" t="s">
        <v>82</v>
      </c>
      <c r="Y686" s="16"/>
      <c r="Z686" s="16"/>
      <c r="AA686" s="16"/>
      <c r="AB686" s="16"/>
      <c r="AC686" s="16"/>
    </row>
    <row r="687" hidden="1">
      <c r="A687" s="16" t="s">
        <v>36</v>
      </c>
      <c r="B687" s="17">
        <v>45525.0</v>
      </c>
      <c r="C687" s="16" t="s">
        <v>175</v>
      </c>
      <c r="E687" s="17"/>
      <c r="F687" s="17">
        <v>45537.0</v>
      </c>
      <c r="G687" s="17">
        <v>45557.0</v>
      </c>
      <c r="H687" s="10" t="s">
        <v>31</v>
      </c>
      <c r="J687" s="16" t="s">
        <v>43</v>
      </c>
      <c r="K687" s="23" t="s">
        <v>33</v>
      </c>
      <c r="L687" s="31" t="s">
        <v>56</v>
      </c>
      <c r="N687" s="65" t="s">
        <v>762</v>
      </c>
      <c r="O687" s="16"/>
      <c r="P687" s="16"/>
      <c r="Q687" s="17">
        <f t="shared" si="107"/>
        <v>45525</v>
      </c>
      <c r="S687" s="20"/>
      <c r="T687" s="68" t="str">
        <f>VLOOKUP(A687,'Calendar ID'!$A:$C,3,false)</f>
        <v>chiara@grapperagency.com</v>
      </c>
      <c r="U687" s="78" t="b">
        <v>0</v>
      </c>
      <c r="V687" s="68" t="str">
        <f>VLOOKUP($A687,'Calendar ID'!$A:$C,2,false)</f>
        <v>c_6fd5f3c25278bd569c413814d6452fc4f9cb936bb38174e89b1cb54f9ec7c89d@group.calendar.google.com</v>
      </c>
      <c r="W687" s="69" t="b">
        <v>1</v>
      </c>
      <c r="X687" s="70" t="s">
        <v>82</v>
      </c>
      <c r="AA687" s="16"/>
    </row>
    <row r="688" hidden="1">
      <c r="A688" s="16" t="s">
        <v>36</v>
      </c>
      <c r="B688" s="17">
        <v>45524.0</v>
      </c>
      <c r="C688" s="16" t="s">
        <v>220</v>
      </c>
      <c r="E688" s="17"/>
      <c r="F688" s="17">
        <v>45558.0</v>
      </c>
      <c r="G688" s="17">
        <v>45580.0</v>
      </c>
      <c r="H688" s="10" t="s">
        <v>31</v>
      </c>
      <c r="J688" s="16" t="s">
        <v>43</v>
      </c>
      <c r="K688" s="23" t="s">
        <v>33</v>
      </c>
      <c r="L688" s="31" t="s">
        <v>56</v>
      </c>
      <c r="N688" s="65" t="s">
        <v>763</v>
      </c>
      <c r="O688" s="16"/>
      <c r="P688" s="16"/>
      <c r="Q688" s="17">
        <f t="shared" si="107"/>
        <v>45524</v>
      </c>
      <c r="S688" s="20"/>
      <c r="T688" s="68" t="str">
        <f>VLOOKUP(A688,'Calendar ID'!$A:$C,3,false)</f>
        <v>chiara@grapperagency.com</v>
      </c>
      <c r="U688" s="78" t="b">
        <v>0</v>
      </c>
      <c r="V688" s="68" t="str">
        <f>VLOOKUP($A688,'Calendar ID'!$A:$C,2,false)</f>
        <v>c_6fd5f3c25278bd569c413814d6452fc4f9cb936bb38174e89b1cb54f9ec7c89d@group.calendar.google.com</v>
      </c>
      <c r="W688" s="69" t="b">
        <v>1</v>
      </c>
      <c r="X688" s="70" t="s">
        <v>82</v>
      </c>
    </row>
    <row r="689" hidden="1">
      <c r="A689" s="16" t="s">
        <v>36</v>
      </c>
      <c r="B689" s="17">
        <v>45576.0</v>
      </c>
      <c r="C689" s="16" t="s">
        <v>206</v>
      </c>
      <c r="E689" s="17"/>
      <c r="F689" s="82">
        <v>45581.0</v>
      </c>
      <c r="G689" s="17">
        <v>45597.0</v>
      </c>
      <c r="H689" s="10" t="s">
        <v>31</v>
      </c>
      <c r="J689" s="16" t="s">
        <v>43</v>
      </c>
      <c r="K689" s="23" t="s">
        <v>33</v>
      </c>
      <c r="L689" s="31" t="s">
        <v>56</v>
      </c>
      <c r="N689" s="55" t="s">
        <v>764</v>
      </c>
      <c r="O689" s="16"/>
      <c r="P689" s="16"/>
      <c r="Q689" s="17">
        <f t="shared" si="107"/>
        <v>45576</v>
      </c>
      <c r="S689" s="20"/>
      <c r="T689" s="68" t="str">
        <f>VLOOKUP(A689,'Calendar ID'!$A:$C,3,false)</f>
        <v>chiara@grapperagency.com</v>
      </c>
      <c r="U689" s="77" t="b">
        <v>0</v>
      </c>
      <c r="V689" s="68" t="str">
        <f>VLOOKUP($A689,'Calendar ID'!$A:$C,2,false)</f>
        <v>c_6fd5f3c25278bd569c413814d6452fc4f9cb936bb38174e89b1cb54f9ec7c89d@group.calendar.google.com</v>
      </c>
      <c r="W689" s="69" t="b">
        <v>1</v>
      </c>
      <c r="X689" s="70" t="s">
        <v>82</v>
      </c>
    </row>
    <row r="690" hidden="1">
      <c r="A690" s="10" t="s">
        <v>36</v>
      </c>
      <c r="B690" s="17">
        <v>45374.0</v>
      </c>
      <c r="C690" s="16" t="s">
        <v>765</v>
      </c>
      <c r="G690" s="10"/>
      <c r="H690" s="10" t="s">
        <v>31</v>
      </c>
      <c r="J690" s="16" t="s">
        <v>766</v>
      </c>
      <c r="K690" s="16" t="s">
        <v>33</v>
      </c>
      <c r="L690" s="14" t="s">
        <v>56</v>
      </c>
      <c r="Q690" s="17">
        <f t="shared" si="107"/>
        <v>45374</v>
      </c>
      <c r="S690" s="20"/>
      <c r="T690" s="20"/>
      <c r="U690" s="20"/>
      <c r="V690" s="20"/>
      <c r="W690" s="20"/>
      <c r="X690" s="20"/>
      <c r="Y690" s="20"/>
      <c r="Z690" s="20"/>
      <c r="AA690" s="20"/>
      <c r="AB690" s="20"/>
      <c r="AC690" s="20"/>
    </row>
    <row r="691" hidden="1">
      <c r="A691" s="160" t="s">
        <v>36</v>
      </c>
      <c r="B691" s="17">
        <v>45386.0</v>
      </c>
      <c r="C691" s="16" t="s">
        <v>410</v>
      </c>
      <c r="H691" s="10" t="s">
        <v>31</v>
      </c>
      <c r="J691" s="16" t="s">
        <v>767</v>
      </c>
      <c r="K691" s="16" t="s">
        <v>33</v>
      </c>
      <c r="L691" s="14" t="s">
        <v>56</v>
      </c>
      <c r="Q691" s="17">
        <f t="shared" si="107"/>
        <v>45386</v>
      </c>
      <c r="S691" s="20" t="b">
        <v>0</v>
      </c>
      <c r="T691" s="20"/>
      <c r="U691" s="20"/>
      <c r="V691" s="20"/>
      <c r="W691" s="20"/>
      <c r="X691" s="20"/>
      <c r="Y691" s="20"/>
      <c r="Z691" s="20"/>
      <c r="AA691" s="20"/>
      <c r="AB691" s="20"/>
      <c r="AC691" s="20"/>
    </row>
    <row r="692" hidden="1">
      <c r="A692" s="160" t="s">
        <v>36</v>
      </c>
      <c r="B692" s="17">
        <v>45386.0</v>
      </c>
      <c r="C692" s="29" t="s">
        <v>410</v>
      </c>
      <c r="G692" s="10"/>
      <c r="H692" s="16" t="s">
        <v>31</v>
      </c>
      <c r="J692" s="16" t="s">
        <v>767</v>
      </c>
      <c r="K692" s="16" t="s">
        <v>33</v>
      </c>
      <c r="L692" s="14" t="s">
        <v>56</v>
      </c>
      <c r="Q692" s="17">
        <f t="shared" si="107"/>
        <v>45386</v>
      </c>
      <c r="S692" s="20"/>
      <c r="T692" s="20" t="str">
        <f>VLOOKUP(A692,'Calendar ID'!$A:$C,3,false)</f>
        <v>chiara@grapperagency.com</v>
      </c>
      <c r="U692" s="20" t="b">
        <v>0</v>
      </c>
      <c r="V692" s="20" t="str">
        <f>VLOOKUP($A692,'Calendar ID'!$A:$C,2,false)</f>
        <v>c_6fd5f3c25278bd569c413814d6452fc4f9cb936bb38174e89b1cb54f9ec7c89d@group.calendar.google.com</v>
      </c>
      <c r="W692" s="19" t="b">
        <v>0</v>
      </c>
      <c r="X692" s="20" t="str">
        <f>VLOOKUP($A692,'Calendar ID'!$A:$C,2,false)</f>
        <v>c_6fd5f3c25278bd569c413814d6452fc4f9cb936bb38174e89b1cb54f9ec7c89d@group.calendar.google.com</v>
      </c>
      <c r="Y692" s="20"/>
      <c r="Z692" s="20"/>
      <c r="AA692" s="20"/>
      <c r="AB692" s="20"/>
      <c r="AC692" s="20"/>
    </row>
    <row r="693" hidden="1">
      <c r="A693" s="16" t="s">
        <v>36</v>
      </c>
      <c r="B693" s="17">
        <v>45391.0</v>
      </c>
      <c r="C693" s="16" t="s">
        <v>768</v>
      </c>
      <c r="G693" s="10"/>
      <c r="H693" s="10" t="s">
        <v>31</v>
      </c>
      <c r="I693" s="16" t="s">
        <v>769</v>
      </c>
      <c r="J693" s="16" t="s">
        <v>97</v>
      </c>
      <c r="K693" s="16" t="s">
        <v>33</v>
      </c>
      <c r="L693" s="14" t="s">
        <v>56</v>
      </c>
      <c r="Q693" s="17">
        <f t="shared" si="107"/>
        <v>45391</v>
      </c>
      <c r="S693" s="20"/>
      <c r="T693" s="20"/>
      <c r="U693" s="20"/>
      <c r="V693" s="20"/>
      <c r="W693" s="20"/>
      <c r="X693" s="20"/>
      <c r="Y693" s="20"/>
      <c r="Z693" s="20"/>
      <c r="AA693" s="20"/>
      <c r="AB693" s="20"/>
      <c r="AC693" s="20"/>
    </row>
    <row r="694" hidden="1">
      <c r="A694" s="16" t="s">
        <v>36</v>
      </c>
      <c r="B694" s="17">
        <v>45391.0</v>
      </c>
      <c r="C694" s="16" t="s">
        <v>770</v>
      </c>
      <c r="G694" s="17"/>
      <c r="H694" s="16" t="s">
        <v>31</v>
      </c>
      <c r="J694" s="16" t="s">
        <v>97</v>
      </c>
      <c r="K694" s="16" t="s">
        <v>33</v>
      </c>
      <c r="L694" s="14" t="s">
        <v>56</v>
      </c>
      <c r="Q694" s="17">
        <f t="shared" si="107"/>
        <v>45391</v>
      </c>
      <c r="S694" s="20"/>
      <c r="T694" s="20"/>
      <c r="U694" s="20"/>
      <c r="V694" s="20"/>
      <c r="W694" s="20"/>
      <c r="X694" s="20"/>
      <c r="Y694" s="20"/>
      <c r="Z694" s="20"/>
      <c r="AA694" s="20"/>
      <c r="AB694" s="20"/>
      <c r="AC694" s="20"/>
    </row>
    <row r="695" hidden="1">
      <c r="A695" s="16" t="s">
        <v>36</v>
      </c>
      <c r="B695" s="17">
        <v>45393.0</v>
      </c>
      <c r="C695" s="16" t="s">
        <v>771</v>
      </c>
      <c r="H695" s="10" t="s">
        <v>31</v>
      </c>
      <c r="J695" s="16" t="s">
        <v>97</v>
      </c>
      <c r="K695" s="16" t="s">
        <v>33</v>
      </c>
      <c r="L695" s="16" t="s">
        <v>56</v>
      </c>
      <c r="Q695" s="17">
        <f t="shared" si="107"/>
        <v>45393</v>
      </c>
      <c r="S695" s="20"/>
      <c r="T695" s="20"/>
      <c r="U695" s="20"/>
      <c r="V695" s="20"/>
      <c r="W695" s="20"/>
      <c r="X695" s="20"/>
      <c r="Y695" s="20"/>
      <c r="Z695" s="20"/>
      <c r="AA695" s="20"/>
      <c r="AB695" s="20"/>
      <c r="AC695" s="20"/>
    </row>
    <row r="696" hidden="1">
      <c r="A696" s="16" t="s">
        <v>36</v>
      </c>
      <c r="B696" s="17">
        <v>45433.0</v>
      </c>
      <c r="C696" s="16" t="s">
        <v>772</v>
      </c>
      <c r="E696" s="17"/>
      <c r="G696" s="17"/>
      <c r="H696" s="16" t="s">
        <v>31</v>
      </c>
      <c r="J696" s="16" t="s">
        <v>97</v>
      </c>
      <c r="K696" s="16" t="s">
        <v>33</v>
      </c>
      <c r="L696" s="31" t="s">
        <v>56</v>
      </c>
      <c r="N696" s="16"/>
      <c r="O696" s="16"/>
      <c r="P696" s="16"/>
      <c r="Q696" s="17">
        <f t="shared" si="107"/>
        <v>45433</v>
      </c>
      <c r="S696" s="20"/>
      <c r="T696" s="20" t="str">
        <f>VLOOKUP(A696,'Calendar ID'!$A:$C,3,false)</f>
        <v>chiara@grapperagency.com</v>
      </c>
      <c r="U696" s="20" t="b">
        <v>0</v>
      </c>
      <c r="V696" s="20" t="str">
        <f>VLOOKUP($A696,'Calendar ID'!$A:$C,2,false)</f>
        <v>c_6fd5f3c25278bd569c413814d6452fc4f9cb936bb38174e89b1cb54f9ec7c89d@group.calendar.google.com</v>
      </c>
      <c r="W696" s="19" t="b">
        <v>0</v>
      </c>
      <c r="X696" s="20" t="str">
        <f>VLOOKUP($A696,'Calendar ID'!$A:$C,2,false)</f>
        <v>c_6fd5f3c25278bd569c413814d6452fc4f9cb936bb38174e89b1cb54f9ec7c89d@group.calendar.google.com</v>
      </c>
      <c r="Y696" s="20"/>
      <c r="Z696" s="20"/>
      <c r="AA696" s="20"/>
      <c r="AB696" s="20"/>
      <c r="AC696" s="20"/>
    </row>
    <row r="697" hidden="1">
      <c r="A697" s="16" t="s">
        <v>36</v>
      </c>
      <c r="B697" s="17">
        <v>45439.0</v>
      </c>
      <c r="C697" s="16" t="s">
        <v>773</v>
      </c>
      <c r="E697" s="17"/>
      <c r="G697" s="17"/>
      <c r="H697" s="16" t="s">
        <v>31</v>
      </c>
      <c r="J697" s="16" t="s">
        <v>97</v>
      </c>
      <c r="K697" s="16" t="s">
        <v>33</v>
      </c>
      <c r="L697" s="31" t="s">
        <v>56</v>
      </c>
      <c r="Q697" s="17">
        <f t="shared" si="107"/>
        <v>45439</v>
      </c>
      <c r="S697" s="20"/>
      <c r="T697" s="20" t="str">
        <f>VLOOKUP(A697,'Calendar ID'!$A:$C,3,false)</f>
        <v>chiara@grapperagency.com</v>
      </c>
      <c r="U697" s="20" t="b">
        <v>0</v>
      </c>
      <c r="V697" s="20" t="str">
        <f>VLOOKUP($A697,'Calendar ID'!$A:$C,2,false)</f>
        <v>c_6fd5f3c25278bd569c413814d6452fc4f9cb936bb38174e89b1cb54f9ec7c89d@group.calendar.google.com</v>
      </c>
      <c r="W697" s="19" t="b">
        <v>0</v>
      </c>
      <c r="X697" s="20" t="str">
        <f>VLOOKUP($A697,'Calendar ID'!$A:$C,2,false)</f>
        <v>c_6fd5f3c25278bd569c413814d6452fc4f9cb936bb38174e89b1cb54f9ec7c89d@group.calendar.google.com</v>
      </c>
      <c r="Y697" s="20"/>
      <c r="Z697" s="20"/>
      <c r="AA697" s="20"/>
      <c r="AB697" s="20"/>
      <c r="AC697" s="20"/>
    </row>
    <row r="698" hidden="1">
      <c r="A698" s="16" t="s">
        <v>36</v>
      </c>
      <c r="B698" s="17">
        <v>45447.0</v>
      </c>
      <c r="C698" s="16" t="s">
        <v>140</v>
      </c>
      <c r="E698" s="17"/>
      <c r="G698" s="17"/>
      <c r="H698" s="16" t="s">
        <v>31</v>
      </c>
      <c r="J698" s="16" t="s">
        <v>97</v>
      </c>
      <c r="K698" s="16" t="s">
        <v>33</v>
      </c>
      <c r="L698" s="31" t="s">
        <v>56</v>
      </c>
      <c r="N698" s="16"/>
      <c r="O698" s="16"/>
      <c r="P698" s="16"/>
      <c r="Q698" s="17">
        <f t="shared" si="107"/>
        <v>45447</v>
      </c>
      <c r="S698" s="20"/>
      <c r="T698" s="20" t="str">
        <f>VLOOKUP(A698,'Calendar ID'!$A:$C,3,false)</f>
        <v>chiara@grapperagency.com</v>
      </c>
      <c r="U698" s="20" t="b">
        <v>0</v>
      </c>
      <c r="V698" s="20" t="str">
        <f>VLOOKUP($A698,'Calendar ID'!$A:$C,2,false)</f>
        <v>c_6fd5f3c25278bd569c413814d6452fc4f9cb936bb38174e89b1cb54f9ec7c89d@group.calendar.google.com</v>
      </c>
      <c r="W698" s="19" t="b">
        <v>0</v>
      </c>
      <c r="X698" s="20" t="str">
        <f>VLOOKUP($A698,'Calendar ID'!$A:$C,2,false)</f>
        <v>c_6fd5f3c25278bd569c413814d6452fc4f9cb936bb38174e89b1cb54f9ec7c89d@group.calendar.google.com</v>
      </c>
      <c r="Y698" s="20"/>
      <c r="Z698" s="20"/>
      <c r="AA698" s="20"/>
      <c r="AB698" s="20"/>
      <c r="AC698" s="20"/>
    </row>
    <row r="699" hidden="1">
      <c r="A699" s="23" t="s">
        <v>36</v>
      </c>
      <c r="B699" s="17">
        <v>45479.0</v>
      </c>
      <c r="C699" s="16" t="s">
        <v>774</v>
      </c>
      <c r="E699" s="17"/>
      <c r="G699" s="17"/>
      <c r="H699" s="10" t="s">
        <v>31</v>
      </c>
      <c r="J699" s="16" t="s">
        <v>266</v>
      </c>
      <c r="K699" s="23" t="s">
        <v>33</v>
      </c>
      <c r="L699" s="31" t="s">
        <v>56</v>
      </c>
      <c r="N699" s="16"/>
      <c r="O699" s="16"/>
      <c r="P699" s="16"/>
      <c r="Q699" s="17">
        <f t="shared" si="107"/>
        <v>45479</v>
      </c>
      <c r="S699" s="20"/>
      <c r="T699" s="68" t="str">
        <f>VLOOKUP(A699,'Calendar ID'!$A:$C,3,false)</f>
        <v>chiara@grapperagency.com</v>
      </c>
      <c r="U699" s="71" t="b">
        <v>0</v>
      </c>
      <c r="V699" s="68" t="str">
        <f>VLOOKUP($A699,'Calendar ID'!$A:$C,2,false)</f>
        <v>c_6fd5f3c25278bd569c413814d6452fc4f9cb936bb38174e89b1cb54f9ec7c89d@group.calendar.google.com</v>
      </c>
      <c r="W699" s="71" t="b">
        <v>0</v>
      </c>
      <c r="X699" s="68" t="str">
        <f>VLOOKUP($A699,'Calendar ID'!$A:$C,2,false)</f>
        <v>c_6fd5f3c25278bd569c413814d6452fc4f9cb936bb38174e89b1cb54f9ec7c89d@group.calendar.google.com</v>
      </c>
      <c r="Y699" s="20"/>
      <c r="Z699" s="20"/>
      <c r="AA699" s="20"/>
      <c r="AB699" s="20"/>
      <c r="AC699" s="20"/>
    </row>
    <row r="700" hidden="1">
      <c r="A700" s="160" t="s">
        <v>36</v>
      </c>
      <c r="B700" s="17">
        <v>45407.0</v>
      </c>
      <c r="C700" s="16" t="s">
        <v>287</v>
      </c>
      <c r="E700" s="17"/>
      <c r="H700" s="16" t="s">
        <v>31</v>
      </c>
      <c r="J700" s="16" t="s">
        <v>97</v>
      </c>
      <c r="K700" s="14" t="s">
        <v>33</v>
      </c>
      <c r="L700" s="31" t="s">
        <v>56</v>
      </c>
      <c r="N700" s="16"/>
      <c r="O700" s="16"/>
      <c r="P700" s="16"/>
      <c r="Q700" s="17">
        <f t="shared" si="107"/>
        <v>45407</v>
      </c>
      <c r="S700" s="20"/>
      <c r="T700" s="20"/>
      <c r="U700" s="20"/>
      <c r="V700" s="20"/>
      <c r="W700" s="20"/>
      <c r="X700" s="20"/>
      <c r="Y700" s="20"/>
      <c r="Z700" s="20"/>
      <c r="AA700" s="20"/>
      <c r="AB700" s="20"/>
      <c r="AC700" s="20"/>
    </row>
    <row r="701" hidden="1">
      <c r="A701" s="16" t="s">
        <v>36</v>
      </c>
      <c r="B701" s="11">
        <v>45511.0</v>
      </c>
      <c r="C701" s="16" t="s">
        <v>140</v>
      </c>
      <c r="E701" s="17"/>
      <c r="G701" s="17"/>
      <c r="H701" s="10" t="s">
        <v>31</v>
      </c>
      <c r="I701" s="16" t="s">
        <v>775</v>
      </c>
      <c r="J701" s="16" t="s">
        <v>97</v>
      </c>
      <c r="K701" s="23" t="s">
        <v>33</v>
      </c>
      <c r="L701" s="31" t="s">
        <v>56</v>
      </c>
      <c r="N701" s="16"/>
      <c r="O701" s="16"/>
      <c r="P701" s="16"/>
      <c r="Q701" s="17">
        <f t="shared" si="107"/>
        <v>45511</v>
      </c>
      <c r="S701" s="20"/>
      <c r="T701" s="68" t="str">
        <f>VLOOKUP(A701,'Calendar ID'!$A:$C,3,false)</f>
        <v>chiara@grapperagency.com</v>
      </c>
      <c r="U701" s="78" t="b">
        <v>0</v>
      </c>
      <c r="V701" s="68" t="str">
        <f>VLOOKUP($A701,'Calendar ID'!$A:$C,2,false)</f>
        <v>c_6fd5f3c25278bd569c413814d6452fc4f9cb936bb38174e89b1cb54f9ec7c89d@group.calendar.google.com</v>
      </c>
      <c r="W701" s="71" t="b">
        <v>0</v>
      </c>
      <c r="X701" s="68" t="str">
        <f>VLOOKUP($A701,'Calendar ID'!$A:$C,2,false)</f>
        <v>c_6fd5f3c25278bd569c413814d6452fc4f9cb936bb38174e89b1cb54f9ec7c89d@group.calendar.google.com</v>
      </c>
      <c r="AA701" s="16"/>
    </row>
    <row r="702" hidden="1">
      <c r="A702" s="16" t="s">
        <v>36</v>
      </c>
      <c r="B702" s="17">
        <v>45531.0</v>
      </c>
      <c r="C702" s="16" t="s">
        <v>776</v>
      </c>
      <c r="E702" s="17"/>
      <c r="G702" s="17"/>
      <c r="H702" s="10" t="s">
        <v>31</v>
      </c>
      <c r="J702" s="16" t="s">
        <v>266</v>
      </c>
      <c r="K702" s="23" t="s">
        <v>33</v>
      </c>
      <c r="L702" s="31" t="s">
        <v>56</v>
      </c>
      <c r="N702" s="16"/>
      <c r="O702" s="16"/>
      <c r="P702" s="16"/>
      <c r="Q702" s="17">
        <f t="shared" si="107"/>
        <v>45531</v>
      </c>
      <c r="S702" s="20"/>
      <c r="T702" s="68" t="str">
        <f>VLOOKUP(A702,'Calendar ID'!$A:$C,3,false)</f>
        <v>chiara@grapperagency.com</v>
      </c>
      <c r="U702" s="78" t="b">
        <v>0</v>
      </c>
      <c r="V702" s="68" t="str">
        <f>VLOOKUP($A702,'Calendar ID'!$A:$C,2,false)</f>
        <v>c_6fd5f3c25278bd569c413814d6452fc4f9cb936bb38174e89b1cb54f9ec7c89d@group.calendar.google.com</v>
      </c>
      <c r="W702" s="71" t="b">
        <v>0</v>
      </c>
      <c r="X702" s="68" t="str">
        <f>VLOOKUP($A702,'Calendar ID'!$A:$C,2,false)</f>
        <v>c_6fd5f3c25278bd569c413814d6452fc4f9cb936bb38174e89b1cb54f9ec7c89d@group.calendar.google.com</v>
      </c>
    </row>
    <row r="703" hidden="1">
      <c r="A703" s="23" t="s">
        <v>36</v>
      </c>
      <c r="B703" s="17">
        <v>45503.0</v>
      </c>
      <c r="C703" s="16" t="s">
        <v>191</v>
      </c>
      <c r="E703" s="17"/>
      <c r="G703" s="17"/>
      <c r="H703" s="10" t="s">
        <v>31</v>
      </c>
      <c r="J703" s="16" t="s">
        <v>97</v>
      </c>
      <c r="K703" s="23" t="s">
        <v>33</v>
      </c>
      <c r="L703" s="31" t="s">
        <v>56</v>
      </c>
      <c r="N703" s="16"/>
      <c r="O703" s="16"/>
      <c r="P703" s="16"/>
      <c r="Q703" s="17">
        <f t="shared" si="107"/>
        <v>45503</v>
      </c>
      <c r="S703" s="20"/>
      <c r="T703" s="68" t="str">
        <f>VLOOKUP(A703,'Calendar ID'!$A:$C,3,false)</f>
        <v>chiara@grapperagency.com</v>
      </c>
      <c r="U703" s="71" t="b">
        <v>0</v>
      </c>
      <c r="V703" s="68" t="str">
        <f>VLOOKUP($A703,'Calendar ID'!$A:$C,2,false)</f>
        <v>c_6fd5f3c25278bd569c413814d6452fc4f9cb936bb38174e89b1cb54f9ec7c89d@group.calendar.google.com</v>
      </c>
      <c r="W703" s="69" t="b">
        <v>0</v>
      </c>
      <c r="X703" s="68" t="str">
        <f>VLOOKUP($A703,'Calendar ID'!$A:$C,2,false)</f>
        <v>c_6fd5f3c25278bd569c413814d6452fc4f9cb936bb38174e89b1cb54f9ec7c89d@group.calendar.google.com</v>
      </c>
      <c r="Y703" s="20"/>
      <c r="Z703" s="20"/>
      <c r="AA703" s="20"/>
      <c r="AB703" s="20"/>
      <c r="AC703" s="20"/>
    </row>
    <row r="704" hidden="1">
      <c r="A704" s="7" t="s">
        <v>284</v>
      </c>
      <c r="B704" s="17">
        <v>45762.0</v>
      </c>
      <c r="C704" s="10" t="s">
        <v>624</v>
      </c>
      <c r="E704" s="17"/>
      <c r="F704" s="17"/>
      <c r="G704" s="38">
        <v>45782.0</v>
      </c>
      <c r="H704" s="10" t="s">
        <v>31</v>
      </c>
      <c r="I704" s="16" t="s">
        <v>777</v>
      </c>
      <c r="J704" s="16" t="s">
        <v>593</v>
      </c>
      <c r="K704" s="16" t="s">
        <v>33</v>
      </c>
      <c r="L704" s="31"/>
      <c r="N704" s="16"/>
      <c r="O704" s="16"/>
      <c r="P704" s="23"/>
      <c r="Q704" s="17">
        <f t="shared" si="107"/>
        <v>45762</v>
      </c>
      <c r="R704" s="15"/>
      <c r="S704" s="20"/>
      <c r="T704" s="68"/>
      <c r="U704" s="77"/>
      <c r="V704" s="68"/>
      <c r="W704" s="71"/>
      <c r="X704" s="20"/>
    </row>
    <row r="705" hidden="1">
      <c r="A705" s="16" t="s">
        <v>284</v>
      </c>
      <c r="B705" s="82">
        <v>45583.0</v>
      </c>
      <c r="C705" s="16" t="s">
        <v>630</v>
      </c>
      <c r="D705" s="16" t="s">
        <v>631</v>
      </c>
      <c r="E705" s="17"/>
      <c r="F705" s="82">
        <v>45581.0</v>
      </c>
      <c r="G705" s="82">
        <v>45595.0</v>
      </c>
      <c r="H705" s="10" t="s">
        <v>31</v>
      </c>
      <c r="J705" s="16" t="s">
        <v>43</v>
      </c>
      <c r="K705" s="23" t="s">
        <v>33</v>
      </c>
      <c r="L705" s="31" t="s">
        <v>56</v>
      </c>
      <c r="N705" s="55" t="s">
        <v>778</v>
      </c>
      <c r="O705" s="16"/>
      <c r="P705" s="16"/>
      <c r="Q705" s="17">
        <f t="shared" si="107"/>
        <v>45583</v>
      </c>
      <c r="S705" s="20"/>
      <c r="T705" s="68" t="str">
        <f>VLOOKUP(A705,'Calendar ID'!$A:$C,3,false)</f>
        <v>Douns.collab@gmail.com</v>
      </c>
      <c r="U705" s="78" t="b">
        <v>0</v>
      </c>
      <c r="V705" s="68" t="str">
        <f>VLOOKUP($A705,'Calendar ID'!$A:$C,2,false)</f>
        <v>c_2208b8e561439ebc2637feb15fe2d308d5719cc64460071de6ba0c674eba6118@group.calendar.google.com</v>
      </c>
      <c r="W705" s="69" t="b">
        <v>1</v>
      </c>
      <c r="X705" s="70" t="s">
        <v>82</v>
      </c>
    </row>
    <row r="706" hidden="1">
      <c r="A706" s="16" t="s">
        <v>284</v>
      </c>
      <c r="B706" s="17">
        <v>45673.0</v>
      </c>
      <c r="C706" s="16" t="s">
        <v>199</v>
      </c>
      <c r="D706" s="16" t="s">
        <v>779</v>
      </c>
      <c r="E706" s="17"/>
      <c r="F706" s="101">
        <v>45673.0</v>
      </c>
      <c r="G706" s="97">
        <v>45677.0</v>
      </c>
      <c r="H706" s="10" t="s">
        <v>31</v>
      </c>
      <c r="J706" s="16" t="s">
        <v>43</v>
      </c>
      <c r="K706" s="23" t="s">
        <v>33</v>
      </c>
      <c r="L706" s="31">
        <v>300.0</v>
      </c>
      <c r="N706" s="16"/>
      <c r="O706" s="16"/>
      <c r="P706" s="23" t="s">
        <v>34</v>
      </c>
      <c r="Q706" s="17">
        <f t="shared" si="107"/>
        <v>45673</v>
      </c>
      <c r="R706" s="15">
        <f>L706*0.3</f>
        <v>90</v>
      </c>
      <c r="S706" s="20"/>
      <c r="T706" s="68" t="str">
        <f>VLOOKUP(A706,'Calendar ID'!$A:$C,3,false)</f>
        <v>Douns.collab@gmail.com</v>
      </c>
      <c r="U706" s="77" t="b">
        <v>0</v>
      </c>
      <c r="V706" s="68" t="str">
        <f>VLOOKUP($A706,'Calendar ID'!$A:$C,2,false)</f>
        <v>c_2208b8e561439ebc2637feb15fe2d308d5719cc64460071de6ba0c674eba6118@group.calendar.google.com</v>
      </c>
      <c r="W706" s="77" t="b">
        <v>1</v>
      </c>
      <c r="X706" s="70" t="s">
        <v>82</v>
      </c>
    </row>
    <row r="707" hidden="1">
      <c r="A707" s="23" t="s">
        <v>284</v>
      </c>
      <c r="B707" s="17">
        <v>45680.0</v>
      </c>
      <c r="C707" s="16" t="s">
        <v>645</v>
      </c>
      <c r="E707" s="17"/>
      <c r="F707" s="17"/>
      <c r="G707" s="86">
        <v>45703.0</v>
      </c>
      <c r="H707" s="10" t="s">
        <v>31</v>
      </c>
      <c r="J707" s="16" t="s">
        <v>641</v>
      </c>
      <c r="K707" s="23" t="s">
        <v>33</v>
      </c>
      <c r="L707" s="31" t="s">
        <v>56</v>
      </c>
      <c r="N707" s="65" t="s">
        <v>780</v>
      </c>
      <c r="O707" s="16"/>
      <c r="P707" s="16"/>
      <c r="Q707" s="17">
        <f t="shared" si="107"/>
        <v>45680</v>
      </c>
      <c r="S707" s="20"/>
      <c r="T707" s="68" t="str">
        <f>VLOOKUP(A707,'Calendar ID'!$A:$C,3,false)</f>
        <v>Douns.collab@gmail.com</v>
      </c>
      <c r="U707" s="71" t="b">
        <v>0</v>
      </c>
      <c r="V707" s="68" t="str">
        <f>VLOOKUP($A707,'Calendar ID'!$A:$C,2,false)</f>
        <v>c_2208b8e561439ebc2637feb15fe2d308d5719cc64460071de6ba0c674eba6118@group.calendar.google.com</v>
      </c>
      <c r="W707" s="69" t="b">
        <v>1</v>
      </c>
      <c r="X707" s="70" t="s">
        <v>82</v>
      </c>
    </row>
    <row r="708" hidden="1">
      <c r="A708" s="23" t="s">
        <v>284</v>
      </c>
      <c r="B708" s="17">
        <v>45625.0</v>
      </c>
      <c r="C708" s="16" t="s">
        <v>733</v>
      </c>
      <c r="E708" s="17"/>
      <c r="G708" s="17"/>
      <c r="H708" s="10" t="s">
        <v>31</v>
      </c>
      <c r="J708" s="16" t="s">
        <v>97</v>
      </c>
      <c r="K708" s="23" t="s">
        <v>33</v>
      </c>
      <c r="L708" s="31" t="s">
        <v>56</v>
      </c>
      <c r="N708" s="16"/>
      <c r="O708" s="16"/>
      <c r="P708" s="16"/>
      <c r="Q708" s="17">
        <f t="shared" si="107"/>
        <v>45625</v>
      </c>
      <c r="S708" s="20"/>
      <c r="T708" s="68" t="str">
        <f>VLOOKUP(A708,'Calendar ID'!$A:$C,3,false)</f>
        <v>Douns.collab@gmail.com</v>
      </c>
      <c r="U708" s="71" t="b">
        <v>0</v>
      </c>
      <c r="V708" s="68" t="str">
        <f>VLOOKUP($A708,'Calendar ID'!$A:$C,2,false)</f>
        <v>c_2208b8e561439ebc2637feb15fe2d308d5719cc64460071de6ba0c674eba6118@group.calendar.google.com</v>
      </c>
      <c r="W708" s="71" t="b">
        <v>0</v>
      </c>
      <c r="X708" s="68" t="str">
        <f>VLOOKUP($A708,'Calendar ID'!$A:$C,2,false)</f>
        <v>c_2208b8e561439ebc2637feb15fe2d308d5719cc64460071de6ba0c674eba6118@group.calendar.google.com</v>
      </c>
    </row>
    <row r="709" hidden="1">
      <c r="A709" s="128" t="s">
        <v>284</v>
      </c>
      <c r="B709" s="17">
        <v>45759.0</v>
      </c>
      <c r="C709" s="16" t="s">
        <v>781</v>
      </c>
      <c r="E709" s="17"/>
      <c r="F709" s="17"/>
      <c r="G709" s="17"/>
      <c r="H709" s="10" t="s">
        <v>31</v>
      </c>
      <c r="J709" s="16" t="s">
        <v>43</v>
      </c>
      <c r="K709" s="16" t="s">
        <v>33</v>
      </c>
      <c r="L709" s="31" t="s">
        <v>56</v>
      </c>
      <c r="N709" s="16"/>
      <c r="O709" s="16"/>
      <c r="P709" s="23"/>
      <c r="Q709" s="17">
        <f t="shared" si="107"/>
        <v>45759</v>
      </c>
      <c r="R709" s="15"/>
      <c r="S709" s="20"/>
      <c r="T709" s="68" t="str">
        <f>VLOOKUP(A709,'Calendar ID'!$A:$C,3,false)</f>
        <v>Douns.collab@gmail.com</v>
      </c>
      <c r="U709" s="71" t="b">
        <v>0</v>
      </c>
      <c r="V709" s="68" t="str">
        <f>VLOOKUP($A709,'Calendar ID'!$A:$C,2,false)</f>
        <v>c_2208b8e561439ebc2637feb15fe2d308d5719cc64460071de6ba0c674eba6118@group.calendar.google.com</v>
      </c>
      <c r="W709" s="71" t="b">
        <v>0</v>
      </c>
      <c r="X709" s="68" t="str">
        <f>VLOOKUP($A709,'Calendar ID'!$A:$C,2,false)</f>
        <v>c_2208b8e561439ebc2637feb15fe2d308d5719cc64460071de6ba0c674eba6118@group.calendar.google.com</v>
      </c>
    </row>
    <row r="710" hidden="1">
      <c r="A710" s="16" t="s">
        <v>443</v>
      </c>
      <c r="B710" s="17">
        <v>45700.0</v>
      </c>
      <c r="C710" s="16" t="s">
        <v>651</v>
      </c>
      <c r="E710" s="17"/>
      <c r="F710" s="86">
        <v>45703.0</v>
      </c>
      <c r="G710" s="94">
        <v>45724.0</v>
      </c>
      <c r="H710" s="10" t="s">
        <v>31</v>
      </c>
      <c r="I710" s="16" t="s">
        <v>372</v>
      </c>
      <c r="J710" s="16" t="s">
        <v>641</v>
      </c>
      <c r="K710" s="16" t="s">
        <v>33</v>
      </c>
      <c r="L710" s="31" t="s">
        <v>56</v>
      </c>
      <c r="N710" s="16"/>
      <c r="O710" s="16"/>
      <c r="P710" s="16"/>
      <c r="Q710" s="17">
        <f t="shared" si="107"/>
        <v>45700</v>
      </c>
      <c r="S710" s="20"/>
      <c r="T710" s="68" t="str">
        <f>VLOOKUP(A710,'Calendar ID'!$A:$C,3,false)</f>
        <v>Lyassa.ospro@gmail.com </v>
      </c>
      <c r="U710" s="69" t="b">
        <v>0</v>
      </c>
      <c r="V710" s="68" t="str">
        <f>VLOOKUP($A710,'Calendar ID'!$A:$C,2,false)</f>
        <v>c_2ab5bc877123c6d06b681700306d382bcc765d7810badc543daeacf05260ecd9@group.calendar.google.com</v>
      </c>
      <c r="W710" s="69" t="b">
        <v>0</v>
      </c>
      <c r="X710" s="68" t="str">
        <f>VLOOKUP($A710,'Calendar ID'!$A:$C,2,false)</f>
        <v>c_2ab5bc877123c6d06b681700306d382bcc765d7810badc543daeacf05260ecd9@group.calendar.google.com</v>
      </c>
    </row>
    <row r="711" hidden="1">
      <c r="A711" s="160" t="s">
        <v>443</v>
      </c>
      <c r="B711" s="17">
        <v>45711.0</v>
      </c>
      <c r="C711" s="16" t="s">
        <v>640</v>
      </c>
      <c r="E711" s="17"/>
      <c r="F711" s="107">
        <v>45715.0</v>
      </c>
      <c r="G711" s="122">
        <v>45736.0</v>
      </c>
      <c r="H711" s="10" t="s">
        <v>31</v>
      </c>
      <c r="J711" s="16" t="s">
        <v>641</v>
      </c>
      <c r="K711" s="16" t="s">
        <v>33</v>
      </c>
      <c r="L711" s="31" t="s">
        <v>56</v>
      </c>
      <c r="N711" s="65" t="s">
        <v>782</v>
      </c>
      <c r="O711" s="16"/>
      <c r="P711" s="16"/>
      <c r="Q711" s="17">
        <f t="shared" si="107"/>
        <v>45711</v>
      </c>
      <c r="S711" s="20"/>
      <c r="T711" s="68" t="str">
        <f>VLOOKUP(A711,'Calendar ID'!$A:$C,3,false)</f>
        <v>Lyassa.ospro@gmail.com </v>
      </c>
      <c r="U711" s="71" t="b">
        <v>0</v>
      </c>
      <c r="V711" s="68" t="str">
        <f>VLOOKUP($A711,'Calendar ID'!$A:$C,2,false)</f>
        <v>c_2ab5bc877123c6d06b681700306d382bcc765d7810badc543daeacf05260ecd9@group.calendar.google.com</v>
      </c>
      <c r="W711" s="69" t="b">
        <v>1</v>
      </c>
      <c r="X711" s="70" t="s">
        <v>82</v>
      </c>
    </row>
    <row r="712" hidden="1">
      <c r="A712" s="7" t="s">
        <v>443</v>
      </c>
      <c r="B712" s="17">
        <v>45762.0</v>
      </c>
      <c r="C712" s="10" t="s">
        <v>624</v>
      </c>
      <c r="E712" s="17"/>
      <c r="F712" s="17"/>
      <c r="G712" s="38">
        <v>45782.0</v>
      </c>
      <c r="H712" s="10" t="s">
        <v>31</v>
      </c>
      <c r="J712" s="16" t="s">
        <v>593</v>
      </c>
      <c r="K712" s="16" t="s">
        <v>33</v>
      </c>
      <c r="L712" s="31"/>
      <c r="N712" s="172" t="s">
        <v>783</v>
      </c>
      <c r="O712" s="173"/>
      <c r="P712" s="23"/>
      <c r="Q712" s="17">
        <f t="shared" si="107"/>
        <v>45762</v>
      </c>
      <c r="R712" s="15"/>
      <c r="S712" s="20"/>
      <c r="T712" s="68"/>
      <c r="U712" s="77"/>
      <c r="V712" s="68"/>
      <c r="W712" s="71"/>
      <c r="X712" s="20"/>
    </row>
    <row r="713" hidden="1">
      <c r="A713" s="160" t="s">
        <v>368</v>
      </c>
      <c r="B713" s="17">
        <v>45711.0</v>
      </c>
      <c r="C713" s="16" t="s">
        <v>640</v>
      </c>
      <c r="E713" s="17"/>
      <c r="F713" s="107">
        <v>45715.0</v>
      </c>
      <c r="G713" s="122">
        <v>45736.0</v>
      </c>
      <c r="H713" s="10" t="s">
        <v>31</v>
      </c>
      <c r="J713" s="16" t="s">
        <v>641</v>
      </c>
      <c r="K713" s="16" t="s">
        <v>33</v>
      </c>
      <c r="L713" s="31" t="s">
        <v>56</v>
      </c>
      <c r="N713" s="65" t="s">
        <v>784</v>
      </c>
      <c r="O713" s="16"/>
      <c r="P713" s="16"/>
      <c r="Q713" s="17">
        <f t="shared" si="107"/>
        <v>45711</v>
      </c>
      <c r="S713" s="20"/>
      <c r="T713" s="68" t="str">
        <f>VLOOKUP(A713,'Calendar ID'!$A:$C,3,false)</f>
        <v>aubeneauu@gmail.com </v>
      </c>
      <c r="U713" s="71" t="b">
        <v>0</v>
      </c>
      <c r="V713" s="68" t="str">
        <f>VLOOKUP($A713,'Calendar ID'!$A:$C,2,false)</f>
        <v>c_63ea68c9b2bd76e0f3279abf94d6d8255c36c6dc090b9a1df4d31db84c3a049c@group.calendar.google.com</v>
      </c>
      <c r="W713" s="69" t="b">
        <v>1</v>
      </c>
      <c r="X713" s="70" t="s">
        <v>82</v>
      </c>
    </row>
    <row r="714" hidden="1">
      <c r="A714" s="7" t="s">
        <v>368</v>
      </c>
      <c r="B714" s="17">
        <v>45762.0</v>
      </c>
      <c r="C714" s="10" t="s">
        <v>624</v>
      </c>
      <c r="E714" s="17"/>
      <c r="F714" s="17"/>
      <c r="G714" s="38">
        <v>45782.0</v>
      </c>
      <c r="H714" s="10" t="s">
        <v>31</v>
      </c>
      <c r="I714" s="16" t="s">
        <v>625</v>
      </c>
      <c r="J714" s="16" t="s">
        <v>593</v>
      </c>
      <c r="K714" s="16" t="s">
        <v>33</v>
      </c>
      <c r="L714" s="31"/>
      <c r="N714" s="65" t="s">
        <v>785</v>
      </c>
      <c r="O714" s="16"/>
      <c r="P714" s="23"/>
      <c r="Q714" s="17">
        <f t="shared" si="107"/>
        <v>45762</v>
      </c>
      <c r="R714" s="15"/>
      <c r="S714" s="20"/>
      <c r="T714" s="68"/>
      <c r="U714" s="77"/>
      <c r="V714" s="68"/>
      <c r="W714" s="71"/>
      <c r="X714" s="20"/>
    </row>
    <row r="715" hidden="1">
      <c r="A715" s="16" t="s">
        <v>450</v>
      </c>
      <c r="B715" s="17">
        <v>45751.0</v>
      </c>
      <c r="C715" s="16" t="s">
        <v>624</v>
      </c>
      <c r="E715" s="17"/>
      <c r="F715" s="30">
        <v>45755.0</v>
      </c>
      <c r="G715" s="36">
        <f>F715+20</f>
        <v>45775</v>
      </c>
      <c r="H715" s="10" t="s">
        <v>31</v>
      </c>
      <c r="J715" s="16" t="s">
        <v>593</v>
      </c>
      <c r="K715" s="16" t="s">
        <v>33</v>
      </c>
      <c r="L715" s="31" t="s">
        <v>56</v>
      </c>
      <c r="N715" s="174" t="s">
        <v>786</v>
      </c>
      <c r="O715" s="16"/>
      <c r="P715" s="23"/>
      <c r="Q715" s="17">
        <f t="shared" si="107"/>
        <v>45751</v>
      </c>
      <c r="R715" s="15"/>
      <c r="S715" s="20"/>
      <c r="T715" s="68" t="str">
        <f>VLOOKUP(A715,'Calendar ID'!$A:$C,3,false)</f>
        <v>#N/A</v>
      </c>
      <c r="U715" s="71" t="b">
        <v>0</v>
      </c>
      <c r="V715" s="68" t="str">
        <f>VLOOKUP($A715,'Calendar ID'!$A:$C,2,false)</f>
        <v>#N/A</v>
      </c>
      <c r="W715" s="71" t="b">
        <v>0</v>
      </c>
      <c r="X715" s="68" t="str">
        <f>VLOOKUP($A715,'Calendar ID'!$A:$C,2,false)</f>
        <v>#N/A</v>
      </c>
    </row>
    <row r="716" hidden="1">
      <c r="A716" s="16" t="s">
        <v>787</v>
      </c>
      <c r="B716" s="17">
        <v>45350.0</v>
      </c>
      <c r="C716" s="16" t="s">
        <v>788</v>
      </c>
      <c r="F716" s="107">
        <v>45350.0</v>
      </c>
      <c r="G716" s="10"/>
      <c r="H716" s="10" t="s">
        <v>31</v>
      </c>
      <c r="J716" s="16" t="s">
        <v>83</v>
      </c>
      <c r="K716" s="16" t="s">
        <v>33</v>
      </c>
      <c r="L716" s="31">
        <v>1100.0</v>
      </c>
      <c r="N716" s="16"/>
      <c r="O716" s="16"/>
      <c r="P716" s="16" t="s">
        <v>34</v>
      </c>
      <c r="Q716" s="17">
        <f t="shared" si="107"/>
        <v>45350</v>
      </c>
      <c r="R716" s="31">
        <v>100.0</v>
      </c>
      <c r="S716" s="19" t="b">
        <v>1</v>
      </c>
      <c r="T716" s="20"/>
      <c r="U716" s="20"/>
      <c r="V716" s="20"/>
      <c r="W716" s="20"/>
      <c r="X716" s="20"/>
      <c r="Y716" s="16"/>
      <c r="Z716" s="16"/>
      <c r="AA716" s="16"/>
      <c r="AB716" s="16"/>
      <c r="AC716" s="16"/>
    </row>
    <row r="717" hidden="1">
      <c r="A717" s="16" t="s">
        <v>290</v>
      </c>
      <c r="B717" s="17">
        <v>45625.0</v>
      </c>
      <c r="C717" s="16" t="s">
        <v>245</v>
      </c>
      <c r="D717" s="16" t="s">
        <v>302</v>
      </c>
      <c r="E717" s="17"/>
      <c r="G717" s="17"/>
      <c r="H717" s="10" t="s">
        <v>31</v>
      </c>
      <c r="J717" s="16" t="s">
        <v>43</v>
      </c>
      <c r="K717" s="23" t="s">
        <v>33</v>
      </c>
      <c r="L717" s="31">
        <v>300.0</v>
      </c>
      <c r="N717" s="16"/>
      <c r="O717" s="16"/>
      <c r="P717" s="23" t="s">
        <v>34</v>
      </c>
      <c r="Q717" s="17">
        <f t="shared" si="107"/>
        <v>45625</v>
      </c>
      <c r="R717" s="18">
        <f t="shared" ref="R717:R718" si="110">L717*0.3</f>
        <v>90</v>
      </c>
      <c r="S717" s="20"/>
      <c r="T717" s="68" t="str">
        <f>VLOOKUP(A717,'Calendar ID'!$A:$C,3,false)</f>
        <v>hello.gurbet@gmail.com </v>
      </c>
      <c r="U717" s="71" t="b">
        <v>0</v>
      </c>
      <c r="V717" s="68" t="str">
        <f>VLOOKUP($A717,'Calendar ID'!$A:$C,2,false)</f>
        <v>c_db1fbd259183311b30d5bfa9e5494d85e4aa71562c2d699763ba11e15f3e8a3b@group.calendar.google.com</v>
      </c>
      <c r="W717" s="71" t="b">
        <v>0</v>
      </c>
      <c r="X717" s="68" t="str">
        <f>VLOOKUP($A717,'Calendar ID'!$A:$C,2,false)</f>
        <v>c_db1fbd259183311b30d5bfa9e5494d85e4aa71562c2d699763ba11e15f3e8a3b@group.calendar.google.com</v>
      </c>
    </row>
    <row r="718" hidden="1">
      <c r="A718" s="16" t="s">
        <v>290</v>
      </c>
      <c r="B718" s="17">
        <v>45625.0</v>
      </c>
      <c r="C718" s="16" t="s">
        <v>245</v>
      </c>
      <c r="D718" s="16" t="s">
        <v>789</v>
      </c>
      <c r="E718" s="17"/>
      <c r="G718" s="17"/>
      <c r="H718" s="10" t="s">
        <v>31</v>
      </c>
      <c r="I718" s="16" t="s">
        <v>313</v>
      </c>
      <c r="J718" s="16" t="s">
        <v>43</v>
      </c>
      <c r="K718" s="23" t="s">
        <v>33</v>
      </c>
      <c r="L718" s="31">
        <v>300.0</v>
      </c>
      <c r="N718" s="16"/>
      <c r="O718" s="16"/>
      <c r="P718" s="23" t="s">
        <v>34</v>
      </c>
      <c r="Q718" s="17">
        <f t="shared" si="107"/>
        <v>45625</v>
      </c>
      <c r="R718" s="18">
        <f t="shared" si="110"/>
        <v>90</v>
      </c>
      <c r="S718" s="20"/>
      <c r="T718" s="68" t="str">
        <f>VLOOKUP(A718,'Calendar ID'!$A:$C,3,false)</f>
        <v>hello.gurbet@gmail.com </v>
      </c>
      <c r="U718" s="71" t="b">
        <v>0</v>
      </c>
      <c r="V718" s="68" t="str">
        <f>VLOOKUP($A718,'Calendar ID'!$A:$C,2,false)</f>
        <v>c_db1fbd259183311b30d5bfa9e5494d85e4aa71562c2d699763ba11e15f3e8a3b@group.calendar.google.com</v>
      </c>
      <c r="W718" s="71" t="b">
        <v>0</v>
      </c>
      <c r="X718" s="68" t="str">
        <f>VLOOKUP($A718,'Calendar ID'!$A:$C,2,false)</f>
        <v>c_db1fbd259183311b30d5bfa9e5494d85e4aa71562c2d699763ba11e15f3e8a3b@group.calendar.google.com</v>
      </c>
    </row>
    <row r="719" hidden="1">
      <c r="A719" s="160" t="s">
        <v>448</v>
      </c>
      <c r="B719" s="17">
        <v>45711.0</v>
      </c>
      <c r="C719" s="16" t="s">
        <v>640</v>
      </c>
      <c r="E719" s="17"/>
      <c r="F719" s="107">
        <v>45715.0</v>
      </c>
      <c r="G719" s="122">
        <v>45736.0</v>
      </c>
      <c r="H719" s="10" t="s">
        <v>31</v>
      </c>
      <c r="J719" s="16" t="s">
        <v>641</v>
      </c>
      <c r="K719" s="16" t="s">
        <v>33</v>
      </c>
      <c r="L719" s="31" t="s">
        <v>56</v>
      </c>
      <c r="N719" s="65" t="s">
        <v>790</v>
      </c>
      <c r="O719" s="16"/>
      <c r="P719" s="16"/>
      <c r="Q719" s="17">
        <f t="shared" si="107"/>
        <v>45711</v>
      </c>
      <c r="S719" s="20"/>
      <c r="T719" s="68" t="str">
        <f>VLOOKUP(A719,'Calendar ID'!$A:$C,3,false)</f>
        <v>farahdisiaque@gmail.com</v>
      </c>
      <c r="U719" s="71" t="b">
        <v>0</v>
      </c>
      <c r="V719" s="68" t="str">
        <f>VLOOKUP($A719,'Calendar ID'!$A:$C,2,false)</f>
        <v>c_311aaffc8651807276a982d2e3621559621998746b9adad33a9304b73b24dbd9@group.calendar.google.com</v>
      </c>
      <c r="W719" s="69" t="b">
        <v>1</v>
      </c>
      <c r="X719" s="70" t="s">
        <v>82</v>
      </c>
    </row>
    <row r="720" hidden="1">
      <c r="A720" s="16" t="s">
        <v>57</v>
      </c>
      <c r="B720" s="17">
        <v>45751.0</v>
      </c>
      <c r="C720" s="16" t="s">
        <v>624</v>
      </c>
      <c r="E720" s="17"/>
      <c r="F720" s="30">
        <v>45755.0</v>
      </c>
      <c r="G720" s="36">
        <f>F720+20</f>
        <v>45775</v>
      </c>
      <c r="H720" s="10" t="s">
        <v>31</v>
      </c>
      <c r="J720" s="16" t="s">
        <v>593</v>
      </c>
      <c r="K720" s="16" t="s">
        <v>33</v>
      </c>
      <c r="L720" s="31" t="s">
        <v>56</v>
      </c>
      <c r="N720" s="16" t="s">
        <v>791</v>
      </c>
      <c r="O720" s="16"/>
      <c r="P720" s="23"/>
      <c r="Q720" s="17">
        <f t="shared" si="107"/>
        <v>45751</v>
      </c>
      <c r="R720" s="15"/>
      <c r="S720" s="20"/>
      <c r="T720" s="68" t="str">
        <f>VLOOKUP(A720,'Calendar ID'!$A:$C,3,false)</f>
        <v>fgirault3@gmail.com</v>
      </c>
      <c r="U720" s="71" t="b">
        <v>0</v>
      </c>
      <c r="V720" s="68" t="str">
        <f>VLOOKUP($A720,'Calendar ID'!$A:$C,2,false)</f>
        <v>c_b412638d97e7dcffa392ccd62e6d5e2eccb052c0c08de7e1e7d547811d81c44c@group.calendar.google.com</v>
      </c>
      <c r="W720" s="71" t="b">
        <v>0</v>
      </c>
      <c r="X720" s="68" t="str">
        <f>VLOOKUP($A720,'Calendar ID'!$A:$C,2,false)</f>
        <v>c_b412638d97e7dcffa392ccd62e6d5e2eccb052c0c08de7e1e7d547811d81c44c@group.calendar.google.com</v>
      </c>
    </row>
    <row r="721" hidden="1">
      <c r="A721" s="16" t="s">
        <v>57</v>
      </c>
      <c r="B721" s="17">
        <v>45371.0</v>
      </c>
      <c r="C721" s="16" t="s">
        <v>741</v>
      </c>
      <c r="G721" s="30">
        <v>45393.0</v>
      </c>
      <c r="H721" s="10" t="s">
        <v>31</v>
      </c>
      <c r="I721" s="16" t="s">
        <v>742</v>
      </c>
      <c r="J721" s="16" t="s">
        <v>59</v>
      </c>
      <c r="K721" s="16" t="s">
        <v>33</v>
      </c>
      <c r="L721" s="14" t="s">
        <v>56</v>
      </c>
      <c r="Q721" s="17">
        <f t="shared" si="107"/>
        <v>45371</v>
      </c>
      <c r="R721" s="18"/>
      <c r="S721" s="20"/>
      <c r="T721" s="20"/>
      <c r="U721" s="20"/>
      <c r="V721" s="20"/>
      <c r="W721" s="20"/>
      <c r="X721" s="20"/>
      <c r="Y721" s="20"/>
      <c r="Z721" s="20"/>
      <c r="AA721" s="20"/>
      <c r="AB721" s="20"/>
      <c r="AC721" s="20"/>
    </row>
    <row r="722" hidden="1">
      <c r="A722" s="16" t="s">
        <v>57</v>
      </c>
      <c r="B722" s="17">
        <v>45386.0</v>
      </c>
      <c r="C722" s="16" t="s">
        <v>630</v>
      </c>
      <c r="E722" s="8"/>
      <c r="F722" s="28">
        <v>45387.0</v>
      </c>
      <c r="G722" s="35">
        <v>45408.0</v>
      </c>
      <c r="H722" s="10" t="s">
        <v>31</v>
      </c>
      <c r="I722" s="16" t="s">
        <v>747</v>
      </c>
      <c r="J722" s="16" t="s">
        <v>43</v>
      </c>
      <c r="K722" s="16" t="s">
        <v>33</v>
      </c>
      <c r="L722" s="14" t="s">
        <v>56</v>
      </c>
      <c r="Q722" s="17">
        <f t="shared" si="107"/>
        <v>45386</v>
      </c>
      <c r="S722" s="20"/>
      <c r="T722" s="20"/>
      <c r="U722" s="20"/>
      <c r="V722" s="20"/>
      <c r="W722" s="20"/>
      <c r="X722" s="20"/>
      <c r="Y722" s="20"/>
      <c r="Z722" s="20"/>
      <c r="AA722" s="20"/>
      <c r="AB722" s="20"/>
      <c r="AC722" s="20"/>
    </row>
    <row r="723" hidden="1">
      <c r="A723" s="16" t="s">
        <v>57</v>
      </c>
      <c r="B723" s="17">
        <v>45388.0</v>
      </c>
      <c r="C723" s="29" t="s">
        <v>749</v>
      </c>
      <c r="F723" s="17"/>
      <c r="G723" s="43">
        <v>45431.0</v>
      </c>
      <c r="H723" s="16" t="s">
        <v>31</v>
      </c>
      <c r="I723" s="16" t="s">
        <v>792</v>
      </c>
      <c r="J723" s="16" t="s">
        <v>751</v>
      </c>
      <c r="K723" s="16" t="s">
        <v>33</v>
      </c>
      <c r="L723" s="16" t="s">
        <v>752</v>
      </c>
      <c r="Q723" s="17">
        <f t="shared" si="107"/>
        <v>45388</v>
      </c>
      <c r="S723" s="20"/>
      <c r="T723" s="20" t="str">
        <f>VLOOKUP(A723,'Calendar ID'!$A:$C,3,false)</f>
        <v>fgirault3@gmail.com</v>
      </c>
      <c r="U723" s="20" t="b">
        <v>0</v>
      </c>
      <c r="V723" s="20" t="str">
        <f>VLOOKUP($A723,'Calendar ID'!$A:$C,2,false)</f>
        <v>c_b412638d97e7dcffa392ccd62e6d5e2eccb052c0c08de7e1e7d547811d81c44c@group.calendar.google.com</v>
      </c>
      <c r="W723" s="19" t="b">
        <v>0</v>
      </c>
      <c r="X723" s="20" t="str">
        <f>VLOOKUP($A723,'Calendar ID'!$A:$C,2,false)</f>
        <v>c_b412638d97e7dcffa392ccd62e6d5e2eccb052c0c08de7e1e7d547811d81c44c@group.calendar.google.com</v>
      </c>
      <c r="Y723" s="20"/>
      <c r="Z723" s="20"/>
      <c r="AA723" s="20"/>
      <c r="AB723" s="20"/>
      <c r="AC723" s="20"/>
    </row>
    <row r="724" hidden="1">
      <c r="A724" s="16" t="s">
        <v>57</v>
      </c>
      <c r="B724" s="17">
        <v>45404.0</v>
      </c>
      <c r="C724" s="29" t="s">
        <v>667</v>
      </c>
      <c r="E724" s="17"/>
      <c r="F724" s="17"/>
      <c r="G724" s="48">
        <v>45440.0</v>
      </c>
      <c r="H724" s="16" t="s">
        <v>31</v>
      </c>
      <c r="I724" s="55" t="s">
        <v>668</v>
      </c>
      <c r="J724" s="16" t="s">
        <v>43</v>
      </c>
      <c r="K724" s="14" t="s">
        <v>33</v>
      </c>
      <c r="L724" s="31" t="s">
        <v>56</v>
      </c>
      <c r="N724" s="55" t="s">
        <v>793</v>
      </c>
      <c r="O724" s="16"/>
      <c r="P724" s="16"/>
      <c r="Q724" s="17">
        <f t="shared" si="107"/>
        <v>45404</v>
      </c>
      <c r="S724" s="20"/>
      <c r="T724" s="20"/>
      <c r="U724" s="20"/>
      <c r="V724" s="20"/>
      <c r="W724" s="20"/>
      <c r="X724" s="20"/>
      <c r="Y724" s="20"/>
      <c r="Z724" s="20"/>
      <c r="AA724" s="20"/>
      <c r="AB724" s="20"/>
      <c r="AC724" s="20"/>
    </row>
    <row r="725" hidden="1">
      <c r="A725" s="16" t="s">
        <v>57</v>
      </c>
      <c r="B725" s="17">
        <v>45442.0</v>
      </c>
      <c r="C725" s="16" t="s">
        <v>679</v>
      </c>
      <c r="E725" s="17"/>
      <c r="F725" s="53">
        <v>45460.0</v>
      </c>
      <c r="G725" s="58">
        <v>45473.0</v>
      </c>
      <c r="H725" s="16" t="s">
        <v>31</v>
      </c>
      <c r="J725" s="16" t="s">
        <v>43</v>
      </c>
      <c r="K725" s="16" t="s">
        <v>33</v>
      </c>
      <c r="L725" s="31" t="s">
        <v>56</v>
      </c>
      <c r="N725" s="65" t="s">
        <v>794</v>
      </c>
      <c r="O725" s="16"/>
      <c r="P725" s="16"/>
      <c r="Q725" s="17">
        <f t="shared" si="107"/>
        <v>45442</v>
      </c>
      <c r="S725" s="20"/>
      <c r="T725" s="20" t="str">
        <f>VLOOKUP(A725,'Calendar ID'!$A:$C,3,false)</f>
        <v>fgirault3@gmail.com</v>
      </c>
      <c r="U725" s="20" t="b">
        <v>0</v>
      </c>
      <c r="V725" s="20" t="str">
        <f>VLOOKUP($A725,'Calendar ID'!$A:$C,2,false)</f>
        <v>c_b412638d97e7dcffa392ccd62e6d5e2eccb052c0c08de7e1e7d547811d81c44c@group.calendar.google.com</v>
      </c>
      <c r="W725" s="19" t="b">
        <v>1</v>
      </c>
      <c r="X725" s="19" t="s">
        <v>82</v>
      </c>
      <c r="Y725" s="20"/>
      <c r="Z725" s="20"/>
      <c r="AA725" s="20"/>
      <c r="AB725" s="20"/>
      <c r="AC725" s="20"/>
    </row>
    <row r="726" hidden="1">
      <c r="A726" s="16" t="s">
        <v>57</v>
      </c>
      <c r="B726" s="17">
        <v>45442.0</v>
      </c>
      <c r="C726" s="16" t="s">
        <v>683</v>
      </c>
      <c r="E726" s="17"/>
      <c r="F726" s="53">
        <v>45463.0</v>
      </c>
      <c r="G726" s="67">
        <v>45488.0</v>
      </c>
      <c r="H726" s="16" t="s">
        <v>31</v>
      </c>
      <c r="I726" s="16" t="s">
        <v>111</v>
      </c>
      <c r="J726" s="16" t="s">
        <v>43</v>
      </c>
      <c r="K726" s="16" t="s">
        <v>33</v>
      </c>
      <c r="L726" s="31" t="s">
        <v>56</v>
      </c>
      <c r="N726" s="55" t="s">
        <v>795</v>
      </c>
      <c r="O726" s="16"/>
      <c r="P726" s="16"/>
      <c r="Q726" s="17">
        <f t="shared" si="107"/>
        <v>45442</v>
      </c>
      <c r="S726" s="20"/>
      <c r="T726" s="20" t="str">
        <f>VLOOKUP(A726,'Calendar ID'!$A:$C,3,false)</f>
        <v>fgirault3@gmail.com</v>
      </c>
      <c r="U726" s="20" t="b">
        <v>0</v>
      </c>
      <c r="V726" s="20" t="str">
        <f>VLOOKUP($A726,'Calendar ID'!$A:$C,2,false)</f>
        <v>c_b412638d97e7dcffa392ccd62e6d5e2eccb052c0c08de7e1e7d547811d81c44c@group.calendar.google.com</v>
      </c>
      <c r="W726" s="19" t="b">
        <v>0</v>
      </c>
      <c r="X726" s="20" t="str">
        <f>VLOOKUP($A726,'Calendar ID'!$A:$C,2,false)</f>
        <v>c_b412638d97e7dcffa392ccd62e6d5e2eccb052c0c08de7e1e7d547811d81c44c@group.calendar.google.com</v>
      </c>
      <c r="Y726" s="20"/>
      <c r="Z726" s="20"/>
      <c r="AA726" s="20"/>
      <c r="AB726" s="20"/>
      <c r="AC726" s="20"/>
    </row>
    <row r="727" hidden="1">
      <c r="A727" s="16" t="s">
        <v>57</v>
      </c>
      <c r="B727" s="17">
        <v>45440.0</v>
      </c>
      <c r="C727" s="16" t="s">
        <v>127</v>
      </c>
      <c r="E727" s="17"/>
      <c r="G727" s="67">
        <v>45489.0</v>
      </c>
      <c r="H727" s="16" t="s">
        <v>31</v>
      </c>
      <c r="J727" s="16" t="s">
        <v>43</v>
      </c>
      <c r="K727" s="16" t="s">
        <v>33</v>
      </c>
      <c r="L727" s="31">
        <v>350.0</v>
      </c>
      <c r="N727" s="16"/>
      <c r="O727" s="16"/>
      <c r="P727" s="16" t="s">
        <v>34</v>
      </c>
      <c r="Q727" s="17">
        <f t="shared" si="107"/>
        <v>45440</v>
      </c>
      <c r="R727" s="18">
        <f>L727*0.2</f>
        <v>70</v>
      </c>
      <c r="S727" s="19" t="b">
        <v>0</v>
      </c>
      <c r="T727" s="20" t="str">
        <f>VLOOKUP(A727,'Calendar ID'!$A:$C,3,false)</f>
        <v>fgirault3@gmail.com</v>
      </c>
      <c r="U727" s="19" t="b">
        <v>0</v>
      </c>
      <c r="V727" s="20" t="str">
        <f>VLOOKUP($A727,'Calendar ID'!$A:$C,2,false)</f>
        <v>c_b412638d97e7dcffa392ccd62e6d5e2eccb052c0c08de7e1e7d547811d81c44c@group.calendar.google.com</v>
      </c>
      <c r="W727" s="19" t="b">
        <v>1</v>
      </c>
      <c r="X727" s="19" t="s">
        <v>82</v>
      </c>
      <c r="Y727" s="16"/>
      <c r="Z727" s="16"/>
      <c r="AA727" s="16"/>
      <c r="AB727" s="16"/>
      <c r="AC727" s="16"/>
    </row>
    <row r="728" hidden="1">
      <c r="A728" s="10" t="s">
        <v>57</v>
      </c>
      <c r="B728" s="11">
        <v>45454.0</v>
      </c>
      <c r="C728" s="16" t="s">
        <v>174</v>
      </c>
      <c r="D728" s="16" t="s">
        <v>685</v>
      </c>
      <c r="E728" s="26"/>
      <c r="F728" s="156">
        <v>45481.0</v>
      </c>
      <c r="G728" s="164">
        <v>45501.0</v>
      </c>
      <c r="H728" s="10" t="s">
        <v>31</v>
      </c>
      <c r="I728" s="7"/>
      <c r="J728" s="23" t="s">
        <v>43</v>
      </c>
      <c r="K728" s="23" t="s">
        <v>33</v>
      </c>
      <c r="L728" s="14" t="s">
        <v>56</v>
      </c>
      <c r="M728" s="7"/>
      <c r="N728" s="175" t="s">
        <v>796</v>
      </c>
      <c r="O728" s="23"/>
      <c r="P728" s="23"/>
      <c r="Q728" s="17">
        <f t="shared" si="107"/>
        <v>45454</v>
      </c>
      <c r="R728" s="7"/>
      <c r="S728" s="68"/>
      <c r="T728" s="68" t="str">
        <f>VLOOKUP(A728,'Calendar ID'!$A:$C,3,false)</f>
        <v>fgirault3@gmail.com</v>
      </c>
      <c r="U728" s="71" t="b">
        <v>0</v>
      </c>
      <c r="V728" s="68" t="str">
        <f>VLOOKUP($A728,'Calendar ID'!$A:$C,2,false)</f>
        <v>c_b412638d97e7dcffa392ccd62e6d5e2eccb052c0c08de7e1e7d547811d81c44c@group.calendar.google.com</v>
      </c>
      <c r="W728" s="69" t="b">
        <v>1</v>
      </c>
      <c r="X728" s="19" t="s">
        <v>82</v>
      </c>
      <c r="Y728" s="68"/>
      <c r="Z728" s="68"/>
      <c r="AA728" s="68"/>
      <c r="AB728" s="68"/>
      <c r="AC728" s="68"/>
    </row>
    <row r="729" hidden="1">
      <c r="A729" s="16" t="s">
        <v>57</v>
      </c>
      <c r="B729" s="17">
        <v>45527.0</v>
      </c>
      <c r="C729" s="16" t="s">
        <v>797</v>
      </c>
      <c r="E729" s="17"/>
      <c r="G729" s="17">
        <v>45550.0</v>
      </c>
      <c r="H729" s="10" t="s">
        <v>31</v>
      </c>
      <c r="J729" s="23" t="s">
        <v>97</v>
      </c>
      <c r="K729" s="23" t="s">
        <v>33</v>
      </c>
      <c r="L729" s="14" t="s">
        <v>56</v>
      </c>
      <c r="N729" s="65" t="s">
        <v>798</v>
      </c>
      <c r="O729" s="16"/>
      <c r="P729" s="16"/>
      <c r="Q729" s="17">
        <f t="shared" si="107"/>
        <v>45527</v>
      </c>
      <c r="S729" s="20"/>
      <c r="T729" s="68" t="str">
        <f>VLOOKUP(A729,'Calendar ID'!$A:$C,3,false)</f>
        <v>fgirault3@gmail.com</v>
      </c>
      <c r="U729" s="78" t="b">
        <v>0</v>
      </c>
      <c r="V729" s="68" t="str">
        <f>VLOOKUP($A729,'Calendar ID'!$A:$C,2,false)</f>
        <v>c_b412638d97e7dcffa392ccd62e6d5e2eccb052c0c08de7e1e7d547811d81c44c@group.calendar.google.com</v>
      </c>
      <c r="W729" s="69" t="b">
        <v>1</v>
      </c>
      <c r="X729" s="70" t="s">
        <v>82</v>
      </c>
    </row>
    <row r="730" hidden="1">
      <c r="A730" s="16" t="s">
        <v>57</v>
      </c>
      <c r="B730" s="17">
        <v>45558.0</v>
      </c>
      <c r="C730" s="16" t="s">
        <v>636</v>
      </c>
      <c r="E730" s="17"/>
      <c r="F730" s="17">
        <v>45561.0</v>
      </c>
      <c r="G730" s="17">
        <v>45582.0</v>
      </c>
      <c r="H730" s="10" t="s">
        <v>31</v>
      </c>
      <c r="J730" s="16" t="s">
        <v>43</v>
      </c>
      <c r="K730" s="23" t="s">
        <v>33</v>
      </c>
      <c r="L730" s="31" t="s">
        <v>56</v>
      </c>
      <c r="N730" s="16"/>
      <c r="O730" s="16"/>
      <c r="P730" s="16"/>
      <c r="Q730" s="17">
        <f t="shared" si="107"/>
        <v>45558</v>
      </c>
      <c r="S730" s="20"/>
      <c r="T730" s="68" t="str">
        <f>VLOOKUP(A730,'Calendar ID'!$A:$C,3,false)</f>
        <v>fgirault3@gmail.com</v>
      </c>
      <c r="U730" s="78" t="b">
        <v>0</v>
      </c>
      <c r="V730" s="68" t="str">
        <f>VLOOKUP($A730,'Calendar ID'!$A:$C,2,false)</f>
        <v>c_b412638d97e7dcffa392ccd62e6d5e2eccb052c0c08de7e1e7d547811d81c44c@group.calendar.google.com</v>
      </c>
      <c r="W730" s="69" t="b">
        <v>1</v>
      </c>
      <c r="X730" s="70" t="s">
        <v>82</v>
      </c>
    </row>
    <row r="731" hidden="1">
      <c r="A731" s="16" t="s">
        <v>57</v>
      </c>
      <c r="B731" s="17">
        <v>45561.0</v>
      </c>
      <c r="C731" s="16" t="s">
        <v>799</v>
      </c>
      <c r="E731" s="17"/>
      <c r="F731" s="17">
        <v>45563.0</v>
      </c>
      <c r="G731" s="17">
        <v>45585.0</v>
      </c>
      <c r="H731" s="10" t="s">
        <v>31</v>
      </c>
      <c r="J731" s="16" t="s">
        <v>43</v>
      </c>
      <c r="K731" s="23" t="s">
        <v>33</v>
      </c>
      <c r="L731" s="31" t="s">
        <v>56</v>
      </c>
      <c r="N731" s="16"/>
      <c r="O731" s="16"/>
      <c r="P731" s="16"/>
      <c r="Q731" s="17">
        <f t="shared" si="107"/>
        <v>45561</v>
      </c>
      <c r="S731" s="20"/>
      <c r="T731" s="68" t="str">
        <f>VLOOKUP(A731,'Calendar ID'!$A:$C,3,false)</f>
        <v>fgirault3@gmail.com</v>
      </c>
      <c r="U731" s="78" t="b">
        <v>0</v>
      </c>
      <c r="V731" s="68" t="str">
        <f>VLOOKUP($A731,'Calendar ID'!$A:$C,2,false)</f>
        <v>c_b412638d97e7dcffa392ccd62e6d5e2eccb052c0c08de7e1e7d547811d81c44c@group.calendar.google.com</v>
      </c>
      <c r="W731" s="69" t="b">
        <v>1</v>
      </c>
      <c r="X731" s="70" t="s">
        <v>82</v>
      </c>
    </row>
    <row r="732" hidden="1">
      <c r="A732" s="16" t="s">
        <v>57</v>
      </c>
      <c r="B732" s="17">
        <v>45628.0</v>
      </c>
      <c r="C732" s="16" t="s">
        <v>648</v>
      </c>
      <c r="E732" s="17"/>
      <c r="F732" s="17">
        <v>45624.0</v>
      </c>
      <c r="G732" s="17">
        <v>45642.0</v>
      </c>
      <c r="H732" s="10" t="s">
        <v>31</v>
      </c>
      <c r="J732" s="16" t="s">
        <v>43</v>
      </c>
      <c r="K732" s="23" t="s">
        <v>33</v>
      </c>
      <c r="L732" s="31" t="s">
        <v>56</v>
      </c>
      <c r="N732" s="16"/>
      <c r="O732" s="16"/>
      <c r="P732" s="16"/>
      <c r="Q732" s="17">
        <f t="shared" si="107"/>
        <v>45628</v>
      </c>
      <c r="S732" s="20"/>
      <c r="T732" s="68" t="str">
        <f>VLOOKUP(A732,'Calendar ID'!$A:$C,3,false)</f>
        <v>fgirault3@gmail.com</v>
      </c>
      <c r="U732" s="77" t="b">
        <v>0</v>
      </c>
      <c r="V732" s="68" t="str">
        <f>VLOOKUP($A732,'Calendar ID'!$A:$C,2,false)</f>
        <v>c_b412638d97e7dcffa392ccd62e6d5e2eccb052c0c08de7e1e7d547811d81c44c@group.calendar.google.com</v>
      </c>
      <c r="W732" s="77" t="b">
        <v>1</v>
      </c>
      <c r="X732" s="70" t="s">
        <v>82</v>
      </c>
    </row>
    <row r="733" hidden="1">
      <c r="A733" s="16" t="s">
        <v>57</v>
      </c>
      <c r="B733" s="17">
        <v>45628.0</v>
      </c>
      <c r="C733" s="16" t="s">
        <v>651</v>
      </c>
      <c r="E733" s="17"/>
      <c r="F733" s="17">
        <v>45630.0</v>
      </c>
      <c r="G733" s="17">
        <v>45651.0</v>
      </c>
      <c r="H733" s="10" t="s">
        <v>31</v>
      </c>
      <c r="J733" s="16" t="s">
        <v>593</v>
      </c>
      <c r="K733" s="23" t="s">
        <v>33</v>
      </c>
      <c r="L733" s="31" t="s">
        <v>56</v>
      </c>
      <c r="N733" s="16"/>
      <c r="O733" s="16"/>
      <c r="P733" s="16"/>
      <c r="Q733" s="17">
        <f t="shared" si="107"/>
        <v>45628</v>
      </c>
      <c r="S733" s="20"/>
      <c r="T733" s="68" t="str">
        <f>VLOOKUP(A733,'Calendar ID'!$A:$C,3,false)</f>
        <v>fgirault3@gmail.com</v>
      </c>
      <c r="U733" s="71" t="b">
        <v>0</v>
      </c>
      <c r="V733" s="68" t="str">
        <f>VLOOKUP($A733,'Calendar ID'!$A:$C,2,false)</f>
        <v>c_b412638d97e7dcffa392ccd62e6d5e2eccb052c0c08de7e1e7d547811d81c44c@group.calendar.google.com</v>
      </c>
      <c r="W733" s="71" t="b">
        <v>0</v>
      </c>
      <c r="X733" s="68" t="str">
        <f>VLOOKUP($A733,'Calendar ID'!$A:$C,2,false)</f>
        <v>c_b412638d97e7dcffa392ccd62e6d5e2eccb052c0c08de7e1e7d547811d81c44c@group.calendar.google.com</v>
      </c>
    </row>
    <row r="734" hidden="1">
      <c r="A734" s="16" t="s">
        <v>57</v>
      </c>
      <c r="B734" s="17">
        <v>45630.0</v>
      </c>
      <c r="C734" s="16" t="s">
        <v>800</v>
      </c>
      <c r="E734" s="17"/>
      <c r="F734" s="17">
        <v>45632.0</v>
      </c>
      <c r="G734" s="17">
        <v>45651.0</v>
      </c>
      <c r="H734" s="10" t="s">
        <v>31</v>
      </c>
      <c r="J734" s="16" t="s">
        <v>593</v>
      </c>
      <c r="K734" s="23" t="s">
        <v>33</v>
      </c>
      <c r="L734" s="31" t="s">
        <v>56</v>
      </c>
      <c r="N734" s="16"/>
      <c r="O734" s="16"/>
      <c r="P734" s="16"/>
      <c r="Q734" s="17">
        <f t="shared" si="107"/>
        <v>45630</v>
      </c>
      <c r="S734" s="20"/>
      <c r="T734" s="68" t="str">
        <f>VLOOKUP(A734,'Calendar ID'!$A:$C,3,false)</f>
        <v>fgirault3@gmail.com</v>
      </c>
      <c r="U734" s="71" t="b">
        <v>0</v>
      </c>
      <c r="V734" s="68" t="str">
        <f>VLOOKUP($A734,'Calendar ID'!$A:$C,2,false)</f>
        <v>c_b412638d97e7dcffa392ccd62e6d5e2eccb052c0c08de7e1e7d547811d81c44c@group.calendar.google.com</v>
      </c>
      <c r="W734" s="69" t="b">
        <v>1</v>
      </c>
      <c r="X734" s="70" t="s">
        <v>82</v>
      </c>
    </row>
    <row r="735" hidden="1">
      <c r="A735" s="16" t="s">
        <v>57</v>
      </c>
      <c r="B735" s="17">
        <v>45664.0</v>
      </c>
      <c r="C735" s="16" t="s">
        <v>651</v>
      </c>
      <c r="E735" s="17"/>
      <c r="F735" s="96">
        <v>45666.0</v>
      </c>
      <c r="G735" s="106">
        <v>45695.0</v>
      </c>
      <c r="H735" s="10" t="s">
        <v>31</v>
      </c>
      <c r="J735" s="16" t="s">
        <v>593</v>
      </c>
      <c r="K735" s="23" t="s">
        <v>33</v>
      </c>
      <c r="L735" s="31" t="s">
        <v>56</v>
      </c>
      <c r="N735" s="16"/>
      <c r="O735" s="16"/>
      <c r="P735" s="16"/>
      <c r="Q735" s="17">
        <f t="shared" si="107"/>
        <v>45664</v>
      </c>
      <c r="S735" s="20"/>
      <c r="T735" s="68" t="str">
        <f>VLOOKUP(A735,'Calendar ID'!$A:$C,3,false)</f>
        <v>fgirault3@gmail.com</v>
      </c>
      <c r="U735" s="69" t="b">
        <v>0</v>
      </c>
      <c r="V735" s="68" t="str">
        <f>VLOOKUP($A735,'Calendar ID'!$A:$C,2,false)</f>
        <v>c_b412638d97e7dcffa392ccd62e6d5e2eccb052c0c08de7e1e7d547811d81c44c@group.calendar.google.com</v>
      </c>
      <c r="W735" s="69" t="b">
        <v>1</v>
      </c>
      <c r="X735" s="70" t="s">
        <v>82</v>
      </c>
    </row>
    <row r="736" hidden="1">
      <c r="A736" s="16" t="s">
        <v>57</v>
      </c>
      <c r="B736" s="17">
        <v>45674.0</v>
      </c>
      <c r="C736" s="16" t="s">
        <v>630</v>
      </c>
      <c r="E736" s="17"/>
      <c r="F736" s="17"/>
      <c r="G736" s="107">
        <v>45711.0</v>
      </c>
      <c r="H736" s="10" t="s">
        <v>31</v>
      </c>
      <c r="J736" s="16" t="s">
        <v>43</v>
      </c>
      <c r="K736" s="23" t="s">
        <v>33</v>
      </c>
      <c r="L736" s="31" t="s">
        <v>56</v>
      </c>
      <c r="Q736" s="17">
        <f t="shared" si="107"/>
        <v>45674</v>
      </c>
      <c r="S736" s="20"/>
      <c r="T736" s="68" t="str">
        <f>VLOOKUP(A736,'Calendar ID'!$A:$C,3,false)</f>
        <v>fgirault3@gmail.com</v>
      </c>
      <c r="U736" s="77" t="b">
        <v>0</v>
      </c>
      <c r="V736" s="68" t="str">
        <f>VLOOKUP($A736,'Calendar ID'!$A:$C,2,false)</f>
        <v>c_b412638d97e7dcffa392ccd62e6d5e2eccb052c0c08de7e1e7d547811d81c44c@group.calendar.google.com</v>
      </c>
      <c r="W736" s="77" t="b">
        <v>1</v>
      </c>
      <c r="X736" s="70" t="s">
        <v>82</v>
      </c>
    </row>
    <row r="737" hidden="1">
      <c r="A737" s="160" t="s">
        <v>57</v>
      </c>
      <c r="B737" s="17">
        <v>45386.0</v>
      </c>
      <c r="C737" s="29" t="s">
        <v>410</v>
      </c>
      <c r="G737" s="10"/>
      <c r="H737" s="16" t="s">
        <v>31</v>
      </c>
      <c r="J737" s="16" t="s">
        <v>767</v>
      </c>
      <c r="K737" s="16" t="s">
        <v>33</v>
      </c>
      <c r="L737" s="14" t="s">
        <v>56</v>
      </c>
      <c r="N737" s="55" t="s">
        <v>801</v>
      </c>
      <c r="Q737" s="17">
        <f t="shared" si="107"/>
        <v>45386</v>
      </c>
      <c r="S737" s="20"/>
      <c r="T737" s="20" t="str">
        <f>VLOOKUP(A737,'Calendar ID'!$A$2:$C$15,3)</f>
        <v>fgirault3@gmail.com</v>
      </c>
      <c r="U737" s="20" t="b">
        <v>0</v>
      </c>
      <c r="V737" s="20" t="str">
        <f>VLOOKUP($A737,'Calendar ID'!$A$2:$C$16,2,false)</f>
        <v>c_b412638d97e7dcffa392ccd62e6d5e2eccb052c0c08de7e1e7d547811d81c44c@group.calendar.google.com</v>
      </c>
      <c r="W737" s="19" t="b">
        <v>0</v>
      </c>
      <c r="X737" s="20" t="str">
        <f>VLOOKUP($A737,'Calendar ID'!$A$2:$C$16,2,false)</f>
        <v>c_b412638d97e7dcffa392ccd62e6d5e2eccb052c0c08de7e1e7d547811d81c44c@group.calendar.google.com</v>
      </c>
      <c r="Y737" s="20"/>
      <c r="Z737" s="20"/>
      <c r="AA737" s="20"/>
      <c r="AB737" s="20"/>
      <c r="AC737" s="20"/>
    </row>
    <row r="738" hidden="1">
      <c r="A738" s="16" t="s">
        <v>57</v>
      </c>
      <c r="B738" s="17">
        <v>45407.0</v>
      </c>
      <c r="C738" s="29" t="s">
        <v>770</v>
      </c>
      <c r="E738" s="17"/>
      <c r="H738" s="16" t="s">
        <v>31</v>
      </c>
      <c r="J738" s="16" t="s">
        <v>97</v>
      </c>
      <c r="K738" s="14" t="s">
        <v>33</v>
      </c>
      <c r="L738" s="31" t="s">
        <v>56</v>
      </c>
      <c r="N738" s="16"/>
      <c r="O738" s="16"/>
      <c r="P738" s="16"/>
      <c r="Q738" s="17">
        <f t="shared" si="107"/>
        <v>45407</v>
      </c>
      <c r="S738" s="20"/>
      <c r="T738" s="20" t="str">
        <f>VLOOKUP(A738,'Calendar ID'!$A:$C,3,false)</f>
        <v>fgirault3@gmail.com</v>
      </c>
      <c r="U738" s="20" t="b">
        <v>0</v>
      </c>
      <c r="V738" s="20" t="str">
        <f>VLOOKUP($A738,'Calendar ID'!$A:$C,2,false)</f>
        <v>c_b412638d97e7dcffa392ccd62e6d5e2eccb052c0c08de7e1e7d547811d81c44c@group.calendar.google.com</v>
      </c>
      <c r="W738" s="19" t="b">
        <v>0</v>
      </c>
      <c r="X738" s="20" t="str">
        <f>VLOOKUP($A738,'Calendar ID'!$A:$C,2,false)</f>
        <v>c_b412638d97e7dcffa392ccd62e6d5e2eccb052c0c08de7e1e7d547811d81c44c@group.calendar.google.com</v>
      </c>
      <c r="Y738" s="20"/>
      <c r="Z738" s="20"/>
      <c r="AA738" s="20"/>
      <c r="AB738" s="20"/>
      <c r="AC738" s="20"/>
    </row>
    <row r="739" hidden="1">
      <c r="A739" s="16" t="s">
        <v>57</v>
      </c>
      <c r="B739" s="17">
        <v>45433.0</v>
      </c>
      <c r="C739" s="16" t="s">
        <v>410</v>
      </c>
      <c r="D739" s="16" t="s">
        <v>802</v>
      </c>
      <c r="E739" s="17"/>
      <c r="G739" s="17"/>
      <c r="H739" s="16" t="s">
        <v>31</v>
      </c>
      <c r="J739" s="16" t="s">
        <v>97</v>
      </c>
      <c r="K739" s="16" t="s">
        <v>33</v>
      </c>
      <c r="L739" s="31" t="s">
        <v>56</v>
      </c>
      <c r="N739" s="55" t="s">
        <v>801</v>
      </c>
      <c r="O739" s="16"/>
      <c r="P739" s="16"/>
      <c r="Q739" s="17">
        <f t="shared" si="107"/>
        <v>45433</v>
      </c>
      <c r="S739" s="20"/>
      <c r="T739" s="20"/>
      <c r="U739" s="20"/>
      <c r="V739" s="20"/>
      <c r="W739" s="20"/>
      <c r="X739" s="20"/>
      <c r="Y739" s="20"/>
      <c r="Z739" s="20"/>
      <c r="AA739" s="20"/>
      <c r="AB739" s="20"/>
      <c r="AC739" s="20"/>
    </row>
    <row r="740" hidden="1">
      <c r="A740" s="16" t="s">
        <v>57</v>
      </c>
      <c r="B740" s="17">
        <v>45473.0</v>
      </c>
      <c r="C740" s="29" t="s">
        <v>626</v>
      </c>
      <c r="E740" s="17"/>
      <c r="G740" s="17"/>
      <c r="H740" s="10" t="s">
        <v>31</v>
      </c>
      <c r="J740" s="16" t="s">
        <v>97</v>
      </c>
      <c r="K740" s="16" t="s">
        <v>33</v>
      </c>
      <c r="L740" s="31" t="s">
        <v>56</v>
      </c>
      <c r="N740" s="55" t="s">
        <v>803</v>
      </c>
      <c r="O740" s="16"/>
      <c r="P740" s="16"/>
      <c r="Q740" s="17">
        <f t="shared" si="107"/>
        <v>45473</v>
      </c>
      <c r="S740" s="20"/>
      <c r="T740" s="68" t="str">
        <f>VLOOKUP(A740,'Calendar ID'!$A:$C,3,false)</f>
        <v>fgirault3@gmail.com</v>
      </c>
      <c r="U740" s="71" t="b">
        <v>0</v>
      </c>
      <c r="V740" s="68" t="str">
        <f>VLOOKUP($A740,'Calendar ID'!$A:$C,2,false)</f>
        <v>c_b412638d97e7dcffa392ccd62e6d5e2eccb052c0c08de7e1e7d547811d81c44c@group.calendar.google.com</v>
      </c>
      <c r="W740" s="71" t="b">
        <v>0</v>
      </c>
      <c r="X740" s="68" t="str">
        <f>VLOOKUP($A740,'Calendar ID'!$A:$C,2,false)</f>
        <v>c_b412638d97e7dcffa392ccd62e6d5e2eccb052c0c08de7e1e7d547811d81c44c@group.calendar.google.com</v>
      </c>
      <c r="Y740" s="20"/>
      <c r="Z740" s="20"/>
      <c r="AA740" s="20"/>
      <c r="AB740" s="20"/>
      <c r="AC740" s="20"/>
    </row>
    <row r="741" hidden="1">
      <c r="A741" s="16" t="s">
        <v>57</v>
      </c>
      <c r="B741" s="17">
        <v>45483.0</v>
      </c>
      <c r="C741" s="16" t="s">
        <v>226</v>
      </c>
      <c r="D741" s="17"/>
      <c r="E741" s="17"/>
      <c r="F741" s="17"/>
      <c r="G741" s="17"/>
      <c r="H741" s="10" t="s">
        <v>31</v>
      </c>
      <c r="J741" s="16" t="s">
        <v>266</v>
      </c>
      <c r="K741" s="23" t="s">
        <v>33</v>
      </c>
      <c r="L741" s="31" t="s">
        <v>56</v>
      </c>
      <c r="N741" s="65" t="s">
        <v>804</v>
      </c>
      <c r="O741" s="16"/>
      <c r="P741" s="16"/>
      <c r="Q741" s="17">
        <f t="shared" si="107"/>
        <v>45483</v>
      </c>
      <c r="S741" s="20"/>
      <c r="T741" s="68" t="str">
        <f>VLOOKUP(A741,'Calendar ID'!$A:$C,3,false)</f>
        <v>fgirault3@gmail.com</v>
      </c>
      <c r="U741" s="71" t="b">
        <v>0</v>
      </c>
      <c r="V741" s="68" t="str">
        <f>VLOOKUP($A741,'Calendar ID'!$A:$C,2,false)</f>
        <v>c_b412638d97e7dcffa392ccd62e6d5e2eccb052c0c08de7e1e7d547811d81c44c@group.calendar.google.com</v>
      </c>
      <c r="W741" s="71" t="b">
        <v>0</v>
      </c>
      <c r="X741" s="68" t="str">
        <f>VLOOKUP($A741,'Calendar ID'!$A:$C,2,false)</f>
        <v>c_b412638d97e7dcffa392ccd62e6d5e2eccb052c0c08de7e1e7d547811d81c44c@group.calendar.google.com</v>
      </c>
      <c r="Y741" s="20"/>
      <c r="Z741" s="20"/>
      <c r="AA741" s="20"/>
      <c r="AB741" s="20"/>
      <c r="AC741" s="20"/>
    </row>
    <row r="742" hidden="1">
      <c r="A742" s="160" t="s">
        <v>57</v>
      </c>
      <c r="B742" s="17">
        <v>45407.0</v>
      </c>
      <c r="C742" s="16" t="s">
        <v>287</v>
      </c>
      <c r="E742" s="17"/>
      <c r="G742" s="10"/>
      <c r="H742" s="16" t="s">
        <v>31</v>
      </c>
      <c r="J742" s="16" t="s">
        <v>97</v>
      </c>
      <c r="K742" s="14" t="s">
        <v>33</v>
      </c>
      <c r="L742" s="31" t="s">
        <v>56</v>
      </c>
      <c r="N742" s="55" t="s">
        <v>805</v>
      </c>
      <c r="O742" s="16"/>
      <c r="P742" s="16"/>
      <c r="Q742" s="17">
        <f t="shared" si="107"/>
        <v>45407</v>
      </c>
      <c r="S742" s="20"/>
      <c r="T742" s="20"/>
      <c r="U742" s="20"/>
      <c r="V742" s="20"/>
      <c r="W742" s="20"/>
      <c r="X742" s="20"/>
      <c r="Y742" s="20"/>
      <c r="Z742" s="20"/>
      <c r="AA742" s="20"/>
      <c r="AB742" s="20"/>
      <c r="AC742" s="20"/>
    </row>
    <row r="743" hidden="1">
      <c r="A743" s="16" t="s">
        <v>57</v>
      </c>
      <c r="B743" s="17">
        <v>45503.0</v>
      </c>
      <c r="C743" s="16" t="s">
        <v>806</v>
      </c>
      <c r="E743" s="17"/>
      <c r="G743" s="17"/>
      <c r="H743" s="10" t="s">
        <v>31</v>
      </c>
      <c r="J743" s="16" t="s">
        <v>97</v>
      </c>
      <c r="K743" s="23" t="s">
        <v>33</v>
      </c>
      <c r="L743" s="31" t="s">
        <v>56</v>
      </c>
      <c r="N743" s="16"/>
      <c r="O743" s="16"/>
      <c r="P743" s="16"/>
      <c r="Q743" s="17">
        <f t="shared" si="107"/>
        <v>45503</v>
      </c>
      <c r="S743" s="20"/>
      <c r="T743" s="68" t="str">
        <f>VLOOKUP(A743,'Calendar ID'!$A:$C,3,false)</f>
        <v>fgirault3@gmail.com</v>
      </c>
      <c r="U743" s="71" t="b">
        <v>0</v>
      </c>
      <c r="V743" s="68" t="str">
        <f>VLOOKUP($A743,'Calendar ID'!$A:$C,2,false)</f>
        <v>c_b412638d97e7dcffa392ccd62e6d5e2eccb052c0c08de7e1e7d547811d81c44c@group.calendar.google.com</v>
      </c>
      <c r="W743" s="69" t="b">
        <v>0</v>
      </c>
      <c r="X743" s="68" t="str">
        <f>VLOOKUP($A743,'Calendar ID'!$A:$C,2,false)</f>
        <v>c_b412638d97e7dcffa392ccd62e6d5e2eccb052c0c08de7e1e7d547811d81c44c@group.calendar.google.com</v>
      </c>
      <c r="Y743" s="20"/>
      <c r="Z743" s="20"/>
      <c r="AA743" s="20"/>
      <c r="AB743" s="20"/>
      <c r="AC743" s="20"/>
    </row>
    <row r="744" hidden="1">
      <c r="A744" s="16" t="s">
        <v>57</v>
      </c>
      <c r="B744" s="11">
        <v>45511.0</v>
      </c>
      <c r="C744" s="16" t="s">
        <v>724</v>
      </c>
      <c r="E744" s="17"/>
      <c r="G744" s="17"/>
      <c r="H744" s="10" t="s">
        <v>31</v>
      </c>
      <c r="J744" s="16" t="s">
        <v>97</v>
      </c>
      <c r="K744" s="23" t="s">
        <v>33</v>
      </c>
      <c r="L744" s="31" t="s">
        <v>56</v>
      </c>
      <c r="N744" s="16"/>
      <c r="O744" s="16"/>
      <c r="P744" s="16"/>
      <c r="Q744" s="17">
        <f t="shared" si="107"/>
        <v>45511</v>
      </c>
      <c r="S744" s="20"/>
      <c r="T744" s="68" t="str">
        <f>VLOOKUP(A744,'Calendar ID'!$A:$C,3,false)</f>
        <v>fgirault3@gmail.com</v>
      </c>
      <c r="U744" s="78" t="b">
        <v>0</v>
      </c>
      <c r="V744" s="68" t="str">
        <f>VLOOKUP($A744,'Calendar ID'!$A:$C,2,false)</f>
        <v>c_b412638d97e7dcffa392ccd62e6d5e2eccb052c0c08de7e1e7d547811d81c44c@group.calendar.google.com</v>
      </c>
      <c r="W744" s="71" t="b">
        <v>0</v>
      </c>
      <c r="X744" s="68" t="str">
        <f>VLOOKUP($A744,'Calendar ID'!$A:$C,2,false)</f>
        <v>c_b412638d97e7dcffa392ccd62e6d5e2eccb052c0c08de7e1e7d547811d81c44c@group.calendar.google.com</v>
      </c>
      <c r="AA744" s="16" t="s">
        <v>807</v>
      </c>
    </row>
    <row r="745" hidden="1">
      <c r="A745" s="23" t="s">
        <v>57</v>
      </c>
      <c r="B745" s="11">
        <v>45511.0</v>
      </c>
      <c r="C745" s="16" t="s">
        <v>140</v>
      </c>
      <c r="E745" s="17"/>
      <c r="G745" s="17"/>
      <c r="H745" s="10" t="s">
        <v>31</v>
      </c>
      <c r="I745" s="16" t="s">
        <v>775</v>
      </c>
      <c r="J745" s="16" t="s">
        <v>97</v>
      </c>
      <c r="K745" s="23" t="s">
        <v>33</v>
      </c>
      <c r="L745" s="31" t="s">
        <v>56</v>
      </c>
      <c r="N745" s="16"/>
      <c r="O745" s="16"/>
      <c r="P745" s="16"/>
      <c r="Q745" s="17">
        <f t="shared" si="107"/>
        <v>45511</v>
      </c>
      <c r="S745" s="20"/>
      <c r="T745" s="68" t="str">
        <f>VLOOKUP(A745,'Calendar ID'!$A:$C,3,false)</f>
        <v>fgirault3@gmail.com</v>
      </c>
      <c r="U745" s="78" t="b">
        <v>0</v>
      </c>
      <c r="V745" s="68" t="str">
        <f>VLOOKUP($A745,'Calendar ID'!$A:$C,2,false)</f>
        <v>c_b412638d97e7dcffa392ccd62e6d5e2eccb052c0c08de7e1e7d547811d81c44c@group.calendar.google.com</v>
      </c>
      <c r="W745" s="71" t="b">
        <v>0</v>
      </c>
      <c r="X745" s="68" t="str">
        <f>VLOOKUP($A745,'Calendar ID'!$A:$C,2,false)</f>
        <v>c_b412638d97e7dcffa392ccd62e6d5e2eccb052c0c08de7e1e7d547811d81c44c@group.calendar.google.com</v>
      </c>
      <c r="AA745" s="16"/>
    </row>
    <row r="746" hidden="1">
      <c r="A746" s="23" t="s">
        <v>57</v>
      </c>
      <c r="B746" s="17">
        <v>45503.0</v>
      </c>
      <c r="C746" s="16" t="s">
        <v>191</v>
      </c>
      <c r="E746" s="17"/>
      <c r="G746" s="17"/>
      <c r="H746" s="10" t="s">
        <v>31</v>
      </c>
      <c r="J746" s="16" t="s">
        <v>97</v>
      </c>
      <c r="K746" s="23" t="s">
        <v>33</v>
      </c>
      <c r="L746" s="31" t="s">
        <v>56</v>
      </c>
      <c r="N746" s="16"/>
      <c r="O746" s="16"/>
      <c r="P746" s="16"/>
      <c r="Q746" s="17">
        <f t="shared" si="107"/>
        <v>45503</v>
      </c>
      <c r="S746" s="20"/>
      <c r="T746" s="68" t="str">
        <f>VLOOKUP(A746,'Calendar ID'!$A:$C,3,false)</f>
        <v>fgirault3@gmail.com</v>
      </c>
      <c r="U746" s="71" t="b">
        <v>0</v>
      </c>
      <c r="V746" s="68" t="str">
        <f>VLOOKUP($A746,'Calendar ID'!$A:$C,2,false)</f>
        <v>c_b412638d97e7dcffa392ccd62e6d5e2eccb052c0c08de7e1e7d547811d81c44c@group.calendar.google.com</v>
      </c>
      <c r="W746" s="69" t="b">
        <v>0</v>
      </c>
      <c r="X746" s="68" t="str">
        <f>VLOOKUP($A746,'Calendar ID'!$A:$C,2,false)</f>
        <v>c_b412638d97e7dcffa392ccd62e6d5e2eccb052c0c08de7e1e7d547811d81c44c@group.calendar.google.com</v>
      </c>
      <c r="Y746" s="20"/>
      <c r="Z746" s="20"/>
      <c r="AA746" s="20"/>
      <c r="AB746" s="20"/>
      <c r="AC746" s="20"/>
    </row>
    <row r="747" hidden="1">
      <c r="A747" s="7" t="s">
        <v>57</v>
      </c>
      <c r="B747" s="7"/>
      <c r="C747" s="7" t="s">
        <v>738</v>
      </c>
      <c r="D747" s="176" t="s">
        <v>734</v>
      </c>
      <c r="E747" s="7"/>
      <c r="F747" s="177">
        <v>45352.0</v>
      </c>
      <c r="H747" s="7" t="s">
        <v>31</v>
      </c>
      <c r="I747" s="7"/>
      <c r="J747" s="7" t="s">
        <v>97</v>
      </c>
      <c r="K747" s="7" t="s">
        <v>33</v>
      </c>
      <c r="L747" s="7" t="s">
        <v>56</v>
      </c>
      <c r="M747" s="7"/>
      <c r="Q747" s="17" t="str">
        <f t="shared" si="107"/>
        <v/>
      </c>
      <c r="S747" s="20"/>
      <c r="T747" s="20"/>
      <c r="U747" s="20"/>
      <c r="V747" s="20"/>
      <c r="W747" s="20"/>
      <c r="X747" s="20"/>
      <c r="Y747" s="20"/>
      <c r="Z747" s="20"/>
      <c r="AA747" s="20"/>
      <c r="AB747" s="20"/>
      <c r="AC747" s="20"/>
    </row>
    <row r="748" hidden="1">
      <c r="A748" s="7" t="s">
        <v>57</v>
      </c>
      <c r="B748" s="10"/>
      <c r="C748" s="29" t="s">
        <v>626</v>
      </c>
      <c r="D748" s="7"/>
      <c r="E748" s="7"/>
      <c r="F748" s="13"/>
      <c r="G748" s="10"/>
      <c r="H748" s="10" t="s">
        <v>31</v>
      </c>
      <c r="I748" s="167"/>
      <c r="J748" s="7"/>
      <c r="K748" s="14"/>
      <c r="L748" s="16" t="s">
        <v>808</v>
      </c>
      <c r="Q748" s="17" t="str">
        <f t="shared" si="107"/>
        <v/>
      </c>
      <c r="R748" s="18"/>
      <c r="S748" s="20"/>
      <c r="T748" s="20"/>
      <c r="U748" s="20"/>
      <c r="V748" s="20"/>
      <c r="W748" s="20"/>
      <c r="X748" s="20"/>
      <c r="Y748" s="20"/>
      <c r="Z748" s="20"/>
      <c r="AA748" s="20"/>
      <c r="AB748" s="20"/>
      <c r="AC748" s="20"/>
    </row>
    <row r="749" hidden="1">
      <c r="A749" s="16" t="s">
        <v>290</v>
      </c>
      <c r="B749" s="17">
        <v>45589.0</v>
      </c>
      <c r="C749" s="16" t="s">
        <v>809</v>
      </c>
      <c r="E749" s="162"/>
      <c r="F749" s="82">
        <v>45589.0</v>
      </c>
      <c r="G749" s="82">
        <v>45610.0</v>
      </c>
      <c r="H749" s="10" t="s">
        <v>31</v>
      </c>
      <c r="J749" s="16" t="s">
        <v>43</v>
      </c>
      <c r="K749" s="23" t="s">
        <v>33</v>
      </c>
      <c r="L749" s="31" t="s">
        <v>56</v>
      </c>
      <c r="N749" s="16"/>
      <c r="O749" s="16"/>
      <c r="P749" s="16"/>
      <c r="Q749" s="17">
        <f t="shared" si="107"/>
        <v>45589</v>
      </c>
      <c r="S749" s="20"/>
      <c r="T749" s="68" t="str">
        <f>VLOOKUP(A749,'Calendar ID'!$A:$C,3,false)</f>
        <v>hello.gurbet@gmail.com </v>
      </c>
      <c r="U749" s="78" t="b">
        <v>0</v>
      </c>
      <c r="V749" s="68" t="str">
        <f>VLOOKUP($A749,'Calendar ID'!$A:$C,2,false)</f>
        <v>c_db1fbd259183311b30d5bfa9e5494d85e4aa71562c2d699763ba11e15f3e8a3b@group.calendar.google.com</v>
      </c>
      <c r="W749" s="71" t="b">
        <v>0</v>
      </c>
      <c r="X749" s="68" t="str">
        <f>VLOOKUP($A749,'Calendar ID'!$A:$C,2,false)</f>
        <v>c_db1fbd259183311b30d5bfa9e5494d85e4aa71562c2d699763ba11e15f3e8a3b@group.calendar.google.com</v>
      </c>
    </row>
    <row r="750" hidden="1">
      <c r="A750" s="16" t="s">
        <v>290</v>
      </c>
      <c r="B750" s="17">
        <v>45636.0</v>
      </c>
      <c r="C750" s="16" t="s">
        <v>634</v>
      </c>
      <c r="E750" s="17"/>
      <c r="F750" s="96">
        <v>45302.0</v>
      </c>
      <c r="G750" s="17">
        <v>45650.0</v>
      </c>
      <c r="H750" s="10" t="s">
        <v>31</v>
      </c>
      <c r="J750" s="16" t="s">
        <v>43</v>
      </c>
      <c r="K750" s="23" t="s">
        <v>33</v>
      </c>
      <c r="L750" s="31" t="s">
        <v>56</v>
      </c>
      <c r="N750" s="55" t="s">
        <v>810</v>
      </c>
      <c r="O750" s="16"/>
      <c r="P750" s="16"/>
      <c r="Q750" s="17">
        <f t="shared" si="107"/>
        <v>45636</v>
      </c>
      <c r="S750" s="20"/>
      <c r="T750" s="68" t="str">
        <f>VLOOKUP(A750,'Calendar ID'!$A:$C,3,false)</f>
        <v>hello.gurbet@gmail.com </v>
      </c>
      <c r="U750" s="69" t="b">
        <v>0</v>
      </c>
      <c r="V750" s="68" t="str">
        <f>VLOOKUP($A750,'Calendar ID'!$A:$C,2,false)</f>
        <v>c_db1fbd259183311b30d5bfa9e5494d85e4aa71562c2d699763ba11e15f3e8a3b@group.calendar.google.com</v>
      </c>
      <c r="W750" s="69" t="b">
        <v>1</v>
      </c>
      <c r="X750" s="70" t="s">
        <v>82</v>
      </c>
    </row>
    <row r="751" hidden="1">
      <c r="A751" s="160" t="s">
        <v>290</v>
      </c>
      <c r="B751" s="17">
        <v>45711.0</v>
      </c>
      <c r="C751" s="16" t="s">
        <v>640</v>
      </c>
      <c r="E751" s="17"/>
      <c r="F751" s="107">
        <v>45715.0</v>
      </c>
      <c r="G751" s="122">
        <v>45736.0</v>
      </c>
      <c r="H751" s="10" t="s">
        <v>31</v>
      </c>
      <c r="J751" s="16" t="s">
        <v>641</v>
      </c>
      <c r="K751" s="16" t="s">
        <v>33</v>
      </c>
      <c r="L751" s="31" t="s">
        <v>56</v>
      </c>
      <c r="N751" s="65" t="s">
        <v>811</v>
      </c>
      <c r="O751" s="16"/>
      <c r="P751" s="16"/>
      <c r="Q751" s="17">
        <f t="shared" si="107"/>
        <v>45711</v>
      </c>
      <c r="S751" s="20"/>
      <c r="T751" s="68" t="str">
        <f>VLOOKUP(A751,'Calendar ID'!$A:$C,3,false)</f>
        <v>hello.gurbet@gmail.com </v>
      </c>
      <c r="U751" s="71" t="b">
        <v>0</v>
      </c>
      <c r="V751" s="68" t="str">
        <f>VLOOKUP($A751,'Calendar ID'!$A:$C,2,false)</f>
        <v>c_db1fbd259183311b30d5bfa9e5494d85e4aa71562c2d699763ba11e15f3e8a3b@group.calendar.google.com</v>
      </c>
      <c r="W751" s="69" t="b">
        <v>1</v>
      </c>
      <c r="X751" s="70" t="s">
        <v>82</v>
      </c>
    </row>
    <row r="752" hidden="1">
      <c r="A752" s="16" t="s">
        <v>290</v>
      </c>
      <c r="B752" s="17">
        <v>45751.0</v>
      </c>
      <c r="C752" s="16" t="s">
        <v>624</v>
      </c>
      <c r="E752" s="17"/>
      <c r="F752" s="30">
        <v>45755.0</v>
      </c>
      <c r="G752" s="36">
        <f>F752+20</f>
        <v>45775</v>
      </c>
      <c r="H752" s="10" t="s">
        <v>31</v>
      </c>
      <c r="I752" s="16" t="s">
        <v>812</v>
      </c>
      <c r="J752" s="16" t="s">
        <v>593</v>
      </c>
      <c r="K752" s="16" t="s">
        <v>33</v>
      </c>
      <c r="L752" s="31" t="s">
        <v>56</v>
      </c>
      <c r="N752" s="65" t="s">
        <v>813</v>
      </c>
      <c r="O752" s="16"/>
      <c r="P752" s="23"/>
      <c r="Q752" s="17">
        <f t="shared" si="107"/>
        <v>45751</v>
      </c>
      <c r="R752" s="15"/>
      <c r="S752" s="20"/>
      <c r="T752" s="68" t="str">
        <f>VLOOKUP(A752,'Calendar ID'!$A:$C,3,false)</f>
        <v>hello.gurbet@gmail.com </v>
      </c>
      <c r="U752" s="71" t="b">
        <v>0</v>
      </c>
      <c r="V752" s="68" t="str">
        <f>VLOOKUP($A752,'Calendar ID'!$A:$C,2,false)</f>
        <v>c_db1fbd259183311b30d5bfa9e5494d85e4aa71562c2d699763ba11e15f3e8a3b@group.calendar.google.com</v>
      </c>
      <c r="W752" s="71" t="b">
        <v>0</v>
      </c>
      <c r="X752" s="68" t="str">
        <f>VLOOKUP($A752,'Calendar ID'!$A:$C,2,false)</f>
        <v>c_db1fbd259183311b30d5bfa9e5494d85e4aa71562c2d699763ba11e15f3e8a3b@group.calendar.google.com</v>
      </c>
    </row>
    <row r="753" hidden="1">
      <c r="A753" s="16" t="s">
        <v>290</v>
      </c>
      <c r="B753" s="17">
        <v>45642.0</v>
      </c>
      <c r="C753" s="16" t="s">
        <v>211</v>
      </c>
      <c r="E753" s="17"/>
      <c r="G753" s="17"/>
      <c r="H753" s="10" t="s">
        <v>31</v>
      </c>
      <c r="J753" s="16" t="s">
        <v>43</v>
      </c>
      <c r="K753" s="23" t="s">
        <v>33</v>
      </c>
      <c r="L753" s="31">
        <v>600.0</v>
      </c>
      <c r="N753" s="16"/>
      <c r="O753" s="16"/>
      <c r="P753" s="16" t="s">
        <v>34</v>
      </c>
      <c r="Q753" s="17">
        <f t="shared" si="107"/>
        <v>45642</v>
      </c>
      <c r="R753" s="18">
        <f>L753*0.3</f>
        <v>180</v>
      </c>
      <c r="S753" s="20"/>
      <c r="T753" s="68" t="str">
        <f>VLOOKUP(A753,'Calendar ID'!$A:$C,3,false)</f>
        <v>hello.gurbet@gmail.com </v>
      </c>
      <c r="U753" s="71" t="b">
        <v>0</v>
      </c>
      <c r="V753" s="68" t="str">
        <f>VLOOKUP($A753,'Calendar ID'!$A:$C,2,false)</f>
        <v>c_db1fbd259183311b30d5bfa9e5494d85e4aa71562c2d699763ba11e15f3e8a3b@group.calendar.google.com</v>
      </c>
      <c r="W753" s="71" t="b">
        <v>0</v>
      </c>
      <c r="X753" s="68" t="str">
        <f>VLOOKUP($A753,'Calendar ID'!$A:$C,2,false)</f>
        <v>c_db1fbd259183311b30d5bfa9e5494d85e4aa71562c2d699763ba11e15f3e8a3b@group.calendar.google.com</v>
      </c>
    </row>
    <row r="754" hidden="1">
      <c r="A754" s="23" t="s">
        <v>290</v>
      </c>
      <c r="B754" s="17">
        <v>45625.0</v>
      </c>
      <c r="C754" s="16" t="s">
        <v>733</v>
      </c>
      <c r="E754" s="17"/>
      <c r="G754" s="17"/>
      <c r="H754" s="10" t="s">
        <v>31</v>
      </c>
      <c r="J754" s="16" t="s">
        <v>97</v>
      </c>
      <c r="K754" s="23" t="s">
        <v>33</v>
      </c>
      <c r="L754" s="31" t="s">
        <v>56</v>
      </c>
      <c r="N754" s="16"/>
      <c r="O754" s="16"/>
      <c r="P754" s="16"/>
      <c r="Q754" s="17">
        <f t="shared" si="107"/>
        <v>45625</v>
      </c>
      <c r="S754" s="20"/>
      <c r="T754" s="68" t="str">
        <f>VLOOKUP(A754,'Calendar ID'!$A:$C,3,false)</f>
        <v>hello.gurbet@gmail.com </v>
      </c>
      <c r="U754" s="71" t="b">
        <v>0</v>
      </c>
      <c r="V754" s="68" t="str">
        <f>VLOOKUP($A754,'Calendar ID'!$A:$C,2,false)</f>
        <v>c_db1fbd259183311b30d5bfa9e5494d85e4aa71562c2d699763ba11e15f3e8a3b@group.calendar.google.com</v>
      </c>
      <c r="W754" s="71" t="b">
        <v>0</v>
      </c>
      <c r="X754" s="68" t="str">
        <f>VLOOKUP($A754,'Calendar ID'!$A:$C,2,false)</f>
        <v>c_db1fbd259183311b30d5bfa9e5494d85e4aa71562c2d699763ba11e15f3e8a3b@group.calendar.google.com</v>
      </c>
    </row>
    <row r="755" hidden="1">
      <c r="A755" s="23" t="s">
        <v>353</v>
      </c>
      <c r="B755" s="17">
        <v>45680.0</v>
      </c>
      <c r="C755" s="16" t="s">
        <v>645</v>
      </c>
      <c r="E755" s="17"/>
      <c r="F755" s="105">
        <v>45684.0</v>
      </c>
      <c r="G755" s="86">
        <v>45698.0</v>
      </c>
      <c r="H755" s="10" t="s">
        <v>31</v>
      </c>
      <c r="J755" s="16" t="s">
        <v>641</v>
      </c>
      <c r="K755" s="23" t="s">
        <v>33</v>
      </c>
      <c r="L755" s="31" t="s">
        <v>56</v>
      </c>
      <c r="N755" s="65" t="s">
        <v>814</v>
      </c>
      <c r="O755" s="16"/>
      <c r="P755" s="16"/>
      <c r="Q755" s="17">
        <f t="shared" si="107"/>
        <v>45680</v>
      </c>
      <c r="S755" s="20"/>
      <c r="T755" s="68" t="str">
        <f>VLOOKUP(A755,'Calendar ID'!$A:$C,3,false)</f>
        <v>hidaya.7bl@gmail.com </v>
      </c>
      <c r="U755" s="71" t="b">
        <v>0</v>
      </c>
      <c r="V755" s="68" t="str">
        <f>VLOOKUP($A755,'Calendar ID'!$A:$C,2,false)</f>
        <v>c_056be6e79a6fa62e8f2a68280313995615b47a17f2b3679481d262413ec95701@group.calendar.google.com</v>
      </c>
      <c r="W755" s="71" t="b">
        <v>0</v>
      </c>
      <c r="X755" s="68" t="str">
        <f>VLOOKUP($A755,'Calendar ID'!$A:$C,2,false)</f>
        <v>c_056be6e79a6fa62e8f2a68280313995615b47a17f2b3679481d262413ec95701@group.calendar.google.com</v>
      </c>
    </row>
    <row r="756" hidden="1">
      <c r="A756" s="160" t="s">
        <v>353</v>
      </c>
      <c r="B756" s="17">
        <v>45711.0</v>
      </c>
      <c r="C756" s="16" t="s">
        <v>640</v>
      </c>
      <c r="E756" s="17"/>
      <c r="F756" s="107">
        <v>45715.0</v>
      </c>
      <c r="G756" s="122">
        <v>45736.0</v>
      </c>
      <c r="H756" s="10" t="s">
        <v>31</v>
      </c>
      <c r="J756" s="16" t="s">
        <v>641</v>
      </c>
      <c r="K756" s="16" t="s">
        <v>33</v>
      </c>
      <c r="L756" s="31" t="s">
        <v>56</v>
      </c>
      <c r="N756" s="65" t="s">
        <v>815</v>
      </c>
      <c r="O756" s="16"/>
      <c r="P756" s="16"/>
      <c r="Q756" s="17">
        <f t="shared" si="107"/>
        <v>45711</v>
      </c>
      <c r="S756" s="20"/>
      <c r="T756" s="68" t="str">
        <f>VLOOKUP(A756,'Calendar ID'!$A:$C,3,false)</f>
        <v>hidaya.7bl@gmail.com </v>
      </c>
      <c r="U756" s="71" t="b">
        <v>0</v>
      </c>
      <c r="V756" s="68" t="str">
        <f>VLOOKUP($A756,'Calendar ID'!$A:$C,2,false)</f>
        <v>c_056be6e79a6fa62e8f2a68280313995615b47a17f2b3679481d262413ec95701@group.calendar.google.com</v>
      </c>
      <c r="W756" s="69" t="b">
        <v>1</v>
      </c>
      <c r="X756" s="70" t="s">
        <v>82</v>
      </c>
    </row>
    <row r="757" hidden="1">
      <c r="A757" s="23" t="s">
        <v>280</v>
      </c>
      <c r="B757" s="17">
        <v>45497.0</v>
      </c>
      <c r="C757" s="10" t="s">
        <v>816</v>
      </c>
      <c r="E757" s="17"/>
      <c r="G757" s="73">
        <v>45515.0</v>
      </c>
      <c r="H757" s="10" t="s">
        <v>31</v>
      </c>
      <c r="J757" s="16" t="s">
        <v>97</v>
      </c>
      <c r="K757" s="23" t="s">
        <v>33</v>
      </c>
      <c r="L757" s="31" t="s">
        <v>56</v>
      </c>
      <c r="N757" s="55" t="s">
        <v>817</v>
      </c>
      <c r="O757" s="16"/>
      <c r="P757" s="16"/>
      <c r="Q757" s="17">
        <f t="shared" si="107"/>
        <v>45497</v>
      </c>
      <c r="S757" s="20"/>
      <c r="T757" s="68" t="str">
        <f>VLOOKUP(A757,'Calendar ID'!$A:$C,3,false)</f>
        <v>ciman530@gmail.com</v>
      </c>
      <c r="U757" s="71" t="b">
        <v>0</v>
      </c>
      <c r="V757" s="68" t="str">
        <f>VLOOKUP($A757,'Calendar ID'!$A:$C,2,false)</f>
        <v>c_0d9eaa4cfb55a8e552117f53a91a7c3c2f5164632253d0e265f7de4e3a4737c4@group.calendar.google.com</v>
      </c>
      <c r="W757" s="69" t="b">
        <v>1</v>
      </c>
      <c r="X757" s="70" t="s">
        <v>82</v>
      </c>
      <c r="Y757" s="20"/>
      <c r="Z757" s="20"/>
      <c r="AA757" s="20"/>
      <c r="AB757" s="20"/>
      <c r="AC757" s="20"/>
    </row>
    <row r="758" hidden="1">
      <c r="A758" s="16" t="s">
        <v>280</v>
      </c>
      <c r="B758" s="17">
        <v>45503.0</v>
      </c>
      <c r="C758" s="16" t="s">
        <v>690</v>
      </c>
      <c r="E758" s="17"/>
      <c r="G758" s="17">
        <v>45522.0</v>
      </c>
      <c r="H758" s="10" t="s">
        <v>31</v>
      </c>
      <c r="I758" s="16" t="s">
        <v>158</v>
      </c>
      <c r="J758" s="16" t="s">
        <v>97</v>
      </c>
      <c r="K758" s="23" t="s">
        <v>33</v>
      </c>
      <c r="L758" s="31" t="s">
        <v>56</v>
      </c>
      <c r="N758" s="65" t="s">
        <v>818</v>
      </c>
      <c r="O758" s="16"/>
      <c r="P758" s="16"/>
      <c r="Q758" s="17">
        <f t="shared" si="107"/>
        <v>45503</v>
      </c>
      <c r="S758" s="20"/>
      <c r="T758" s="68" t="str">
        <f>VLOOKUP(A758,'Calendar ID'!$A:$C,3,false)</f>
        <v>ciman530@gmail.com</v>
      </c>
      <c r="U758" s="71" t="b">
        <v>0</v>
      </c>
      <c r="V758" s="68" t="str">
        <f>VLOOKUP($A758,'Calendar ID'!$A:$C,2,false)</f>
        <v>c_0d9eaa4cfb55a8e552117f53a91a7c3c2f5164632253d0e265f7de4e3a4737c4@group.calendar.google.com</v>
      </c>
      <c r="W758" s="69" t="b">
        <v>0</v>
      </c>
      <c r="X758" s="68" t="str">
        <f>VLOOKUP($A758,'Calendar ID'!$A:$C,2,false)</f>
        <v>c_0d9eaa4cfb55a8e552117f53a91a7c3c2f5164632253d0e265f7de4e3a4737c4@group.calendar.google.com</v>
      </c>
      <c r="Y758" s="20"/>
      <c r="Z758" s="20"/>
      <c r="AA758" s="19" t="s">
        <v>158</v>
      </c>
      <c r="AB758" s="20"/>
      <c r="AC758" s="20"/>
    </row>
    <row r="759" hidden="1">
      <c r="A759" s="16" t="s">
        <v>280</v>
      </c>
      <c r="B759" s="17">
        <v>45530.0</v>
      </c>
      <c r="C759" s="16" t="s">
        <v>819</v>
      </c>
      <c r="D759" s="16" t="s">
        <v>641</v>
      </c>
      <c r="E759" s="17"/>
      <c r="F759" s="17">
        <v>45533.0</v>
      </c>
      <c r="G759" s="17">
        <v>45554.0</v>
      </c>
      <c r="H759" s="10" t="s">
        <v>31</v>
      </c>
      <c r="J759" s="16" t="s">
        <v>43</v>
      </c>
      <c r="K759" s="23" t="s">
        <v>33</v>
      </c>
      <c r="L759" s="31" t="s">
        <v>56</v>
      </c>
      <c r="N759" s="65" t="s">
        <v>820</v>
      </c>
      <c r="O759" s="16"/>
      <c r="P759" s="16"/>
      <c r="Q759" s="17">
        <f t="shared" si="107"/>
        <v>45530</v>
      </c>
      <c r="S759" s="20"/>
      <c r="T759" s="68" t="str">
        <f>VLOOKUP(A759,'Calendar ID'!$A:$C,3,false)</f>
        <v>ciman530@gmail.com</v>
      </c>
      <c r="U759" s="78" t="b">
        <v>0</v>
      </c>
      <c r="V759" s="68" t="str">
        <f>VLOOKUP($A759,'Calendar ID'!$A:$C,2,false)</f>
        <v>c_0d9eaa4cfb55a8e552117f53a91a7c3c2f5164632253d0e265f7de4e3a4737c4@group.calendar.google.com</v>
      </c>
      <c r="W759" s="69" t="b">
        <v>1</v>
      </c>
      <c r="X759" s="70" t="s">
        <v>82</v>
      </c>
    </row>
    <row r="760" hidden="1">
      <c r="A760" s="16" t="s">
        <v>157</v>
      </c>
      <c r="B760" s="17">
        <v>45561.0</v>
      </c>
      <c r="C760" s="16" t="s">
        <v>245</v>
      </c>
      <c r="E760" s="26"/>
      <c r="F760" s="17"/>
      <c r="G760" s="17"/>
      <c r="H760" s="10" t="s">
        <v>31</v>
      </c>
      <c r="J760" s="16" t="s">
        <v>43</v>
      </c>
      <c r="K760" s="23" t="s">
        <v>33</v>
      </c>
      <c r="L760" s="51">
        <v>500.0</v>
      </c>
      <c r="N760" s="16"/>
      <c r="O760" s="16"/>
      <c r="P760" s="16" t="s">
        <v>34</v>
      </c>
      <c r="Q760" s="17">
        <f t="shared" si="107"/>
        <v>45561</v>
      </c>
      <c r="R760" s="81">
        <f>L760*0.3</f>
        <v>150</v>
      </c>
      <c r="S760" s="20"/>
      <c r="T760" s="68" t="str">
        <f>VLOOKUP(A760,'Calendar ID'!$A:$C,3,false)</f>
        <v>jeannebayart@gmail.com</v>
      </c>
      <c r="U760" s="78" t="b">
        <v>0</v>
      </c>
      <c r="V760" s="68" t="str">
        <f>VLOOKUP($A760,'Calendar ID'!$A:$C,2,false)</f>
        <v>c_d2ee2c2110f1f2bc5b089d0edb8b480581f78d93077274c225fcfc530518b2ca@group.calendar.google.com</v>
      </c>
      <c r="W760" s="71" t="b">
        <v>0</v>
      </c>
      <c r="X760" s="68" t="str">
        <f>VLOOKUP($A760,'Calendar ID'!$A:$C,2,false)</f>
        <v>c_d2ee2c2110f1f2bc5b089d0edb8b480581f78d93077274c225fcfc530518b2ca@group.calendar.google.com</v>
      </c>
    </row>
    <row r="761" hidden="1">
      <c r="A761" s="16" t="s">
        <v>280</v>
      </c>
      <c r="B761" s="17">
        <v>45555.0</v>
      </c>
      <c r="C761" s="16" t="s">
        <v>821</v>
      </c>
      <c r="E761" s="17"/>
      <c r="G761" s="17">
        <v>45570.0</v>
      </c>
      <c r="H761" s="10" t="s">
        <v>31</v>
      </c>
      <c r="J761" s="16" t="s">
        <v>822</v>
      </c>
      <c r="K761" s="16" t="s">
        <v>822</v>
      </c>
      <c r="L761" s="16" t="s">
        <v>822</v>
      </c>
      <c r="N761" s="16"/>
      <c r="O761" s="16"/>
      <c r="P761" s="16"/>
      <c r="Q761" s="17">
        <f t="shared" si="107"/>
        <v>45555</v>
      </c>
      <c r="S761" s="20"/>
      <c r="T761" s="68" t="str">
        <f>VLOOKUP(A761,'Calendar ID'!$A:$C,3,false)</f>
        <v>ciman530@gmail.com</v>
      </c>
      <c r="U761" s="78" t="b">
        <v>0</v>
      </c>
      <c r="V761" s="68" t="str">
        <f>VLOOKUP($A761,'Calendar ID'!$A:$C,2,false)</f>
        <v>c_0d9eaa4cfb55a8e552117f53a91a7c3c2f5164632253d0e265f7de4e3a4737c4@group.calendar.google.com</v>
      </c>
      <c r="W761" s="69" t="b">
        <v>1</v>
      </c>
      <c r="X761" s="70" t="s">
        <v>82</v>
      </c>
    </row>
    <row r="762" hidden="1">
      <c r="A762" s="16" t="s">
        <v>280</v>
      </c>
      <c r="B762" s="82">
        <v>45579.0</v>
      </c>
      <c r="C762" s="16" t="s">
        <v>630</v>
      </c>
      <c r="D762" s="16" t="s">
        <v>631</v>
      </c>
      <c r="E762" s="17"/>
      <c r="F762" s="82">
        <v>45581.0</v>
      </c>
      <c r="G762" s="82">
        <v>45595.0</v>
      </c>
      <c r="H762" s="10" t="s">
        <v>31</v>
      </c>
      <c r="J762" s="16" t="s">
        <v>43</v>
      </c>
      <c r="K762" s="23" t="s">
        <v>33</v>
      </c>
      <c r="L762" s="31" t="s">
        <v>56</v>
      </c>
      <c r="N762" s="65" t="s">
        <v>823</v>
      </c>
      <c r="O762" s="16"/>
      <c r="P762" s="16"/>
      <c r="Q762" s="17">
        <f t="shared" si="107"/>
        <v>45579</v>
      </c>
      <c r="S762" s="20"/>
      <c r="T762" s="68" t="str">
        <f>VLOOKUP(A762,'Calendar ID'!$A:$C,3,false)</f>
        <v>ciman530@gmail.com</v>
      </c>
      <c r="U762" s="78" t="b">
        <v>0</v>
      </c>
      <c r="V762" s="68" t="str">
        <f>VLOOKUP($A762,'Calendar ID'!$A:$C,2,false)</f>
        <v>c_0d9eaa4cfb55a8e552117f53a91a7c3c2f5164632253d0e265f7de4e3a4737c4@group.calendar.google.com</v>
      </c>
      <c r="W762" s="69" t="b">
        <v>1</v>
      </c>
      <c r="X762" s="70" t="s">
        <v>82</v>
      </c>
    </row>
    <row r="763" hidden="1">
      <c r="A763" s="16" t="s">
        <v>280</v>
      </c>
      <c r="B763" s="17">
        <v>45600.0</v>
      </c>
      <c r="C763" s="16" t="s">
        <v>824</v>
      </c>
      <c r="E763" s="17"/>
      <c r="F763" s="17">
        <v>45611.0</v>
      </c>
      <c r="G763" s="17">
        <v>45618.0</v>
      </c>
      <c r="H763" s="10" t="s">
        <v>31</v>
      </c>
      <c r="J763" s="16" t="s">
        <v>43</v>
      </c>
      <c r="K763" s="23" t="s">
        <v>33</v>
      </c>
      <c r="L763" s="31" t="s">
        <v>56</v>
      </c>
      <c r="N763" s="16"/>
      <c r="O763" s="16"/>
      <c r="P763" s="16"/>
      <c r="Q763" s="17">
        <f t="shared" si="107"/>
        <v>45600</v>
      </c>
      <c r="S763" s="20"/>
      <c r="T763" s="68" t="str">
        <f>VLOOKUP(A763,'Calendar ID'!$A:$C,3,false)</f>
        <v>ciman530@gmail.com</v>
      </c>
      <c r="U763" s="77" t="b">
        <v>0</v>
      </c>
      <c r="V763" s="68" t="str">
        <f>VLOOKUP($A763,'Calendar ID'!$A:$C,2,false)</f>
        <v>c_0d9eaa4cfb55a8e552117f53a91a7c3c2f5164632253d0e265f7de4e3a4737c4@group.calendar.google.com</v>
      </c>
      <c r="W763" s="77" t="b">
        <v>1</v>
      </c>
      <c r="X763" s="70" t="s">
        <v>82</v>
      </c>
    </row>
    <row r="764" hidden="1">
      <c r="A764" s="16" t="s">
        <v>280</v>
      </c>
      <c r="B764" s="17">
        <v>45601.0</v>
      </c>
      <c r="C764" s="16" t="s">
        <v>825</v>
      </c>
      <c r="E764" s="17"/>
      <c r="F764" s="17">
        <v>45602.0</v>
      </c>
      <c r="G764" s="17">
        <v>45623.0</v>
      </c>
      <c r="H764" s="10" t="s">
        <v>31</v>
      </c>
      <c r="J764" s="16" t="s">
        <v>593</v>
      </c>
      <c r="K764" s="23" t="s">
        <v>33</v>
      </c>
      <c r="L764" s="31" t="s">
        <v>56</v>
      </c>
      <c r="N764" s="55" t="s">
        <v>826</v>
      </c>
      <c r="O764" s="16"/>
      <c r="P764" s="16"/>
      <c r="Q764" s="17">
        <f t="shared" si="107"/>
        <v>45601</v>
      </c>
      <c r="S764" s="20"/>
      <c r="T764" s="68" t="str">
        <f>VLOOKUP(A764,'Calendar ID'!$A:$C,3,false)</f>
        <v>ciman530@gmail.com</v>
      </c>
      <c r="U764" s="77" t="b">
        <v>0</v>
      </c>
      <c r="V764" s="68" t="str">
        <f>VLOOKUP($A764,'Calendar ID'!$A:$C,2,false)</f>
        <v>c_0d9eaa4cfb55a8e552117f53a91a7c3c2f5164632253d0e265f7de4e3a4737c4@group.calendar.google.com</v>
      </c>
      <c r="W764" s="77" t="b">
        <v>1</v>
      </c>
      <c r="X764" s="70" t="s">
        <v>82</v>
      </c>
    </row>
    <row r="765" hidden="1">
      <c r="A765" s="16" t="s">
        <v>280</v>
      </c>
      <c r="B765" s="17">
        <v>45636.0</v>
      </c>
      <c r="C765" s="16" t="s">
        <v>634</v>
      </c>
      <c r="E765" s="17"/>
      <c r="F765" s="96">
        <v>45302.0</v>
      </c>
      <c r="G765" s="17">
        <v>45650.0</v>
      </c>
      <c r="H765" s="10" t="s">
        <v>31</v>
      </c>
      <c r="J765" s="16" t="s">
        <v>43</v>
      </c>
      <c r="K765" s="23" t="s">
        <v>33</v>
      </c>
      <c r="L765" s="31" t="s">
        <v>56</v>
      </c>
      <c r="N765" s="55" t="s">
        <v>827</v>
      </c>
      <c r="O765" s="16"/>
      <c r="P765" s="16"/>
      <c r="Q765" s="17">
        <f t="shared" si="107"/>
        <v>45636</v>
      </c>
      <c r="S765" s="20"/>
      <c r="T765" s="68" t="str">
        <f>VLOOKUP(A765,'Calendar ID'!$A:$C,3,false)</f>
        <v>ciman530@gmail.com</v>
      </c>
      <c r="U765" s="69" t="b">
        <v>0</v>
      </c>
      <c r="V765" s="68" t="str">
        <f>VLOOKUP($A765,'Calendar ID'!$A:$C,2,false)</f>
        <v>c_0d9eaa4cfb55a8e552117f53a91a7c3c2f5164632253d0e265f7de4e3a4737c4@group.calendar.google.com</v>
      </c>
      <c r="W765" s="69" t="b">
        <v>1</v>
      </c>
      <c r="X765" s="70" t="s">
        <v>82</v>
      </c>
    </row>
    <row r="766" hidden="1">
      <c r="A766" s="16" t="s">
        <v>280</v>
      </c>
      <c r="B766" s="17">
        <v>45630.0</v>
      </c>
      <c r="C766" s="16" t="s">
        <v>636</v>
      </c>
      <c r="E766" s="17"/>
      <c r="F766" s="17">
        <v>45632.0</v>
      </c>
      <c r="G766" s="17">
        <v>45651.0</v>
      </c>
      <c r="H766" s="10" t="s">
        <v>31</v>
      </c>
      <c r="J766" s="16" t="s">
        <v>593</v>
      </c>
      <c r="K766" s="23" t="s">
        <v>33</v>
      </c>
      <c r="L766" s="31" t="s">
        <v>56</v>
      </c>
      <c r="N766" s="16"/>
      <c r="O766" s="16"/>
      <c r="P766" s="16"/>
      <c r="Q766" s="17">
        <f t="shared" si="107"/>
        <v>45630</v>
      </c>
      <c r="S766" s="20"/>
      <c r="T766" s="68" t="str">
        <f>VLOOKUP(A766,'Calendar ID'!$A:$C,3,false)</f>
        <v>ciman530@gmail.com</v>
      </c>
      <c r="U766" s="77" t="b">
        <v>0</v>
      </c>
      <c r="V766" s="68" t="str">
        <f>VLOOKUP($A766,'Calendar ID'!$A:$C,2,false)</f>
        <v>c_0d9eaa4cfb55a8e552117f53a91a7c3c2f5164632253d0e265f7de4e3a4737c4@group.calendar.google.com</v>
      </c>
      <c r="W766" s="77" t="b">
        <v>1</v>
      </c>
      <c r="X766" s="70" t="s">
        <v>82</v>
      </c>
    </row>
    <row r="767" hidden="1">
      <c r="A767" s="16" t="s">
        <v>280</v>
      </c>
      <c r="B767" s="17">
        <v>45707.0</v>
      </c>
      <c r="C767" s="16" t="s">
        <v>634</v>
      </c>
      <c r="E767" s="17"/>
      <c r="F767" s="107">
        <v>45713.0</v>
      </c>
      <c r="G767" s="102">
        <v>45727.0</v>
      </c>
      <c r="H767" s="10" t="s">
        <v>31</v>
      </c>
      <c r="I767" s="16" t="s">
        <v>828</v>
      </c>
      <c r="J767" s="16" t="s">
        <v>43</v>
      </c>
      <c r="K767" s="16" t="s">
        <v>33</v>
      </c>
      <c r="L767" s="31" t="s">
        <v>56</v>
      </c>
      <c r="N767" s="16"/>
      <c r="O767" s="16"/>
      <c r="P767" s="16"/>
      <c r="Q767" s="17">
        <f t="shared" si="107"/>
        <v>45707</v>
      </c>
      <c r="S767" s="20"/>
      <c r="T767" s="68" t="str">
        <f>VLOOKUP(A767,'Calendar ID'!$A:$C,3,false)</f>
        <v>ciman530@gmail.com</v>
      </c>
      <c r="U767" s="71" t="b">
        <v>0</v>
      </c>
      <c r="V767" s="68" t="str">
        <f>VLOOKUP($A767,'Calendar ID'!$A:$C,2,false)</f>
        <v>c_0d9eaa4cfb55a8e552117f53a91a7c3c2f5164632253d0e265f7de4e3a4737c4@group.calendar.google.com</v>
      </c>
      <c r="W767" s="71" t="b">
        <v>0</v>
      </c>
      <c r="X767" s="68" t="str">
        <f>VLOOKUP($A767,'Calendar ID'!$A:$C,2,false)</f>
        <v>c_0d9eaa4cfb55a8e552117f53a91a7c3c2f5164632253d0e265f7de4e3a4737c4@group.calendar.google.com</v>
      </c>
    </row>
    <row r="768" hidden="1">
      <c r="A768" s="7" t="s">
        <v>280</v>
      </c>
      <c r="B768" s="17">
        <v>45762.0</v>
      </c>
      <c r="C768" s="10" t="s">
        <v>624</v>
      </c>
      <c r="E768" s="17"/>
      <c r="F768" s="17"/>
      <c r="G768" s="38">
        <v>45782.0</v>
      </c>
      <c r="H768" s="10" t="s">
        <v>31</v>
      </c>
      <c r="J768" s="16" t="s">
        <v>593</v>
      </c>
      <c r="K768" s="16" t="s">
        <v>33</v>
      </c>
      <c r="L768" s="31"/>
      <c r="N768" s="172" t="s">
        <v>829</v>
      </c>
      <c r="O768" s="16"/>
      <c r="P768" s="23"/>
      <c r="Q768" s="17">
        <f t="shared" si="107"/>
        <v>45762</v>
      </c>
      <c r="R768" s="15"/>
      <c r="S768" s="20"/>
      <c r="T768" s="68"/>
      <c r="U768" s="77"/>
      <c r="V768" s="68"/>
      <c r="W768" s="71"/>
      <c r="X768" s="20"/>
    </row>
    <row r="769" hidden="1">
      <c r="A769" s="16" t="s">
        <v>280</v>
      </c>
      <c r="B769" s="17">
        <v>45490.0</v>
      </c>
      <c r="C769" s="29" t="s">
        <v>626</v>
      </c>
      <c r="E769" s="17"/>
      <c r="G769" s="17"/>
      <c r="H769" s="10" t="s">
        <v>31</v>
      </c>
      <c r="J769" s="16" t="s">
        <v>97</v>
      </c>
      <c r="K769" s="23" t="s">
        <v>33</v>
      </c>
      <c r="L769" s="31" t="s">
        <v>56</v>
      </c>
      <c r="N769" s="16"/>
      <c r="O769" s="16"/>
      <c r="P769" s="16"/>
      <c r="Q769" s="17">
        <f t="shared" si="107"/>
        <v>45490</v>
      </c>
      <c r="S769" s="20"/>
      <c r="T769" s="68" t="str">
        <f>VLOOKUP(A769,'Calendar ID'!$A:$C,3,false)</f>
        <v>ciman530@gmail.com</v>
      </c>
      <c r="U769" s="71" t="b">
        <v>0</v>
      </c>
      <c r="V769" s="68" t="str">
        <f>VLOOKUP($A769,'Calendar ID'!$A:$C,2,false)</f>
        <v>c_0d9eaa4cfb55a8e552117f53a91a7c3c2f5164632253d0e265f7de4e3a4737c4@group.calendar.google.com</v>
      </c>
      <c r="W769" s="71" t="b">
        <v>0</v>
      </c>
      <c r="X769" s="68" t="str">
        <f>VLOOKUP($A769,'Calendar ID'!$A:$C,2,false)</f>
        <v>c_0d9eaa4cfb55a8e552117f53a91a7c3c2f5164632253d0e265f7de4e3a4737c4@group.calendar.google.com</v>
      </c>
      <c r="Y769" s="20"/>
      <c r="Z769" s="20"/>
      <c r="AA769" s="20"/>
      <c r="AB769" s="20"/>
      <c r="AC769" s="20"/>
    </row>
    <row r="770" hidden="1">
      <c r="A770" s="16" t="s">
        <v>280</v>
      </c>
      <c r="B770" s="11">
        <v>45511.0</v>
      </c>
      <c r="C770" s="16" t="s">
        <v>724</v>
      </c>
      <c r="E770" s="17"/>
      <c r="G770" s="17"/>
      <c r="H770" s="10" t="s">
        <v>31</v>
      </c>
      <c r="J770" s="16" t="s">
        <v>97</v>
      </c>
      <c r="K770" s="23" t="s">
        <v>33</v>
      </c>
      <c r="L770" s="31" t="s">
        <v>56</v>
      </c>
      <c r="N770" s="55" t="s">
        <v>830</v>
      </c>
      <c r="O770" s="16"/>
      <c r="P770" s="16"/>
      <c r="Q770" s="17">
        <f t="shared" si="107"/>
        <v>45511</v>
      </c>
      <c r="S770" s="20"/>
      <c r="T770" s="68" t="str">
        <f>VLOOKUP(A770,'Calendar ID'!$A:$C,3,false)</f>
        <v>ciman530@gmail.com</v>
      </c>
      <c r="U770" s="78" t="b">
        <v>0</v>
      </c>
      <c r="V770" s="68" t="str">
        <f>VLOOKUP($A770,'Calendar ID'!$A:$C,2,false)</f>
        <v>c_0d9eaa4cfb55a8e552117f53a91a7c3c2f5164632253d0e265f7de4e3a4737c4@group.calendar.google.com</v>
      </c>
      <c r="W770" s="71" t="b">
        <v>0</v>
      </c>
      <c r="X770" s="68" t="str">
        <f>VLOOKUP($A770,'Calendar ID'!$A:$C,2,false)</f>
        <v>c_0d9eaa4cfb55a8e552117f53a91a7c3c2f5164632253d0e265f7de4e3a4737c4@group.calendar.google.com</v>
      </c>
      <c r="AA770" s="16" t="s">
        <v>807</v>
      </c>
    </row>
    <row r="771" hidden="1">
      <c r="A771" s="23" t="s">
        <v>280</v>
      </c>
      <c r="B771" s="11">
        <v>45511.0</v>
      </c>
      <c r="C771" s="16" t="s">
        <v>140</v>
      </c>
      <c r="E771" s="17"/>
      <c r="G771" s="17"/>
      <c r="H771" s="10" t="s">
        <v>31</v>
      </c>
      <c r="I771" s="16" t="s">
        <v>775</v>
      </c>
      <c r="J771" s="16" t="s">
        <v>97</v>
      </c>
      <c r="K771" s="23" t="s">
        <v>33</v>
      </c>
      <c r="L771" s="31" t="s">
        <v>56</v>
      </c>
      <c r="N771" s="16"/>
      <c r="O771" s="16"/>
      <c r="P771" s="16"/>
      <c r="Q771" s="17">
        <f t="shared" si="107"/>
        <v>45511</v>
      </c>
      <c r="S771" s="20"/>
      <c r="T771" s="68" t="str">
        <f>VLOOKUP(A771,'Calendar ID'!$A:$C,3,false)</f>
        <v>ciman530@gmail.com</v>
      </c>
      <c r="U771" s="78" t="b">
        <v>0</v>
      </c>
      <c r="V771" s="68" t="str">
        <f>VLOOKUP($A771,'Calendar ID'!$A:$C,2,false)</f>
        <v>c_0d9eaa4cfb55a8e552117f53a91a7c3c2f5164632253d0e265f7de4e3a4737c4@group.calendar.google.com</v>
      </c>
      <c r="W771" s="71" t="b">
        <v>0</v>
      </c>
      <c r="X771" s="68" t="str">
        <f>VLOOKUP($A771,'Calendar ID'!$A:$C,2,false)</f>
        <v>c_0d9eaa4cfb55a8e552117f53a91a7c3c2f5164632253d0e265f7de4e3a4737c4@group.calendar.google.com</v>
      </c>
      <c r="AA771" s="16"/>
    </row>
    <row r="772" hidden="1">
      <c r="A772" s="23" t="s">
        <v>244</v>
      </c>
      <c r="B772" s="17">
        <v>45497.0</v>
      </c>
      <c r="C772" s="10" t="s">
        <v>816</v>
      </c>
      <c r="E772" s="17"/>
      <c r="G772" s="17">
        <v>45520.0</v>
      </c>
      <c r="H772" s="10" t="s">
        <v>31</v>
      </c>
      <c r="J772" s="16" t="s">
        <v>97</v>
      </c>
      <c r="K772" s="23" t="s">
        <v>33</v>
      </c>
      <c r="L772" s="31" t="s">
        <v>56</v>
      </c>
      <c r="N772" s="55" t="s">
        <v>831</v>
      </c>
      <c r="O772" s="16"/>
      <c r="P772" s="16"/>
      <c r="Q772" s="17">
        <f t="shared" si="107"/>
        <v>45497</v>
      </c>
      <c r="S772" s="20"/>
      <c r="T772" s="68" t="str">
        <f>VLOOKUP(A772,'Calendar ID'!$A:$C,3,false)</f>
        <v>jasminepro26@icloud.com </v>
      </c>
      <c r="U772" s="71" t="b">
        <v>0</v>
      </c>
      <c r="V772" s="68" t="str">
        <f>VLOOKUP($A772,'Calendar ID'!$A:$C,2,false)</f>
        <v>c_b534e1be73647e660d74cbb308a8c39b0102a8b56261b3886e0967d9ee34f368@group.calendar.google.com</v>
      </c>
      <c r="W772" s="69" t="b">
        <v>1</v>
      </c>
      <c r="X772" s="70" t="s">
        <v>82</v>
      </c>
      <c r="Y772" s="20"/>
      <c r="Z772" s="20"/>
      <c r="AA772" s="20"/>
      <c r="AB772" s="20"/>
      <c r="AC772" s="20"/>
    </row>
    <row r="773" hidden="1">
      <c r="A773" s="16" t="s">
        <v>244</v>
      </c>
      <c r="B773" s="17">
        <v>45503.0</v>
      </c>
      <c r="C773" s="16" t="s">
        <v>690</v>
      </c>
      <c r="E773" s="178"/>
      <c r="G773" s="17">
        <v>45522.0</v>
      </c>
      <c r="H773" s="10" t="s">
        <v>31</v>
      </c>
      <c r="I773" s="16" t="s">
        <v>158</v>
      </c>
      <c r="J773" s="16" t="s">
        <v>97</v>
      </c>
      <c r="K773" s="23" t="s">
        <v>33</v>
      </c>
      <c r="L773" s="31" t="s">
        <v>56</v>
      </c>
      <c r="N773" s="55" t="s">
        <v>832</v>
      </c>
      <c r="O773" s="16"/>
      <c r="P773" s="16"/>
      <c r="Q773" s="17">
        <f t="shared" si="107"/>
        <v>45503</v>
      </c>
      <c r="S773" s="20"/>
      <c r="T773" s="68" t="str">
        <f>VLOOKUP(A773,'Calendar ID'!$A:$C,3,false)</f>
        <v>jasminepro26@icloud.com </v>
      </c>
      <c r="U773" s="71" t="b">
        <v>0</v>
      </c>
      <c r="V773" s="68" t="str">
        <f>VLOOKUP($A773,'Calendar ID'!$A:$C,2,false)</f>
        <v>c_b534e1be73647e660d74cbb308a8c39b0102a8b56261b3886e0967d9ee34f368@group.calendar.google.com</v>
      </c>
      <c r="W773" s="69" t="b">
        <v>0</v>
      </c>
      <c r="X773" s="68" t="str">
        <f>VLOOKUP($A773,'Calendar ID'!$A:$C,2,false)</f>
        <v>c_b534e1be73647e660d74cbb308a8c39b0102a8b56261b3886e0967d9ee34f368@group.calendar.google.com</v>
      </c>
      <c r="Y773" s="20"/>
      <c r="Z773" s="20"/>
      <c r="AA773" s="20"/>
      <c r="AB773" s="20"/>
      <c r="AC773" s="20"/>
    </row>
    <row r="774" hidden="1">
      <c r="A774" s="16" t="s">
        <v>244</v>
      </c>
      <c r="B774" s="17">
        <v>45530.0</v>
      </c>
      <c r="C774" s="16" t="s">
        <v>819</v>
      </c>
      <c r="D774" s="16" t="s">
        <v>641</v>
      </c>
      <c r="E774" s="179"/>
      <c r="F774" s="17">
        <v>45533.0</v>
      </c>
      <c r="G774" s="17">
        <v>45554.0</v>
      </c>
      <c r="H774" s="10" t="s">
        <v>31</v>
      </c>
      <c r="J774" s="16" t="s">
        <v>43</v>
      </c>
      <c r="K774" s="23" t="s">
        <v>33</v>
      </c>
      <c r="L774" s="31" t="s">
        <v>56</v>
      </c>
      <c r="N774" s="55" t="s">
        <v>833</v>
      </c>
      <c r="O774" s="16"/>
      <c r="P774" s="16"/>
      <c r="Q774" s="17">
        <f t="shared" si="107"/>
        <v>45530</v>
      </c>
      <c r="S774" s="20"/>
      <c r="T774" s="68" t="str">
        <f>VLOOKUP(A774,'Calendar ID'!$A:$C,3,false)</f>
        <v>jasminepro26@icloud.com </v>
      </c>
      <c r="U774" s="78" t="b">
        <v>0</v>
      </c>
      <c r="V774" s="68" t="str">
        <f>VLOOKUP($A774,'Calendar ID'!$A:$C,2,false)</f>
        <v>c_b534e1be73647e660d74cbb308a8c39b0102a8b56261b3886e0967d9ee34f368@group.calendar.google.com</v>
      </c>
      <c r="W774" s="69" t="b">
        <v>1</v>
      </c>
      <c r="X774" s="70" t="s">
        <v>82</v>
      </c>
    </row>
    <row r="775" hidden="1">
      <c r="A775" s="16" t="s">
        <v>244</v>
      </c>
      <c r="B775" s="17">
        <v>45583.0</v>
      </c>
      <c r="C775" s="16" t="s">
        <v>634</v>
      </c>
      <c r="E775" s="178"/>
      <c r="F775" s="82">
        <v>45585.0</v>
      </c>
      <c r="G775" s="17">
        <v>45616.0</v>
      </c>
      <c r="H775" s="10" t="s">
        <v>31</v>
      </c>
      <c r="J775" s="16" t="s">
        <v>97</v>
      </c>
      <c r="K775" s="23" t="s">
        <v>33</v>
      </c>
      <c r="L775" s="31" t="s">
        <v>56</v>
      </c>
      <c r="N775" s="65" t="s">
        <v>834</v>
      </c>
      <c r="O775" s="16"/>
      <c r="P775" s="16"/>
      <c r="Q775" s="17">
        <f t="shared" si="107"/>
        <v>45583</v>
      </c>
      <c r="S775" s="20"/>
      <c r="T775" s="68" t="str">
        <f>VLOOKUP(A775,'Calendar ID'!$A:$C,3,false)</f>
        <v>jasminepro26@icloud.com </v>
      </c>
      <c r="U775" s="78" t="b">
        <v>0</v>
      </c>
      <c r="V775" s="68" t="str">
        <f>VLOOKUP($A775,'Calendar ID'!$A:$C,2,false)</f>
        <v>c_b534e1be73647e660d74cbb308a8c39b0102a8b56261b3886e0967d9ee34f368@group.calendar.google.com</v>
      </c>
      <c r="W775" s="69" t="b">
        <v>1</v>
      </c>
      <c r="X775" s="70" t="s">
        <v>82</v>
      </c>
      <c r="AA775" s="16"/>
    </row>
    <row r="776" hidden="1">
      <c r="A776" s="16" t="s">
        <v>244</v>
      </c>
      <c r="B776" s="17">
        <v>45674.0</v>
      </c>
      <c r="C776" s="16" t="s">
        <v>630</v>
      </c>
      <c r="E776" s="179"/>
      <c r="F776" s="97">
        <v>45677.0</v>
      </c>
      <c r="G776" s="107">
        <v>45711.0</v>
      </c>
      <c r="H776" s="10" t="s">
        <v>31</v>
      </c>
      <c r="J776" s="16" t="s">
        <v>43</v>
      </c>
      <c r="K776" s="23" t="s">
        <v>33</v>
      </c>
      <c r="L776" s="31" t="s">
        <v>56</v>
      </c>
      <c r="N776" s="65" t="s">
        <v>835</v>
      </c>
      <c r="Q776" s="17">
        <f t="shared" si="107"/>
        <v>45674</v>
      </c>
      <c r="S776" s="20"/>
      <c r="T776" s="68" t="str">
        <f>VLOOKUP(A776,'Calendar ID'!$A:$C,3,false)</f>
        <v>jasminepro26@icloud.com </v>
      </c>
      <c r="U776" s="77" t="b">
        <v>0</v>
      </c>
      <c r="V776" s="68" t="str">
        <f>VLOOKUP($A776,'Calendar ID'!$A:$C,2,false)</f>
        <v>c_b534e1be73647e660d74cbb308a8c39b0102a8b56261b3886e0967d9ee34f368@group.calendar.google.com</v>
      </c>
      <c r="W776" s="77" t="b">
        <v>1</v>
      </c>
      <c r="X776" s="70" t="s">
        <v>82</v>
      </c>
    </row>
    <row r="777" hidden="1">
      <c r="A777" s="160" t="s">
        <v>244</v>
      </c>
      <c r="B777" s="17">
        <v>45711.0</v>
      </c>
      <c r="C777" s="16" t="s">
        <v>640</v>
      </c>
      <c r="E777" s="178"/>
      <c r="F777" s="107">
        <v>45715.0</v>
      </c>
      <c r="G777" s="122">
        <v>45736.0</v>
      </c>
      <c r="H777" s="10" t="s">
        <v>31</v>
      </c>
      <c r="J777" s="16" t="s">
        <v>641</v>
      </c>
      <c r="K777" s="16" t="s">
        <v>33</v>
      </c>
      <c r="L777" s="31" t="s">
        <v>56</v>
      </c>
      <c r="N777" s="65" t="s">
        <v>836</v>
      </c>
      <c r="O777" s="16"/>
      <c r="P777" s="16"/>
      <c r="Q777" s="17">
        <f t="shared" si="107"/>
        <v>45711</v>
      </c>
      <c r="S777" s="20"/>
      <c r="T777" s="68" t="str">
        <f>VLOOKUP(A777,'Calendar ID'!$A:$C,3,false)</f>
        <v>jasminepro26@icloud.com </v>
      </c>
      <c r="U777" s="71" t="b">
        <v>0</v>
      </c>
      <c r="V777" s="68" t="str">
        <f>VLOOKUP($A777,'Calendar ID'!$A:$C,2,false)</f>
        <v>c_b534e1be73647e660d74cbb308a8c39b0102a8b56261b3886e0967d9ee34f368@group.calendar.google.com</v>
      </c>
      <c r="W777" s="69" t="b">
        <v>1</v>
      </c>
      <c r="X777" s="70" t="s">
        <v>82</v>
      </c>
    </row>
    <row r="778" hidden="1">
      <c r="A778" s="16" t="s">
        <v>244</v>
      </c>
      <c r="B778" s="17">
        <v>45751.0</v>
      </c>
      <c r="C778" s="16" t="s">
        <v>624</v>
      </c>
      <c r="E778" s="179"/>
      <c r="F778" s="30">
        <v>45755.0</v>
      </c>
      <c r="G778" s="36">
        <f>F778+20</f>
        <v>45775</v>
      </c>
      <c r="H778" s="10" t="s">
        <v>31</v>
      </c>
      <c r="J778" s="16" t="s">
        <v>593</v>
      </c>
      <c r="K778" s="16" t="s">
        <v>33</v>
      </c>
      <c r="L778" s="31" t="s">
        <v>56</v>
      </c>
      <c r="N778" s="180" t="s">
        <v>837</v>
      </c>
      <c r="O778" s="16"/>
      <c r="P778" s="23"/>
      <c r="Q778" s="17">
        <f t="shared" si="107"/>
        <v>45751</v>
      </c>
      <c r="R778" s="15"/>
      <c r="S778" s="20"/>
      <c r="T778" s="68" t="str">
        <f>VLOOKUP(A778,'Calendar ID'!$A:$C,3,false)</f>
        <v>jasminepro26@icloud.com </v>
      </c>
      <c r="U778" s="71" t="b">
        <v>0</v>
      </c>
      <c r="V778" s="68" t="str">
        <f>VLOOKUP($A778,'Calendar ID'!$A:$C,2,false)</f>
        <v>c_b534e1be73647e660d74cbb308a8c39b0102a8b56261b3886e0967d9ee34f368@group.calendar.google.com</v>
      </c>
      <c r="W778" s="71" t="b">
        <v>0</v>
      </c>
      <c r="X778" s="68" t="str">
        <f>VLOOKUP($A778,'Calendar ID'!$A:$C,2,false)</f>
        <v>c_b534e1be73647e660d74cbb308a8c39b0102a8b56261b3886e0967d9ee34f368@group.calendar.google.com</v>
      </c>
    </row>
    <row r="779" hidden="1">
      <c r="A779" s="16" t="s">
        <v>244</v>
      </c>
      <c r="B779" s="11">
        <v>45511.0</v>
      </c>
      <c r="C779" s="16" t="s">
        <v>724</v>
      </c>
      <c r="E779" s="178"/>
      <c r="G779" s="17"/>
      <c r="H779" s="10" t="s">
        <v>31</v>
      </c>
      <c r="J779" s="16" t="s">
        <v>97</v>
      </c>
      <c r="K779" s="23" t="s">
        <v>33</v>
      </c>
      <c r="L779" s="31" t="s">
        <v>56</v>
      </c>
      <c r="N779" s="55" t="s">
        <v>838</v>
      </c>
      <c r="O779" s="16"/>
      <c r="P779" s="16"/>
      <c r="Q779" s="17">
        <f t="shared" si="107"/>
        <v>45511</v>
      </c>
      <c r="S779" s="20"/>
      <c r="T779" s="68" t="str">
        <f>VLOOKUP(A779,'Calendar ID'!$A:$C,3,false)</f>
        <v>jasminepro26@icloud.com </v>
      </c>
      <c r="U779" s="78" t="b">
        <v>0</v>
      </c>
      <c r="V779" s="68" t="str">
        <f>VLOOKUP($A779,'Calendar ID'!$A:$C,2,false)</f>
        <v>c_b534e1be73647e660d74cbb308a8c39b0102a8b56261b3886e0967d9ee34f368@group.calendar.google.com</v>
      </c>
      <c r="W779" s="71" t="b">
        <v>0</v>
      </c>
      <c r="X779" s="68" t="str">
        <f>VLOOKUP($A779,'Calendar ID'!$A:$C,2,false)</f>
        <v>c_b534e1be73647e660d74cbb308a8c39b0102a8b56261b3886e0967d9ee34f368@group.calendar.google.com</v>
      </c>
      <c r="AA779" s="16" t="s">
        <v>807</v>
      </c>
    </row>
    <row r="780" hidden="1">
      <c r="A780" s="23" t="s">
        <v>244</v>
      </c>
      <c r="B780" s="11">
        <v>45511.0</v>
      </c>
      <c r="C780" s="16" t="s">
        <v>140</v>
      </c>
      <c r="E780" s="179"/>
      <c r="G780" s="17"/>
      <c r="H780" s="10" t="s">
        <v>31</v>
      </c>
      <c r="I780" s="16" t="s">
        <v>775</v>
      </c>
      <c r="J780" s="16" t="s">
        <v>97</v>
      </c>
      <c r="K780" s="23" t="s">
        <v>33</v>
      </c>
      <c r="L780" s="31" t="s">
        <v>56</v>
      </c>
      <c r="N780" s="16"/>
      <c r="O780" s="16"/>
      <c r="P780" s="16"/>
      <c r="Q780" s="17">
        <f t="shared" si="107"/>
        <v>45511</v>
      </c>
      <c r="S780" s="20"/>
      <c r="T780" s="68" t="str">
        <f>VLOOKUP(A780,'Calendar ID'!$A:$C,3,false)</f>
        <v>jasminepro26@icloud.com </v>
      </c>
      <c r="U780" s="78" t="b">
        <v>0</v>
      </c>
      <c r="V780" s="68" t="str">
        <f>VLOOKUP($A780,'Calendar ID'!$A:$C,2,false)</f>
        <v>c_b534e1be73647e660d74cbb308a8c39b0102a8b56261b3886e0967d9ee34f368@group.calendar.google.com</v>
      </c>
      <c r="W780" s="71" t="b">
        <v>0</v>
      </c>
      <c r="X780" s="68" t="str">
        <f>VLOOKUP($A780,'Calendar ID'!$A:$C,2,false)</f>
        <v>c_b534e1be73647e660d74cbb308a8c39b0102a8b56261b3886e0967d9ee34f368@group.calendar.google.com</v>
      </c>
      <c r="AA780" s="16"/>
    </row>
    <row r="781" hidden="1">
      <c r="A781" s="16" t="s">
        <v>244</v>
      </c>
      <c r="B781" s="17">
        <v>45548.0</v>
      </c>
      <c r="C781" s="16" t="s">
        <v>226</v>
      </c>
      <c r="E781" s="178"/>
      <c r="G781" s="17"/>
      <c r="H781" s="10" t="s">
        <v>31</v>
      </c>
      <c r="J781" s="16" t="s">
        <v>266</v>
      </c>
      <c r="K781" s="23" t="s">
        <v>33</v>
      </c>
      <c r="L781" s="31" t="s">
        <v>56</v>
      </c>
      <c r="N781" s="65" t="s">
        <v>839</v>
      </c>
      <c r="O781" s="16"/>
      <c r="P781" s="16"/>
      <c r="Q781" s="17">
        <f t="shared" si="107"/>
        <v>45548</v>
      </c>
      <c r="S781" s="20"/>
      <c r="T781" s="68" t="str">
        <f>VLOOKUP(A781,'Calendar ID'!$A:$C,3,false)</f>
        <v>jasminepro26@icloud.com </v>
      </c>
      <c r="U781" s="78" t="b">
        <v>0</v>
      </c>
      <c r="V781" s="68" t="str">
        <f>VLOOKUP($A781,'Calendar ID'!$A:$C,2,false)</f>
        <v>c_b534e1be73647e660d74cbb308a8c39b0102a8b56261b3886e0967d9ee34f368@group.calendar.google.com</v>
      </c>
      <c r="W781" s="71" t="b">
        <v>0</v>
      </c>
      <c r="X781" s="68" t="str">
        <f>VLOOKUP($A781,'Calendar ID'!$A:$C,2,false)</f>
        <v>c_b534e1be73647e660d74cbb308a8c39b0102a8b56261b3886e0967d9ee34f368@group.calendar.google.com</v>
      </c>
    </row>
    <row r="782" hidden="1">
      <c r="A782" s="16" t="s">
        <v>244</v>
      </c>
      <c r="B782" s="17">
        <v>45572.0</v>
      </c>
      <c r="C782" s="16" t="s">
        <v>694</v>
      </c>
      <c r="E782" s="179"/>
      <c r="G782" s="17"/>
      <c r="H782" s="10" t="s">
        <v>31</v>
      </c>
      <c r="J782" s="16" t="s">
        <v>266</v>
      </c>
      <c r="K782" s="23" t="s">
        <v>33</v>
      </c>
      <c r="L782" s="31" t="s">
        <v>56</v>
      </c>
      <c r="N782" s="16"/>
      <c r="O782" s="16"/>
      <c r="P782" s="16"/>
      <c r="Q782" s="17">
        <f t="shared" si="107"/>
        <v>45572</v>
      </c>
      <c r="S782" s="20"/>
      <c r="T782" s="68" t="str">
        <f>VLOOKUP(A782,'Calendar ID'!$A:$C,3,false)</f>
        <v>jasminepro26@icloud.com </v>
      </c>
      <c r="U782" s="78" t="b">
        <v>0</v>
      </c>
      <c r="V782" s="68" t="str">
        <f>VLOOKUP($A782,'Calendar ID'!$A:$C,2,false)</f>
        <v>c_b534e1be73647e660d74cbb308a8c39b0102a8b56261b3886e0967d9ee34f368@group.calendar.google.com</v>
      </c>
      <c r="W782" s="71" t="b">
        <v>0</v>
      </c>
      <c r="X782" s="68" t="str">
        <f>VLOOKUP($A782,'Calendar ID'!$A:$C,2,false)</f>
        <v>c_b534e1be73647e660d74cbb308a8c39b0102a8b56261b3886e0967d9ee34f368@group.calendar.google.com</v>
      </c>
    </row>
    <row r="783" hidden="1">
      <c r="A783" s="23" t="s">
        <v>244</v>
      </c>
      <c r="B783" s="17">
        <v>45625.0</v>
      </c>
      <c r="C783" s="16" t="s">
        <v>733</v>
      </c>
      <c r="E783" s="178"/>
      <c r="G783" s="17"/>
      <c r="H783" s="10" t="s">
        <v>31</v>
      </c>
      <c r="J783" s="16" t="s">
        <v>97</v>
      </c>
      <c r="K783" s="23" t="s">
        <v>33</v>
      </c>
      <c r="L783" s="31" t="s">
        <v>56</v>
      </c>
      <c r="N783" s="16"/>
      <c r="O783" s="16"/>
      <c r="P783" s="16"/>
      <c r="Q783" s="17">
        <f t="shared" si="107"/>
        <v>45625</v>
      </c>
      <c r="S783" s="20"/>
      <c r="T783" s="68" t="str">
        <f>VLOOKUP(A783,'Calendar ID'!$A:$C,3,false)</f>
        <v>jasminepro26@icloud.com </v>
      </c>
      <c r="U783" s="71" t="b">
        <v>0</v>
      </c>
      <c r="V783" s="68" t="str">
        <f>VLOOKUP($A783,'Calendar ID'!$A:$C,2,false)</f>
        <v>c_b534e1be73647e660d74cbb308a8c39b0102a8b56261b3886e0967d9ee34f368@group.calendar.google.com</v>
      </c>
      <c r="W783" s="71" t="b">
        <v>0</v>
      </c>
      <c r="X783" s="68" t="str">
        <f>VLOOKUP($A783,'Calendar ID'!$A:$C,2,false)</f>
        <v>c_b534e1be73647e660d74cbb308a8c39b0102a8b56261b3886e0967d9ee34f368@group.calendar.google.com</v>
      </c>
    </row>
    <row r="784" hidden="1">
      <c r="A784" s="16" t="s">
        <v>157</v>
      </c>
      <c r="B784" s="17">
        <v>45497.0</v>
      </c>
      <c r="C784" s="29" t="s">
        <v>626</v>
      </c>
      <c r="E784" s="179"/>
      <c r="G784" s="73">
        <v>45511.0</v>
      </c>
      <c r="H784" s="10" t="s">
        <v>31</v>
      </c>
      <c r="J784" s="16" t="s">
        <v>97</v>
      </c>
      <c r="K784" s="23" t="s">
        <v>33</v>
      </c>
      <c r="L784" s="31" t="s">
        <v>56</v>
      </c>
      <c r="N784" s="16"/>
      <c r="O784" s="16"/>
      <c r="P784" s="16"/>
      <c r="Q784" s="17">
        <f t="shared" si="107"/>
        <v>45497</v>
      </c>
      <c r="S784" s="20"/>
      <c r="T784" s="68" t="str">
        <f>VLOOKUP(A784,'Calendar ID'!$A:$C,3,false)</f>
        <v>jeannebayart@gmail.com</v>
      </c>
      <c r="U784" s="71" t="b">
        <v>0</v>
      </c>
      <c r="V784" s="68" t="str">
        <f>VLOOKUP($A784,'Calendar ID'!$A:$C,2,false)</f>
        <v>c_d2ee2c2110f1f2bc5b089d0edb8b480581f78d93077274c225fcfc530518b2ca@group.calendar.google.com</v>
      </c>
      <c r="W784" s="71" t="b">
        <v>0</v>
      </c>
      <c r="X784" s="68" t="str">
        <f>VLOOKUP($A784,'Calendar ID'!$A:$C,2,false)</f>
        <v>c_d2ee2c2110f1f2bc5b089d0edb8b480581f78d93077274c225fcfc530518b2ca@group.calendar.google.com</v>
      </c>
      <c r="Y784" s="20"/>
      <c r="Z784" s="20"/>
      <c r="AA784" s="20"/>
      <c r="AB784" s="20"/>
      <c r="AC784" s="20"/>
    </row>
    <row r="785" hidden="1">
      <c r="A785" s="23" t="s">
        <v>157</v>
      </c>
      <c r="B785" s="17">
        <v>45497.0</v>
      </c>
      <c r="C785" s="10" t="s">
        <v>840</v>
      </c>
      <c r="E785" s="178"/>
      <c r="G785" s="17">
        <v>45520.0</v>
      </c>
      <c r="H785" s="10" t="s">
        <v>31</v>
      </c>
      <c r="I785" s="16" t="s">
        <v>111</v>
      </c>
      <c r="J785" s="16" t="s">
        <v>97</v>
      </c>
      <c r="K785" s="23" t="s">
        <v>33</v>
      </c>
      <c r="L785" s="31" t="s">
        <v>56</v>
      </c>
      <c r="N785" s="55" t="s">
        <v>841</v>
      </c>
      <c r="O785" s="16"/>
      <c r="P785" s="16"/>
      <c r="Q785" s="17">
        <f t="shared" si="107"/>
        <v>45497</v>
      </c>
      <c r="S785" s="20"/>
      <c r="T785" s="68" t="str">
        <f>VLOOKUP(A785,'Calendar ID'!$A:$C,3,false)</f>
        <v>jeannebayart@gmail.com</v>
      </c>
      <c r="U785" s="71" t="b">
        <v>0</v>
      </c>
      <c r="V785" s="68" t="str">
        <f>VLOOKUP($A785,'Calendar ID'!$A:$C,2,false)</f>
        <v>c_d2ee2c2110f1f2bc5b089d0edb8b480581f78d93077274c225fcfc530518b2ca@group.calendar.google.com</v>
      </c>
      <c r="W785" s="69" t="b">
        <v>1</v>
      </c>
      <c r="X785" s="70" t="s">
        <v>82</v>
      </c>
      <c r="Y785" s="20"/>
      <c r="Z785" s="20"/>
      <c r="AA785" s="16" t="s">
        <v>158</v>
      </c>
      <c r="AB785" s="20"/>
      <c r="AC785" s="20" t="str">
        <f>VLOOKUP($A785,'Calendar ID'!$A:$D,4,FALSE)</f>
        <v>1F40mnL3JpqXpe0o5qrbDG4GuV9h68eR7gA-3pUAyNHM</v>
      </c>
    </row>
    <row r="786" hidden="1">
      <c r="A786" s="16" t="s">
        <v>157</v>
      </c>
      <c r="B786" s="17">
        <v>45503.0</v>
      </c>
      <c r="C786" s="16" t="s">
        <v>690</v>
      </c>
      <c r="E786" s="179"/>
      <c r="G786" s="17">
        <v>45522.0</v>
      </c>
      <c r="H786" s="10" t="s">
        <v>31</v>
      </c>
      <c r="I786" s="16" t="s">
        <v>158</v>
      </c>
      <c r="J786" s="16" t="s">
        <v>97</v>
      </c>
      <c r="K786" s="23" t="s">
        <v>33</v>
      </c>
      <c r="L786" s="31" t="s">
        <v>56</v>
      </c>
      <c r="N786" s="65" t="s">
        <v>842</v>
      </c>
      <c r="O786" s="16"/>
      <c r="P786" s="16"/>
      <c r="Q786" s="17">
        <f t="shared" si="107"/>
        <v>45503</v>
      </c>
      <c r="S786" s="20"/>
      <c r="T786" s="68" t="str">
        <f>VLOOKUP(A786,'Calendar ID'!$A:$C,3,false)</f>
        <v>jeannebayart@gmail.com</v>
      </c>
      <c r="U786" s="71" t="b">
        <v>0</v>
      </c>
      <c r="V786" s="68" t="str">
        <f>VLOOKUP($A786,'Calendar ID'!$A:$C,2,false)</f>
        <v>c_d2ee2c2110f1f2bc5b089d0edb8b480581f78d93077274c225fcfc530518b2ca@group.calendar.google.com</v>
      </c>
      <c r="W786" s="69" t="b">
        <v>0</v>
      </c>
      <c r="X786" s="68" t="str">
        <f>VLOOKUP($A786,'Calendar ID'!$A:$C,2,false)</f>
        <v>c_d2ee2c2110f1f2bc5b089d0edb8b480581f78d93077274c225fcfc530518b2ca@group.calendar.google.com</v>
      </c>
      <c r="Y786" s="20"/>
      <c r="Z786" s="20"/>
      <c r="AA786" s="20"/>
      <c r="AB786" s="20"/>
      <c r="AC786" s="20"/>
    </row>
    <row r="787" hidden="1">
      <c r="A787" s="23" t="s">
        <v>157</v>
      </c>
      <c r="B787" s="17">
        <v>45527.0</v>
      </c>
      <c r="C787" s="16" t="s">
        <v>191</v>
      </c>
      <c r="E787" s="17"/>
      <c r="G787" s="17">
        <v>45530.0</v>
      </c>
      <c r="H787" s="10" t="s">
        <v>31</v>
      </c>
      <c r="I787" s="16" t="s">
        <v>843</v>
      </c>
      <c r="J787" s="16" t="s">
        <v>43</v>
      </c>
      <c r="K787" s="23" t="s">
        <v>33</v>
      </c>
      <c r="L787" s="31">
        <v>500.0</v>
      </c>
      <c r="N787" s="16"/>
      <c r="O787" s="16"/>
      <c r="P787" s="23" t="s">
        <v>34</v>
      </c>
      <c r="Q787" s="17">
        <f t="shared" si="107"/>
        <v>45527</v>
      </c>
      <c r="R787" s="18">
        <f>L787*0.3</f>
        <v>150</v>
      </c>
      <c r="S787" s="20"/>
      <c r="T787" s="68" t="str">
        <f>VLOOKUP(A787,'Calendar ID'!$A:$C,3,false)</f>
        <v>jeannebayart@gmail.com</v>
      </c>
      <c r="U787" s="78" t="b">
        <v>0</v>
      </c>
      <c r="V787" s="68" t="str">
        <f>VLOOKUP($A787,'Calendar ID'!$A:$C,2,false)</f>
        <v>c_d2ee2c2110f1f2bc5b089d0edb8b480581f78d93077274c225fcfc530518b2ca@group.calendar.google.com</v>
      </c>
      <c r="W787" s="69" t="b">
        <v>1</v>
      </c>
      <c r="X787" s="70" t="s">
        <v>82</v>
      </c>
    </row>
    <row r="788" hidden="1">
      <c r="A788" s="16" t="s">
        <v>157</v>
      </c>
      <c r="B788" s="17">
        <v>45560.0</v>
      </c>
      <c r="C788" s="16" t="s">
        <v>806</v>
      </c>
      <c r="D788" s="16" t="s">
        <v>844</v>
      </c>
      <c r="E788" s="17"/>
      <c r="F788" s="17">
        <v>45560.0</v>
      </c>
      <c r="G788" s="17">
        <v>45575.0</v>
      </c>
      <c r="H788" s="10" t="s">
        <v>31</v>
      </c>
      <c r="J788" s="16" t="s">
        <v>266</v>
      </c>
      <c r="K788" s="23" t="s">
        <v>33</v>
      </c>
      <c r="L788" s="31" t="s">
        <v>56</v>
      </c>
      <c r="N788" s="16"/>
      <c r="O788" s="16"/>
      <c r="P788" s="16"/>
      <c r="Q788" s="17">
        <f t="shared" si="107"/>
        <v>45560</v>
      </c>
      <c r="S788" s="20"/>
      <c r="T788" s="68" t="str">
        <f>VLOOKUP(A788,'Calendar ID'!$A:$C,3,false)</f>
        <v>jeannebayart@gmail.com</v>
      </c>
      <c r="U788" s="78" t="b">
        <v>0</v>
      </c>
      <c r="V788" s="68" t="str">
        <f>VLOOKUP($A788,'Calendar ID'!$A:$C,2,false)</f>
        <v>c_d2ee2c2110f1f2bc5b089d0edb8b480581f78d93077274c225fcfc530518b2ca@group.calendar.google.com</v>
      </c>
      <c r="W788" s="69" t="b">
        <v>1</v>
      </c>
      <c r="X788" s="70" t="s">
        <v>82</v>
      </c>
    </row>
    <row r="789" hidden="1">
      <c r="A789" s="16" t="s">
        <v>157</v>
      </c>
      <c r="B789" s="17">
        <v>45630.0</v>
      </c>
      <c r="C789" s="16" t="s">
        <v>636</v>
      </c>
      <c r="E789" s="17"/>
      <c r="F789" s="17">
        <v>45632.0</v>
      </c>
      <c r="G789" s="17">
        <v>45651.0</v>
      </c>
      <c r="H789" s="10" t="s">
        <v>31</v>
      </c>
      <c r="J789" s="16" t="s">
        <v>593</v>
      </c>
      <c r="K789" s="23" t="s">
        <v>33</v>
      </c>
      <c r="L789" s="31" t="s">
        <v>56</v>
      </c>
      <c r="N789" s="16"/>
      <c r="O789" s="16"/>
      <c r="P789" s="16"/>
      <c r="Q789" s="17">
        <f t="shared" si="107"/>
        <v>45630</v>
      </c>
      <c r="S789" s="20"/>
      <c r="T789" s="68" t="str">
        <f>VLOOKUP(A789,'Calendar ID'!$A:$C,3,false)</f>
        <v>jeannebayart@gmail.com</v>
      </c>
      <c r="U789" s="77" t="b">
        <v>0</v>
      </c>
      <c r="V789" s="68" t="str">
        <f>VLOOKUP($A789,'Calendar ID'!$A:$C,2,false)</f>
        <v>c_d2ee2c2110f1f2bc5b089d0edb8b480581f78d93077274c225fcfc530518b2ca@group.calendar.google.com</v>
      </c>
      <c r="W789" s="77" t="b">
        <v>1</v>
      </c>
      <c r="X789" s="70" t="s">
        <v>82</v>
      </c>
    </row>
    <row r="790" hidden="1">
      <c r="A790" s="16" t="s">
        <v>157</v>
      </c>
      <c r="B790" s="17">
        <v>45674.0</v>
      </c>
      <c r="C790" s="16" t="s">
        <v>630</v>
      </c>
      <c r="E790" s="17"/>
      <c r="F790" s="17"/>
      <c r="G790" s="122">
        <v>45735.0</v>
      </c>
      <c r="H790" s="10" t="s">
        <v>31</v>
      </c>
      <c r="J790" s="16" t="s">
        <v>43</v>
      </c>
      <c r="K790" s="23" t="s">
        <v>33</v>
      </c>
      <c r="L790" s="31" t="s">
        <v>56</v>
      </c>
      <c r="N790" s="65" t="s">
        <v>845</v>
      </c>
      <c r="Q790" s="17">
        <f t="shared" si="107"/>
        <v>45674</v>
      </c>
      <c r="S790" s="20"/>
      <c r="T790" s="68" t="str">
        <f>VLOOKUP(A790,'Calendar ID'!$A:$C,3,false)</f>
        <v>jeannebayart@gmail.com</v>
      </c>
      <c r="U790" s="77" t="b">
        <v>0</v>
      </c>
      <c r="V790" s="68" t="str">
        <f>VLOOKUP($A790,'Calendar ID'!$A:$C,2,false)</f>
        <v>c_d2ee2c2110f1f2bc5b089d0edb8b480581f78d93077274c225fcfc530518b2ca@group.calendar.google.com</v>
      </c>
      <c r="W790" s="77" t="b">
        <v>1</v>
      </c>
      <c r="X790" s="70" t="s">
        <v>82</v>
      </c>
    </row>
    <row r="791" hidden="1">
      <c r="A791" s="16" t="s">
        <v>157</v>
      </c>
      <c r="B791" s="11">
        <v>45511.0</v>
      </c>
      <c r="C791" s="16" t="s">
        <v>724</v>
      </c>
      <c r="E791" s="17"/>
      <c r="G791" s="17"/>
      <c r="H791" s="10" t="s">
        <v>31</v>
      </c>
      <c r="J791" s="16" t="s">
        <v>97</v>
      </c>
      <c r="K791" s="23" t="s">
        <v>33</v>
      </c>
      <c r="L791" s="31" t="s">
        <v>56</v>
      </c>
      <c r="N791" s="104"/>
      <c r="O791" s="16"/>
      <c r="P791" s="16"/>
      <c r="Q791" s="17">
        <f t="shared" si="107"/>
        <v>45511</v>
      </c>
      <c r="S791" s="20"/>
      <c r="T791" s="68" t="str">
        <f>VLOOKUP(A791,'Calendar ID'!$A:$C,3,false)</f>
        <v>jeannebayart@gmail.com</v>
      </c>
      <c r="U791" s="78" t="b">
        <v>0</v>
      </c>
      <c r="V791" s="68" t="str">
        <f>VLOOKUP($A791,'Calendar ID'!$A:$C,2,false)</f>
        <v>c_d2ee2c2110f1f2bc5b089d0edb8b480581f78d93077274c225fcfc530518b2ca@group.calendar.google.com</v>
      </c>
      <c r="W791" s="71" t="b">
        <v>0</v>
      </c>
      <c r="X791" s="68" t="str">
        <f>VLOOKUP($A791,'Calendar ID'!$A:$C,2,false)</f>
        <v>c_d2ee2c2110f1f2bc5b089d0edb8b480581f78d93077274c225fcfc530518b2ca@group.calendar.google.com</v>
      </c>
      <c r="AA791" s="16" t="s">
        <v>158</v>
      </c>
      <c r="AC791" s="20" t="str">
        <f>VLOOKUP($A791,'Calendar ID'!$A:$D,4,FALSE)</f>
        <v>1F40mnL3JpqXpe0o5qrbDG4GuV9h68eR7gA-3pUAyNHM</v>
      </c>
    </row>
    <row r="792" hidden="1">
      <c r="A792" s="23" t="s">
        <v>157</v>
      </c>
      <c r="B792" s="11">
        <v>45511.0</v>
      </c>
      <c r="C792" s="16" t="s">
        <v>140</v>
      </c>
      <c r="E792" s="17"/>
      <c r="G792" s="17"/>
      <c r="H792" s="10" t="s">
        <v>31</v>
      </c>
      <c r="I792" s="16" t="s">
        <v>775</v>
      </c>
      <c r="J792" s="16" t="s">
        <v>97</v>
      </c>
      <c r="K792" s="23" t="s">
        <v>33</v>
      </c>
      <c r="L792" s="31" t="s">
        <v>56</v>
      </c>
      <c r="N792" s="16"/>
      <c r="O792" s="16"/>
      <c r="P792" s="16"/>
      <c r="Q792" s="17">
        <f t="shared" si="107"/>
        <v>45511</v>
      </c>
      <c r="S792" s="20"/>
      <c r="T792" s="68" t="str">
        <f>VLOOKUP(A792,'Calendar ID'!$A:$C,3,false)</f>
        <v>jeannebayart@gmail.com</v>
      </c>
      <c r="U792" s="78" t="b">
        <v>0</v>
      </c>
      <c r="V792" s="68" t="str">
        <f>VLOOKUP($A792,'Calendar ID'!$A:$C,2,false)</f>
        <v>c_d2ee2c2110f1f2bc5b089d0edb8b480581f78d93077274c225fcfc530518b2ca@group.calendar.google.com</v>
      </c>
      <c r="W792" s="71" t="b">
        <v>0</v>
      </c>
      <c r="X792" s="68" t="str">
        <f>VLOOKUP($A792,'Calendar ID'!$A:$C,2,false)</f>
        <v>c_d2ee2c2110f1f2bc5b089d0edb8b480581f78d93077274c225fcfc530518b2ca@group.calendar.google.com</v>
      </c>
      <c r="AA792" s="16" t="s">
        <v>846</v>
      </c>
      <c r="AC792" s="20" t="str">
        <f>VLOOKUP($A792,'Calendar ID'!$A:$D,4,FALSE)</f>
        <v>1F40mnL3JpqXpe0o5qrbDG4GuV9h68eR7gA-3pUAyNHM</v>
      </c>
    </row>
    <row r="793" hidden="1">
      <c r="A793" s="16" t="s">
        <v>157</v>
      </c>
      <c r="B793" s="17">
        <v>45546.0</v>
      </c>
      <c r="C793" s="16" t="s">
        <v>768</v>
      </c>
      <c r="E793" s="17"/>
      <c r="G793" s="17"/>
      <c r="H793" s="10" t="s">
        <v>31</v>
      </c>
      <c r="J793" s="16" t="s">
        <v>266</v>
      </c>
      <c r="K793" s="23" t="s">
        <v>33</v>
      </c>
      <c r="L793" s="31" t="s">
        <v>56</v>
      </c>
      <c r="N793" s="16"/>
      <c r="O793" s="16"/>
      <c r="P793" s="16"/>
      <c r="Q793" s="17">
        <f t="shared" si="107"/>
        <v>45546</v>
      </c>
      <c r="S793" s="20"/>
      <c r="T793" s="68" t="str">
        <f>VLOOKUP(A793,'Calendar ID'!$A:$C,3,false)</f>
        <v>jeannebayart@gmail.com</v>
      </c>
      <c r="U793" s="78" t="b">
        <v>0</v>
      </c>
      <c r="V793" s="68" t="str">
        <f>VLOOKUP($A793,'Calendar ID'!$A:$C,2,false)</f>
        <v>c_d2ee2c2110f1f2bc5b089d0edb8b480581f78d93077274c225fcfc530518b2ca@group.calendar.google.com</v>
      </c>
      <c r="W793" s="71" t="b">
        <v>0</v>
      </c>
      <c r="X793" s="68" t="str">
        <f>VLOOKUP($A793,'Calendar ID'!$A:$C,2,false)</f>
        <v>c_d2ee2c2110f1f2bc5b089d0edb8b480581f78d93077274c225fcfc530518b2ca@group.calendar.google.com</v>
      </c>
    </row>
    <row r="794" hidden="1">
      <c r="A794" s="16" t="s">
        <v>157</v>
      </c>
      <c r="B794" s="17">
        <v>45593.0</v>
      </c>
      <c r="C794" s="16" t="s">
        <v>127</v>
      </c>
      <c r="E794" s="162"/>
      <c r="G794" s="17"/>
      <c r="H794" s="10" t="s">
        <v>31</v>
      </c>
      <c r="J794" s="16" t="s">
        <v>97</v>
      </c>
      <c r="K794" s="23" t="s">
        <v>33</v>
      </c>
      <c r="L794" s="31" t="s">
        <v>56</v>
      </c>
      <c r="N794" s="16"/>
      <c r="O794" s="16"/>
      <c r="P794" s="16"/>
      <c r="Q794" s="17">
        <f t="shared" si="107"/>
        <v>45593</v>
      </c>
      <c r="S794" s="20"/>
      <c r="T794" s="68" t="str">
        <f>VLOOKUP(A794,'Calendar ID'!$A:$C,3,false)</f>
        <v>jeannebayart@gmail.com</v>
      </c>
      <c r="U794" s="77" t="b">
        <v>0</v>
      </c>
      <c r="V794" s="68" t="str">
        <f>VLOOKUP($A794,'Calendar ID'!$A:$C,2,false)</f>
        <v>c_d2ee2c2110f1f2bc5b089d0edb8b480581f78d93077274c225fcfc530518b2ca@group.calendar.google.com</v>
      </c>
      <c r="W794" s="77" t="b">
        <v>0</v>
      </c>
      <c r="X794" s="68" t="str">
        <f>VLOOKUP($A794,'Calendar ID'!$A:$C,2,false)</f>
        <v>c_d2ee2c2110f1f2bc5b089d0edb8b480581f78d93077274c225fcfc530518b2ca@group.calendar.google.com</v>
      </c>
    </row>
    <row r="795" hidden="1">
      <c r="A795" s="16" t="s">
        <v>157</v>
      </c>
      <c r="B795" s="17">
        <v>45593.0</v>
      </c>
      <c r="C795" s="16" t="s">
        <v>730</v>
      </c>
      <c r="E795" s="162"/>
      <c r="G795" s="17"/>
      <c r="H795" s="10" t="s">
        <v>31</v>
      </c>
      <c r="J795" s="16" t="s">
        <v>266</v>
      </c>
      <c r="K795" s="23" t="s">
        <v>33</v>
      </c>
      <c r="L795" s="31" t="s">
        <v>56</v>
      </c>
      <c r="N795" s="16"/>
      <c r="O795" s="16"/>
      <c r="P795" s="16"/>
      <c r="Q795" s="17">
        <f t="shared" si="107"/>
        <v>45593</v>
      </c>
      <c r="S795" s="20"/>
      <c r="T795" s="68" t="str">
        <f>VLOOKUP(A795,'Calendar ID'!$A:$C,3,false)</f>
        <v>jeannebayart@gmail.com</v>
      </c>
      <c r="U795" s="77" t="b">
        <v>0</v>
      </c>
      <c r="V795" s="68" t="str">
        <f>VLOOKUP($A795,'Calendar ID'!$A:$C,2,false)</f>
        <v>c_d2ee2c2110f1f2bc5b089d0edb8b480581f78d93077274c225fcfc530518b2ca@group.calendar.google.com</v>
      </c>
      <c r="W795" s="77" t="b">
        <v>0</v>
      </c>
      <c r="X795" s="68" t="str">
        <f>VLOOKUP($A795,'Calendar ID'!$A:$C,2,false)</f>
        <v>c_d2ee2c2110f1f2bc5b089d0edb8b480581f78d93077274c225fcfc530518b2ca@group.calendar.google.com</v>
      </c>
    </row>
    <row r="796" hidden="1">
      <c r="A796" s="16" t="s">
        <v>157</v>
      </c>
      <c r="B796" s="17">
        <v>45621.0</v>
      </c>
      <c r="C796" s="16" t="s">
        <v>46</v>
      </c>
      <c r="E796" s="17"/>
      <c r="G796" s="17"/>
      <c r="H796" s="10" t="s">
        <v>31</v>
      </c>
      <c r="J796" s="16" t="s">
        <v>97</v>
      </c>
      <c r="K796" s="23" t="s">
        <v>33</v>
      </c>
      <c r="L796" s="31" t="s">
        <v>56</v>
      </c>
      <c r="N796" s="16"/>
      <c r="O796" s="16"/>
      <c r="P796" s="16"/>
      <c r="Q796" s="17">
        <f t="shared" si="107"/>
        <v>45621</v>
      </c>
      <c r="S796" s="20"/>
      <c r="T796" s="68" t="str">
        <f>VLOOKUP(A796,'Calendar ID'!$A:$C,3,false)</f>
        <v>jeannebayart@gmail.com</v>
      </c>
      <c r="U796" s="77" t="b">
        <v>0</v>
      </c>
      <c r="V796" s="68" t="str">
        <f>VLOOKUP($A796,'Calendar ID'!$A:$C,2,false)</f>
        <v>c_d2ee2c2110f1f2bc5b089d0edb8b480581f78d93077274c225fcfc530518b2ca@group.calendar.google.com</v>
      </c>
      <c r="W796" s="77" t="b">
        <v>0</v>
      </c>
      <c r="X796" s="68" t="str">
        <f>VLOOKUP($A796,'Calendar ID'!$A:$C,2,false)</f>
        <v>c_d2ee2c2110f1f2bc5b089d0edb8b480581f78d93077274c225fcfc530518b2ca@group.calendar.google.com</v>
      </c>
    </row>
    <row r="797" hidden="1">
      <c r="A797" s="181" t="s">
        <v>65</v>
      </c>
      <c r="B797" s="17">
        <v>45386.0</v>
      </c>
      <c r="C797" s="16" t="s">
        <v>630</v>
      </c>
      <c r="E797" s="8"/>
      <c r="F797" s="28">
        <v>45387.0</v>
      </c>
      <c r="G797" s="35">
        <v>45408.0</v>
      </c>
      <c r="H797" s="10" t="s">
        <v>31</v>
      </c>
      <c r="I797" s="16" t="s">
        <v>747</v>
      </c>
      <c r="J797" s="16" t="s">
        <v>43</v>
      </c>
      <c r="K797" s="16" t="s">
        <v>33</v>
      </c>
      <c r="L797" s="14" t="s">
        <v>56</v>
      </c>
      <c r="Q797" s="17">
        <f t="shared" si="107"/>
        <v>45386</v>
      </c>
      <c r="S797" s="20"/>
      <c r="T797" s="20"/>
      <c r="U797" s="20"/>
      <c r="V797" s="20"/>
      <c r="W797" s="20"/>
      <c r="X797" s="20"/>
      <c r="Y797" s="20"/>
      <c r="Z797" s="20"/>
      <c r="AA797" s="20"/>
      <c r="AB797" s="20"/>
      <c r="AC797" s="20"/>
    </row>
    <row r="798" hidden="1">
      <c r="A798" s="16" t="s">
        <v>65</v>
      </c>
      <c r="B798" s="17">
        <v>45401.0</v>
      </c>
      <c r="C798" s="16" t="s">
        <v>657</v>
      </c>
      <c r="G798" s="38">
        <v>45421.0</v>
      </c>
      <c r="H798" s="16" t="s">
        <v>31</v>
      </c>
      <c r="I798" s="16" t="s">
        <v>658</v>
      </c>
      <c r="J798" s="16" t="s">
        <v>659</v>
      </c>
      <c r="K798" s="14" t="s">
        <v>33</v>
      </c>
      <c r="L798" s="16" t="s">
        <v>56</v>
      </c>
      <c r="Q798" s="17">
        <f t="shared" si="107"/>
        <v>45401</v>
      </c>
      <c r="S798" s="20"/>
      <c r="T798" s="20"/>
      <c r="U798" s="20"/>
      <c r="V798" s="20"/>
      <c r="W798" s="20"/>
      <c r="X798" s="20"/>
      <c r="Y798" s="20"/>
      <c r="Z798" s="20"/>
      <c r="AA798" s="20"/>
      <c r="AB798" s="20"/>
      <c r="AC798" s="20"/>
    </row>
    <row r="799" hidden="1">
      <c r="A799" s="16" t="s">
        <v>65</v>
      </c>
      <c r="B799" s="17">
        <v>45378.0</v>
      </c>
      <c r="C799" s="16" t="s">
        <v>847</v>
      </c>
      <c r="G799" s="38">
        <v>45423.0</v>
      </c>
      <c r="H799" s="10" t="s">
        <v>31</v>
      </c>
      <c r="J799" s="16" t="s">
        <v>848</v>
      </c>
      <c r="K799" s="16" t="s">
        <v>33</v>
      </c>
      <c r="L799" s="16" t="s">
        <v>56</v>
      </c>
      <c r="Q799" s="17">
        <f t="shared" si="107"/>
        <v>45378</v>
      </c>
      <c r="S799" s="20"/>
      <c r="T799" s="20"/>
      <c r="U799" s="20"/>
      <c r="V799" s="20"/>
      <c r="W799" s="20"/>
      <c r="X799" s="20"/>
      <c r="Y799" s="20"/>
      <c r="Z799" s="20"/>
      <c r="AA799" s="20"/>
      <c r="AB799" s="20"/>
      <c r="AC799" s="20"/>
    </row>
    <row r="800" hidden="1">
      <c r="A800" s="16" t="s">
        <v>65</v>
      </c>
      <c r="B800" s="17">
        <v>45404.0</v>
      </c>
      <c r="C800" s="29" t="s">
        <v>667</v>
      </c>
      <c r="E800" s="17"/>
      <c r="F800" s="17"/>
      <c r="G800" s="48">
        <v>45440.0</v>
      </c>
      <c r="H800" s="16" t="s">
        <v>31</v>
      </c>
      <c r="I800" s="55" t="s">
        <v>668</v>
      </c>
      <c r="J800" s="16" t="s">
        <v>43</v>
      </c>
      <c r="K800" s="14" t="s">
        <v>33</v>
      </c>
      <c r="L800" s="31" t="s">
        <v>56</v>
      </c>
      <c r="M800" s="31"/>
      <c r="N800" s="55" t="s">
        <v>849</v>
      </c>
      <c r="O800" s="16"/>
      <c r="P800" s="16"/>
      <c r="Q800" s="17">
        <f t="shared" si="107"/>
        <v>45404</v>
      </c>
      <c r="S800" s="20"/>
      <c r="T800" s="20"/>
      <c r="U800" s="20"/>
      <c r="V800" s="20"/>
      <c r="W800" s="20"/>
      <c r="X800" s="20"/>
      <c r="Y800" s="20"/>
      <c r="Z800" s="20"/>
      <c r="AA800" s="20"/>
      <c r="AB800" s="20"/>
      <c r="AC800" s="20"/>
    </row>
    <row r="801" hidden="1">
      <c r="A801" s="16" t="s">
        <v>65</v>
      </c>
      <c r="B801" s="17">
        <v>45425.0</v>
      </c>
      <c r="C801" s="16" t="s">
        <v>713</v>
      </c>
      <c r="E801" s="17"/>
      <c r="G801" s="139">
        <v>45448.0</v>
      </c>
      <c r="H801" s="16" t="s">
        <v>31</v>
      </c>
      <c r="I801" s="16" t="s">
        <v>670</v>
      </c>
      <c r="J801" s="16" t="s">
        <v>659</v>
      </c>
      <c r="K801" s="16" t="s">
        <v>33</v>
      </c>
      <c r="L801" s="31" t="s">
        <v>56</v>
      </c>
      <c r="N801" s="55" t="s">
        <v>850</v>
      </c>
      <c r="O801" s="16"/>
      <c r="P801" s="16"/>
      <c r="Q801" s="17">
        <f t="shared" si="107"/>
        <v>45425</v>
      </c>
      <c r="S801" s="20"/>
      <c r="T801" s="20"/>
      <c r="U801" s="20"/>
      <c r="V801" s="20"/>
      <c r="W801" s="20"/>
      <c r="X801" s="20"/>
      <c r="Y801" s="20"/>
      <c r="Z801" s="20"/>
      <c r="AA801" s="20"/>
      <c r="AB801" s="20"/>
      <c r="AC801" s="20"/>
    </row>
    <row r="802" hidden="1">
      <c r="A802" s="10" t="s">
        <v>65</v>
      </c>
      <c r="B802" s="17">
        <v>45463.0</v>
      </c>
      <c r="C802" s="16" t="s">
        <v>851</v>
      </c>
      <c r="E802" s="17"/>
      <c r="F802" s="58">
        <v>45467.0</v>
      </c>
      <c r="G802" s="61">
        <v>45480.0</v>
      </c>
      <c r="H802" s="16" t="s">
        <v>31</v>
      </c>
      <c r="J802" s="16" t="s">
        <v>682</v>
      </c>
      <c r="K802" s="16" t="s">
        <v>33</v>
      </c>
      <c r="L802" s="31" t="s">
        <v>56</v>
      </c>
      <c r="N802" s="55" t="s">
        <v>852</v>
      </c>
      <c r="O802" s="16"/>
      <c r="P802" s="16"/>
      <c r="Q802" s="17">
        <f t="shared" si="107"/>
        <v>45463</v>
      </c>
      <c r="S802" s="20"/>
      <c r="T802" s="20" t="str">
        <f>VLOOKUP(A802,'Calendar ID'!$A:$C,3,false)</f>
        <v>imlolytahproacc@gmail.com</v>
      </c>
      <c r="U802" s="20" t="b">
        <v>0</v>
      </c>
      <c r="V802" s="20" t="str">
        <f>VLOOKUP($A802,'Calendar ID'!$A:$C,2,false)</f>
        <v>c_007bb5dfd61adc34e7d7f1093213e03f31b2abfb546bee3afc00b412de414680@group.calendar.google.com</v>
      </c>
      <c r="W802" s="19" t="b">
        <v>1</v>
      </c>
      <c r="X802" s="19" t="s">
        <v>82</v>
      </c>
      <c r="Y802" s="20"/>
      <c r="Z802" s="20"/>
      <c r="AA802" s="20"/>
      <c r="AB802" s="20"/>
      <c r="AC802" s="20"/>
    </row>
    <row r="803" hidden="1">
      <c r="A803" s="16" t="s">
        <v>65</v>
      </c>
      <c r="B803" s="17">
        <v>45442.0</v>
      </c>
      <c r="C803" s="16" t="s">
        <v>683</v>
      </c>
      <c r="E803" s="17"/>
      <c r="F803" s="53">
        <v>45463.0</v>
      </c>
      <c r="G803" s="67">
        <v>45488.0</v>
      </c>
      <c r="H803" s="16" t="s">
        <v>31</v>
      </c>
      <c r="J803" s="16" t="s">
        <v>43</v>
      </c>
      <c r="K803" s="16" t="s">
        <v>33</v>
      </c>
      <c r="L803" s="31" t="s">
        <v>56</v>
      </c>
      <c r="N803" s="65" t="s">
        <v>853</v>
      </c>
      <c r="O803" s="16"/>
      <c r="P803" s="16"/>
      <c r="Q803" s="17">
        <f t="shared" si="107"/>
        <v>45442</v>
      </c>
      <c r="S803" s="20"/>
      <c r="T803" s="20" t="str">
        <f>VLOOKUP(A803,'Calendar ID'!$A:$C,3,false)</f>
        <v>imlolytahproacc@gmail.com</v>
      </c>
      <c r="U803" s="20" t="b">
        <v>0</v>
      </c>
      <c r="V803" s="20" t="str">
        <f>VLOOKUP($A803,'Calendar ID'!$A:$C,2,false)</f>
        <v>c_007bb5dfd61adc34e7d7f1093213e03f31b2abfb546bee3afc00b412de414680@group.calendar.google.com</v>
      </c>
      <c r="W803" s="19" t="b">
        <v>0</v>
      </c>
      <c r="X803" s="20" t="str">
        <f>VLOOKUP($A803,'Calendar ID'!$A:$C,2,false)</f>
        <v>c_007bb5dfd61adc34e7d7f1093213e03f31b2abfb546bee3afc00b412de414680@group.calendar.google.com</v>
      </c>
      <c r="Y803" s="20"/>
      <c r="Z803" s="20"/>
      <c r="AA803" s="20"/>
      <c r="AB803" s="20"/>
      <c r="AC803" s="20"/>
    </row>
    <row r="804" hidden="1">
      <c r="A804" s="16" t="s">
        <v>65</v>
      </c>
      <c r="B804" s="17">
        <v>45497.0</v>
      </c>
      <c r="C804" s="16" t="s">
        <v>634</v>
      </c>
      <c r="E804" s="17"/>
      <c r="F804" s="73">
        <v>45510.0</v>
      </c>
      <c r="G804" s="73">
        <v>45513.0</v>
      </c>
      <c r="H804" s="10" t="s">
        <v>31</v>
      </c>
      <c r="J804" s="16" t="s">
        <v>97</v>
      </c>
      <c r="K804" s="23" t="s">
        <v>33</v>
      </c>
      <c r="L804" s="31" t="s">
        <v>56</v>
      </c>
      <c r="N804" s="55" t="s">
        <v>854</v>
      </c>
      <c r="O804" s="16"/>
      <c r="P804" s="16"/>
      <c r="Q804" s="17">
        <f t="shared" si="107"/>
        <v>45497</v>
      </c>
      <c r="S804" s="20"/>
      <c r="T804" s="68" t="str">
        <f>VLOOKUP(A804,'Calendar ID'!$A:$C,3,false)</f>
        <v>imlolytahproacc@gmail.com</v>
      </c>
      <c r="U804" s="69" t="b">
        <v>0</v>
      </c>
      <c r="V804" s="70" t="s">
        <v>855</v>
      </c>
      <c r="W804" s="69" t="b">
        <v>1</v>
      </c>
      <c r="X804" s="70" t="s">
        <v>82</v>
      </c>
      <c r="Y804" s="20"/>
      <c r="Z804" s="20"/>
      <c r="AA804" s="20"/>
      <c r="AB804" s="20"/>
      <c r="AC804" s="20"/>
    </row>
    <row r="805" hidden="1">
      <c r="A805" s="16" t="s">
        <v>65</v>
      </c>
      <c r="B805" s="17">
        <v>45497.0</v>
      </c>
      <c r="C805" s="10" t="s">
        <v>816</v>
      </c>
      <c r="E805" s="17"/>
      <c r="G805" s="73">
        <v>45515.0</v>
      </c>
      <c r="H805" s="10" t="s">
        <v>31</v>
      </c>
      <c r="J805" s="16" t="s">
        <v>97</v>
      </c>
      <c r="K805" s="23" t="s">
        <v>33</v>
      </c>
      <c r="L805" s="31" t="s">
        <v>56</v>
      </c>
      <c r="N805" s="55" t="s">
        <v>856</v>
      </c>
      <c r="O805" s="16"/>
      <c r="P805" s="16"/>
      <c r="Q805" s="17">
        <f t="shared" si="107"/>
        <v>45497</v>
      </c>
      <c r="S805" s="20"/>
      <c r="T805" s="68" t="str">
        <f>VLOOKUP(A805,'Calendar ID'!$A:$C,3,false)</f>
        <v>imlolytahproacc@gmail.com</v>
      </c>
      <c r="U805" s="71" t="b">
        <v>0</v>
      </c>
      <c r="V805" s="68" t="str">
        <f>VLOOKUP($A805,'Calendar ID'!$A:$C,2,false)</f>
        <v>c_007bb5dfd61adc34e7d7f1093213e03f31b2abfb546bee3afc00b412de414680@group.calendar.google.com</v>
      </c>
      <c r="W805" s="69" t="b">
        <v>1</v>
      </c>
      <c r="X805" s="70" t="s">
        <v>82</v>
      </c>
      <c r="Y805" s="20"/>
      <c r="Z805" s="20"/>
      <c r="AA805" s="20"/>
      <c r="AB805" s="20"/>
      <c r="AC805" s="20"/>
    </row>
    <row r="806" hidden="1">
      <c r="A806" s="16" t="s">
        <v>65</v>
      </c>
      <c r="B806" s="17">
        <v>45503.0</v>
      </c>
      <c r="C806" s="16" t="s">
        <v>690</v>
      </c>
      <c r="E806" s="17"/>
      <c r="F806" s="73">
        <v>45513.0</v>
      </c>
      <c r="G806" s="17">
        <v>45522.0</v>
      </c>
      <c r="H806" s="10" t="s">
        <v>31</v>
      </c>
      <c r="I806" s="16" t="s">
        <v>857</v>
      </c>
      <c r="J806" s="16" t="s">
        <v>97</v>
      </c>
      <c r="K806" s="23" t="s">
        <v>33</v>
      </c>
      <c r="L806" s="31" t="s">
        <v>56</v>
      </c>
      <c r="N806" s="55" t="s">
        <v>858</v>
      </c>
      <c r="O806" s="16"/>
      <c r="P806" s="16"/>
      <c r="Q806" s="17">
        <f t="shared" si="107"/>
        <v>45503</v>
      </c>
      <c r="S806" s="20"/>
      <c r="T806" s="68" t="str">
        <f>VLOOKUP(A806,'Calendar ID'!$A:$C,3,false)</f>
        <v>imlolytahproacc@gmail.com</v>
      </c>
      <c r="U806" s="71" t="b">
        <v>0</v>
      </c>
      <c r="V806" s="68" t="str">
        <f>VLOOKUP($A806,'Calendar ID'!$A:$C,2,false)</f>
        <v>c_007bb5dfd61adc34e7d7f1093213e03f31b2abfb546bee3afc00b412de414680@group.calendar.google.com</v>
      </c>
      <c r="W806" s="69" t="b">
        <v>0</v>
      </c>
      <c r="X806" s="68" t="str">
        <f>VLOOKUP($A806,'Calendar ID'!$A:$C,2,false)</f>
        <v>c_007bb5dfd61adc34e7d7f1093213e03f31b2abfb546bee3afc00b412de414680@group.calendar.google.com</v>
      </c>
      <c r="Y806" s="20"/>
      <c r="Z806" s="20"/>
      <c r="AA806" s="20"/>
      <c r="AB806" s="20"/>
      <c r="AC806" s="20"/>
    </row>
    <row r="807" hidden="1">
      <c r="A807" s="16" t="s">
        <v>65</v>
      </c>
      <c r="B807" s="17">
        <v>45386.0</v>
      </c>
      <c r="C807" s="16" t="s">
        <v>410</v>
      </c>
      <c r="G807" s="10"/>
      <c r="H807" s="10" t="s">
        <v>31</v>
      </c>
      <c r="J807" s="16" t="s">
        <v>767</v>
      </c>
      <c r="K807" s="16" t="s">
        <v>33</v>
      </c>
      <c r="L807" s="14" t="s">
        <v>56</v>
      </c>
      <c r="Q807" s="17">
        <f t="shared" si="107"/>
        <v>45386</v>
      </c>
      <c r="S807" s="20"/>
      <c r="T807" s="20"/>
      <c r="U807" s="20"/>
      <c r="V807" s="20"/>
      <c r="W807" s="20"/>
      <c r="X807" s="20"/>
      <c r="Y807" s="20"/>
      <c r="Z807" s="20"/>
      <c r="AA807" s="20"/>
      <c r="AB807" s="20"/>
      <c r="AC807" s="20"/>
    </row>
    <row r="808" hidden="1">
      <c r="A808" s="16" t="s">
        <v>65</v>
      </c>
      <c r="B808" s="17">
        <v>45426.0</v>
      </c>
      <c r="C808" s="16" t="s">
        <v>67</v>
      </c>
      <c r="E808" s="17"/>
      <c r="G808" s="10"/>
      <c r="H808" s="16" t="s">
        <v>31</v>
      </c>
      <c r="J808" s="16" t="s">
        <v>859</v>
      </c>
      <c r="K808" s="16" t="s">
        <v>33</v>
      </c>
      <c r="L808" s="31" t="s">
        <v>56</v>
      </c>
      <c r="N808" s="16"/>
      <c r="O808" s="16"/>
      <c r="P808" s="16"/>
      <c r="Q808" s="17">
        <f t="shared" si="107"/>
        <v>45426</v>
      </c>
      <c r="S808" s="20"/>
      <c r="T808" s="20"/>
      <c r="U808" s="20"/>
      <c r="V808" s="20"/>
      <c r="W808" s="20"/>
      <c r="X808" s="20"/>
      <c r="Y808" s="20"/>
      <c r="Z808" s="20"/>
      <c r="AA808" s="20"/>
      <c r="AB808" s="20"/>
      <c r="AC808" s="20"/>
    </row>
    <row r="809" hidden="1">
      <c r="A809" s="16" t="s">
        <v>65</v>
      </c>
      <c r="B809" s="17">
        <v>45433.0</v>
      </c>
      <c r="C809" s="16" t="s">
        <v>410</v>
      </c>
      <c r="D809" s="16" t="s">
        <v>802</v>
      </c>
      <c r="E809" s="17"/>
      <c r="G809" s="17"/>
      <c r="H809" s="16" t="s">
        <v>31</v>
      </c>
      <c r="J809" s="16" t="s">
        <v>97</v>
      </c>
      <c r="K809" s="16" t="s">
        <v>33</v>
      </c>
      <c r="L809" s="31" t="s">
        <v>56</v>
      </c>
      <c r="N809" s="55" t="s">
        <v>860</v>
      </c>
      <c r="O809" s="16"/>
      <c r="P809" s="16"/>
      <c r="Q809" s="17">
        <f t="shared" si="107"/>
        <v>45433</v>
      </c>
      <c r="S809" s="20"/>
      <c r="T809" s="20" t="str">
        <f>VLOOKUP(A809,'Calendar ID'!$A$2:$C$15,3)</f>
        <v>imlolytahproacc@gmail.com</v>
      </c>
      <c r="U809" s="20" t="b">
        <v>0</v>
      </c>
      <c r="V809" s="20" t="str">
        <f>VLOOKUP($A809,'Calendar ID'!$A$2:$C$16,2,false)</f>
        <v>c_007bb5dfd61adc34e7d7f1093213e03f31b2abfb546bee3afc00b412de414680@group.calendar.google.com</v>
      </c>
      <c r="W809" s="19" t="b">
        <v>0</v>
      </c>
      <c r="X809" s="20" t="str">
        <f>VLOOKUP($A809,'Calendar ID'!$A$2:$C$16,2,false)</f>
        <v>c_007bb5dfd61adc34e7d7f1093213e03f31b2abfb546bee3afc00b412de414680@group.calendar.google.com</v>
      </c>
      <c r="Y809" s="20"/>
      <c r="Z809" s="20"/>
      <c r="AA809" s="20"/>
      <c r="AB809" s="20"/>
      <c r="AC809" s="20"/>
    </row>
    <row r="810" hidden="1">
      <c r="A810" s="16" t="s">
        <v>65</v>
      </c>
      <c r="B810" s="17">
        <v>45447.0</v>
      </c>
      <c r="C810" s="16" t="s">
        <v>140</v>
      </c>
      <c r="E810" s="17"/>
      <c r="G810" s="17"/>
      <c r="H810" s="16" t="s">
        <v>31</v>
      </c>
      <c r="J810" s="16" t="s">
        <v>97</v>
      </c>
      <c r="K810" s="16" t="s">
        <v>33</v>
      </c>
      <c r="L810" s="31" t="s">
        <v>56</v>
      </c>
      <c r="N810" s="16"/>
      <c r="O810" s="16"/>
      <c r="P810" s="16"/>
      <c r="Q810" s="17">
        <f t="shared" si="107"/>
        <v>45447</v>
      </c>
      <c r="S810" s="20"/>
      <c r="T810" s="20" t="str">
        <f>VLOOKUP(A810,'Calendar ID'!$A:$C,3,false)</f>
        <v>imlolytahproacc@gmail.com</v>
      </c>
      <c r="U810" s="20" t="b">
        <v>0</v>
      </c>
      <c r="V810" s="20" t="str">
        <f>VLOOKUP($A810,'Calendar ID'!$A:$C,2,false)</f>
        <v>c_007bb5dfd61adc34e7d7f1093213e03f31b2abfb546bee3afc00b412de414680@group.calendar.google.com</v>
      </c>
      <c r="W810" s="19" t="b">
        <v>0</v>
      </c>
      <c r="X810" s="20" t="str">
        <f>VLOOKUP($A810,'Calendar ID'!$A:$C,2,false)</f>
        <v>c_007bb5dfd61adc34e7d7f1093213e03f31b2abfb546bee3afc00b412de414680@group.calendar.google.com</v>
      </c>
      <c r="Y810" s="20"/>
      <c r="Z810" s="20"/>
      <c r="AA810" s="20"/>
      <c r="AB810" s="20"/>
      <c r="AC810" s="20"/>
    </row>
    <row r="811" hidden="1">
      <c r="A811" s="160" t="s">
        <v>65</v>
      </c>
      <c r="B811" s="17">
        <v>45407.0</v>
      </c>
      <c r="C811" s="16" t="s">
        <v>287</v>
      </c>
      <c r="E811" s="17"/>
      <c r="H811" s="16" t="s">
        <v>31</v>
      </c>
      <c r="J811" s="16" t="s">
        <v>97</v>
      </c>
      <c r="K811" s="14" t="s">
        <v>33</v>
      </c>
      <c r="L811" s="31" t="s">
        <v>56</v>
      </c>
      <c r="N811" s="55" t="s">
        <v>861</v>
      </c>
      <c r="O811" s="16"/>
      <c r="P811" s="16"/>
      <c r="Q811" s="17">
        <f t="shared" si="107"/>
        <v>45407</v>
      </c>
      <c r="S811" s="20"/>
      <c r="T811" s="20"/>
      <c r="U811" s="20"/>
      <c r="V811" s="20"/>
      <c r="W811" s="20"/>
      <c r="X811" s="20"/>
      <c r="Y811" s="20"/>
      <c r="Z811" s="20"/>
      <c r="AA811" s="20"/>
      <c r="AB811" s="20"/>
      <c r="AC811" s="20"/>
    </row>
    <row r="812" hidden="1">
      <c r="A812" s="16" t="s">
        <v>91</v>
      </c>
      <c r="B812" s="17">
        <v>45395.0</v>
      </c>
      <c r="C812" s="16" t="s">
        <v>220</v>
      </c>
      <c r="F812" s="28">
        <v>45383.0</v>
      </c>
      <c r="G812" s="30">
        <v>45396.0</v>
      </c>
      <c r="H812" s="10" t="s">
        <v>31</v>
      </c>
      <c r="J812" s="16" t="s">
        <v>43</v>
      </c>
      <c r="K812" s="14" t="s">
        <v>33</v>
      </c>
      <c r="L812" s="16" t="s">
        <v>56</v>
      </c>
      <c r="Q812" s="17">
        <f t="shared" si="107"/>
        <v>45395</v>
      </c>
      <c r="S812" s="20"/>
      <c r="T812" s="20"/>
      <c r="U812" s="20"/>
      <c r="V812" s="20"/>
      <c r="W812" s="20"/>
      <c r="X812" s="20"/>
      <c r="Y812" s="20"/>
      <c r="Z812" s="20"/>
      <c r="AA812" s="20"/>
      <c r="AB812" s="20"/>
      <c r="AC812" s="20"/>
    </row>
    <row r="813" hidden="1">
      <c r="A813" s="16" t="s">
        <v>91</v>
      </c>
      <c r="B813" s="17">
        <v>45395.0</v>
      </c>
      <c r="C813" s="16" t="s">
        <v>630</v>
      </c>
      <c r="F813" s="28">
        <v>45387.0</v>
      </c>
      <c r="G813" s="35">
        <v>45408.0</v>
      </c>
      <c r="H813" s="10" t="s">
        <v>31</v>
      </c>
      <c r="I813" s="16" t="s">
        <v>862</v>
      </c>
      <c r="J813" s="16" t="s">
        <v>43</v>
      </c>
      <c r="K813" s="14" t="s">
        <v>33</v>
      </c>
      <c r="L813" s="16" t="s">
        <v>56</v>
      </c>
      <c r="Q813" s="17">
        <f t="shared" si="107"/>
        <v>45395</v>
      </c>
      <c r="S813" s="20"/>
      <c r="T813" s="20"/>
      <c r="U813" s="20"/>
      <c r="V813" s="20"/>
      <c r="W813" s="20"/>
      <c r="X813" s="20"/>
      <c r="Y813" s="20"/>
      <c r="Z813" s="20"/>
      <c r="AA813" s="20"/>
      <c r="AB813" s="20"/>
      <c r="AC813" s="20"/>
    </row>
    <row r="814" hidden="1">
      <c r="A814" s="16" t="s">
        <v>91</v>
      </c>
      <c r="B814" s="17">
        <v>45401.0</v>
      </c>
      <c r="C814" s="16" t="s">
        <v>664</v>
      </c>
      <c r="G814" s="35">
        <v>45410.0</v>
      </c>
      <c r="H814" s="7" t="s">
        <v>31</v>
      </c>
      <c r="Q814" s="17">
        <f t="shared" si="107"/>
        <v>45401</v>
      </c>
      <c r="S814" s="20"/>
      <c r="T814" s="20"/>
      <c r="U814" s="20"/>
      <c r="V814" s="20"/>
      <c r="W814" s="20"/>
      <c r="X814" s="20"/>
      <c r="Y814" s="20"/>
      <c r="Z814" s="20"/>
      <c r="AA814" s="20"/>
      <c r="AB814" s="20"/>
      <c r="AC814" s="20"/>
    </row>
    <row r="815" hidden="1">
      <c r="A815" s="16" t="s">
        <v>91</v>
      </c>
      <c r="B815" s="17">
        <v>45401.0</v>
      </c>
      <c r="C815" s="16" t="s">
        <v>863</v>
      </c>
      <c r="E815" s="17"/>
      <c r="G815" s="182">
        <v>45415.0</v>
      </c>
      <c r="H815" s="7" t="s">
        <v>31</v>
      </c>
      <c r="K815" s="14" t="s">
        <v>33</v>
      </c>
      <c r="L815" s="31" t="s">
        <v>56</v>
      </c>
      <c r="N815" s="16"/>
      <c r="O815" s="16"/>
      <c r="P815" s="16"/>
      <c r="Q815" s="17">
        <f t="shared" si="107"/>
        <v>45401</v>
      </c>
      <c r="S815" s="20"/>
      <c r="T815" s="20"/>
      <c r="U815" s="20"/>
      <c r="V815" s="20"/>
      <c r="W815" s="20"/>
      <c r="X815" s="20"/>
      <c r="Y815" s="20"/>
      <c r="Z815" s="20"/>
      <c r="AA815" s="20"/>
      <c r="AB815" s="20"/>
      <c r="AC815" s="20"/>
    </row>
    <row r="816" hidden="1">
      <c r="A816" s="16" t="s">
        <v>91</v>
      </c>
      <c r="B816" s="17">
        <v>45401.0</v>
      </c>
      <c r="C816" s="16" t="s">
        <v>864</v>
      </c>
      <c r="G816" s="182">
        <v>45415.0</v>
      </c>
      <c r="H816" s="16" t="s">
        <v>31</v>
      </c>
      <c r="Q816" s="17">
        <f t="shared" si="107"/>
        <v>45401</v>
      </c>
      <c r="S816" s="19" t="b">
        <v>0</v>
      </c>
      <c r="T816" s="20"/>
      <c r="U816" s="20"/>
      <c r="V816" s="20"/>
      <c r="W816" s="20"/>
      <c r="X816" s="20"/>
      <c r="Y816" s="20"/>
      <c r="Z816" s="20"/>
      <c r="AA816" s="20"/>
      <c r="AB816" s="20"/>
      <c r="AC816" s="20"/>
    </row>
    <row r="817" hidden="1">
      <c r="A817" s="16" t="s">
        <v>91</v>
      </c>
      <c r="B817" s="17">
        <v>45409.0</v>
      </c>
      <c r="C817" s="29" t="s">
        <v>101</v>
      </c>
      <c r="E817" s="17"/>
      <c r="G817" s="44">
        <v>45437.0</v>
      </c>
      <c r="H817" s="16" t="s">
        <v>31</v>
      </c>
      <c r="K817" s="16"/>
      <c r="L817" s="31"/>
      <c r="N817" s="16"/>
      <c r="O817" s="16"/>
      <c r="P817" s="16"/>
      <c r="Q817" s="17">
        <f t="shared" si="107"/>
        <v>45409</v>
      </c>
      <c r="S817" s="20"/>
      <c r="T817" s="20"/>
      <c r="U817" s="20"/>
      <c r="V817" s="20"/>
      <c r="W817" s="20"/>
      <c r="X817" s="20"/>
      <c r="Y817" s="20"/>
      <c r="Z817" s="20"/>
      <c r="AA817" s="20"/>
      <c r="AB817" s="20"/>
      <c r="AC817" s="20"/>
    </row>
    <row r="818" hidden="1">
      <c r="A818" s="16" t="s">
        <v>91</v>
      </c>
      <c r="B818" s="17">
        <v>45404.0</v>
      </c>
      <c r="C818" s="29" t="s">
        <v>667</v>
      </c>
      <c r="E818" s="17"/>
      <c r="F818" s="17"/>
      <c r="G818" s="48">
        <v>45440.0</v>
      </c>
      <c r="H818" s="16" t="s">
        <v>31</v>
      </c>
      <c r="I818" s="55" t="s">
        <v>668</v>
      </c>
      <c r="J818" s="16" t="s">
        <v>43</v>
      </c>
      <c r="K818" s="14" t="s">
        <v>33</v>
      </c>
      <c r="L818" s="31" t="s">
        <v>56</v>
      </c>
      <c r="N818" s="16"/>
      <c r="O818" s="16"/>
      <c r="P818" s="16"/>
      <c r="Q818" s="17">
        <f t="shared" si="107"/>
        <v>45404</v>
      </c>
      <c r="S818" s="20"/>
      <c r="T818" s="20"/>
      <c r="U818" s="20"/>
      <c r="V818" s="20"/>
      <c r="W818" s="20"/>
      <c r="X818" s="20"/>
      <c r="Y818" s="20"/>
      <c r="Z818" s="20"/>
      <c r="AA818" s="20"/>
      <c r="AB818" s="20"/>
      <c r="AC818" s="20"/>
    </row>
    <row r="819" hidden="1">
      <c r="A819" s="16" t="s">
        <v>91</v>
      </c>
      <c r="B819" s="17">
        <v>45406.0</v>
      </c>
      <c r="C819" s="16" t="s">
        <v>672</v>
      </c>
      <c r="E819" s="17"/>
      <c r="G819" s="139">
        <v>45448.0</v>
      </c>
      <c r="H819" s="16" t="s">
        <v>31</v>
      </c>
      <c r="I819" s="16" t="s">
        <v>670</v>
      </c>
      <c r="J819" s="16" t="s">
        <v>659</v>
      </c>
      <c r="K819" s="14" t="s">
        <v>33</v>
      </c>
      <c r="L819" s="31" t="s">
        <v>56</v>
      </c>
      <c r="N819" s="55" t="s">
        <v>865</v>
      </c>
      <c r="O819" s="16"/>
      <c r="P819" s="16"/>
      <c r="Q819" s="17">
        <f t="shared" si="107"/>
        <v>45406</v>
      </c>
      <c r="S819" s="20"/>
      <c r="T819" s="20"/>
      <c r="U819" s="20"/>
      <c r="V819" s="20"/>
      <c r="W819" s="20"/>
      <c r="X819" s="20"/>
      <c r="Y819" s="20"/>
      <c r="Z819" s="20"/>
      <c r="AA819" s="20"/>
      <c r="AB819" s="20"/>
      <c r="AC819" s="20"/>
    </row>
    <row r="820" hidden="1">
      <c r="A820" s="16" t="s">
        <v>91</v>
      </c>
      <c r="B820" s="17">
        <v>45442.0</v>
      </c>
      <c r="C820" s="16" t="s">
        <v>679</v>
      </c>
      <c r="E820" s="17"/>
      <c r="F820" s="53">
        <v>45460.0</v>
      </c>
      <c r="G820" s="58">
        <v>45473.0</v>
      </c>
      <c r="H820" s="16" t="s">
        <v>31</v>
      </c>
      <c r="J820" s="16" t="s">
        <v>43</v>
      </c>
      <c r="K820" s="16" t="s">
        <v>33</v>
      </c>
      <c r="L820" s="31" t="s">
        <v>56</v>
      </c>
      <c r="N820" s="16"/>
      <c r="O820" s="16"/>
      <c r="P820" s="16"/>
      <c r="Q820" s="17">
        <f t="shared" si="107"/>
        <v>45442</v>
      </c>
      <c r="S820" s="20"/>
      <c r="T820" s="20" t="str">
        <f>VLOOKUP(A820,'Calendar ID'!$A:$C,3,false)</f>
        <v>juliane.bernard57@icloud.com</v>
      </c>
      <c r="U820" s="20" t="b">
        <v>0</v>
      </c>
      <c r="V820" s="20" t="str">
        <f>VLOOKUP($A820,'Calendar ID'!$A:$C,2,false)</f>
        <v>c_f6970d92e9be72b1307e3c015a265d69ae87140c691e7728bc83462544d82455@group.calendar.google.com</v>
      </c>
      <c r="W820" s="19" t="b">
        <v>0</v>
      </c>
      <c r="X820" s="20" t="str">
        <f>VLOOKUP($A820,'Calendar ID'!$A:$C,2,false)</f>
        <v>c_f6970d92e9be72b1307e3c015a265d69ae87140c691e7728bc83462544d82455@group.calendar.google.com</v>
      </c>
      <c r="Y820" s="20"/>
      <c r="Z820" s="20"/>
      <c r="AA820" s="20"/>
      <c r="AB820" s="20"/>
      <c r="AC820" s="20"/>
    </row>
    <row r="821" hidden="1">
      <c r="A821" s="10" t="s">
        <v>91</v>
      </c>
      <c r="B821" s="11">
        <v>45454.0</v>
      </c>
      <c r="C821" s="16" t="s">
        <v>174</v>
      </c>
      <c r="D821" s="16" t="s">
        <v>685</v>
      </c>
      <c r="E821" s="26"/>
      <c r="F821" s="156">
        <v>45481.0</v>
      </c>
      <c r="G821" s="164">
        <v>45501.0</v>
      </c>
      <c r="H821" s="10" t="s">
        <v>31</v>
      </c>
      <c r="I821" s="7"/>
      <c r="J821" s="23" t="s">
        <v>43</v>
      </c>
      <c r="K821" s="23" t="s">
        <v>33</v>
      </c>
      <c r="L821" s="14" t="s">
        <v>56</v>
      </c>
      <c r="M821" s="7"/>
      <c r="N821" s="175" t="s">
        <v>866</v>
      </c>
      <c r="O821" s="23"/>
      <c r="P821" s="23"/>
      <c r="Q821" s="17">
        <f t="shared" si="107"/>
        <v>45454</v>
      </c>
      <c r="R821" s="7"/>
      <c r="S821" s="68"/>
      <c r="T821" s="20" t="str">
        <f>VLOOKUP(A821,'Calendar ID'!$A:$C,3,false)</f>
        <v>juliane.bernard57@icloud.com</v>
      </c>
      <c r="U821" s="20" t="b">
        <v>0</v>
      </c>
      <c r="V821" s="20" t="str">
        <f>VLOOKUP($A821,'Calendar ID'!$A:$C,2,false)</f>
        <v>c_f6970d92e9be72b1307e3c015a265d69ae87140c691e7728bc83462544d82455@group.calendar.google.com</v>
      </c>
      <c r="W821" s="19" t="b">
        <v>1</v>
      </c>
      <c r="X821" s="19" t="s">
        <v>82</v>
      </c>
      <c r="Y821" s="19"/>
      <c r="Z821" s="19"/>
      <c r="AA821" s="19"/>
      <c r="AB821" s="19"/>
      <c r="AC821" s="19"/>
    </row>
    <row r="822" hidden="1">
      <c r="A822" s="16" t="s">
        <v>91</v>
      </c>
      <c r="B822" s="17">
        <v>45503.0</v>
      </c>
      <c r="C822" s="16" t="s">
        <v>690</v>
      </c>
      <c r="E822" s="17"/>
      <c r="G822" s="17">
        <v>45522.0</v>
      </c>
      <c r="H822" s="10" t="s">
        <v>31</v>
      </c>
      <c r="I822" s="16" t="s">
        <v>807</v>
      </c>
      <c r="J822" s="16" t="s">
        <v>97</v>
      </c>
      <c r="K822" s="23" t="s">
        <v>33</v>
      </c>
      <c r="L822" s="31" t="s">
        <v>56</v>
      </c>
      <c r="N822" s="16"/>
      <c r="O822" s="16"/>
      <c r="P822" s="16"/>
      <c r="Q822" s="17">
        <f t="shared" si="107"/>
        <v>45503</v>
      </c>
      <c r="S822" s="20"/>
      <c r="T822" s="68" t="str">
        <f>VLOOKUP(A822,'Calendar ID'!$A:$C,3,false)</f>
        <v>juliane.bernard57@icloud.com</v>
      </c>
      <c r="U822" s="71" t="b">
        <v>0</v>
      </c>
      <c r="V822" s="68" t="str">
        <f>VLOOKUP($A822,'Calendar ID'!$A:$C,2,false)</f>
        <v>c_f6970d92e9be72b1307e3c015a265d69ae87140c691e7728bc83462544d82455@group.calendar.google.com</v>
      </c>
      <c r="W822" s="69" t="b">
        <v>0</v>
      </c>
      <c r="X822" s="68" t="str">
        <f>VLOOKUP($A822,'Calendar ID'!$A:$C,2,false)</f>
        <v>c_f6970d92e9be72b1307e3c015a265d69ae87140c691e7728bc83462544d82455@group.calendar.google.com</v>
      </c>
      <c r="Y822" s="20"/>
      <c r="Z822" s="20"/>
      <c r="AA822" s="19" t="s">
        <v>158</v>
      </c>
      <c r="AB822" s="20"/>
      <c r="AC822" s="20"/>
    </row>
    <row r="823" hidden="1">
      <c r="A823" s="16" t="s">
        <v>91</v>
      </c>
      <c r="B823" s="17">
        <v>45530.0</v>
      </c>
      <c r="C823" s="16" t="s">
        <v>819</v>
      </c>
      <c r="D823" s="16" t="s">
        <v>641</v>
      </c>
      <c r="E823" s="17"/>
      <c r="F823" s="17">
        <v>45533.0</v>
      </c>
      <c r="G823" s="17">
        <v>45554.0</v>
      </c>
      <c r="H823" s="10" t="s">
        <v>31</v>
      </c>
      <c r="J823" s="16" t="s">
        <v>43</v>
      </c>
      <c r="K823" s="23" t="s">
        <v>33</v>
      </c>
      <c r="L823" s="31" t="s">
        <v>56</v>
      </c>
      <c r="N823" s="55" t="s">
        <v>867</v>
      </c>
      <c r="O823" s="16"/>
      <c r="P823" s="16"/>
      <c r="Q823" s="17">
        <f t="shared" si="107"/>
        <v>45530</v>
      </c>
      <c r="S823" s="20"/>
      <c r="T823" s="68" t="str">
        <f>VLOOKUP(A823,'Calendar ID'!$A:$C,3,false)</f>
        <v>juliane.bernard57@icloud.com</v>
      </c>
      <c r="U823" s="78" t="b">
        <v>0</v>
      </c>
      <c r="V823" s="68" t="str">
        <f>VLOOKUP($A823,'Calendar ID'!$A:$C,2,false)</f>
        <v>c_f6970d92e9be72b1307e3c015a265d69ae87140c691e7728bc83462544d82455@group.calendar.google.com</v>
      </c>
      <c r="W823" s="69" t="b">
        <v>0</v>
      </c>
      <c r="X823" s="70" t="s">
        <v>82</v>
      </c>
    </row>
    <row r="824" hidden="1">
      <c r="A824" s="16" t="s">
        <v>91</v>
      </c>
      <c r="B824" s="17">
        <v>45525.0</v>
      </c>
      <c r="C824" s="16" t="s">
        <v>175</v>
      </c>
      <c r="E824" s="17"/>
      <c r="F824" s="17">
        <v>45537.0</v>
      </c>
      <c r="G824" s="17">
        <v>45557.0</v>
      </c>
      <c r="H824" s="10" t="s">
        <v>31</v>
      </c>
      <c r="J824" s="16" t="s">
        <v>43</v>
      </c>
      <c r="K824" s="23" t="s">
        <v>33</v>
      </c>
      <c r="L824" s="31" t="s">
        <v>56</v>
      </c>
      <c r="N824" s="16"/>
      <c r="O824" s="16"/>
      <c r="P824" s="16"/>
      <c r="Q824" s="17">
        <f t="shared" si="107"/>
        <v>45525</v>
      </c>
      <c r="S824" s="20"/>
      <c r="T824" s="68" t="str">
        <f>VLOOKUP(A824,'Calendar ID'!$A:$C,3,false)</f>
        <v>juliane.bernard57@icloud.com</v>
      </c>
      <c r="U824" s="78" t="b">
        <v>0</v>
      </c>
      <c r="V824" s="68" t="str">
        <f>VLOOKUP($A824,'Calendar ID'!$A:$C,2,false)</f>
        <v>c_f6970d92e9be72b1307e3c015a265d69ae87140c691e7728bc83462544d82455@group.calendar.google.com</v>
      </c>
      <c r="W824" s="69" t="b">
        <v>1</v>
      </c>
      <c r="X824" s="70" t="s">
        <v>82</v>
      </c>
      <c r="AA824" s="16"/>
    </row>
    <row r="825" hidden="1">
      <c r="A825" s="16" t="s">
        <v>91</v>
      </c>
      <c r="B825" s="17">
        <v>45544.0</v>
      </c>
      <c r="C825" s="16" t="s">
        <v>220</v>
      </c>
      <c r="E825" s="17"/>
      <c r="F825" s="17">
        <v>45558.0</v>
      </c>
      <c r="G825" s="17">
        <v>45571.0</v>
      </c>
      <c r="H825" s="10" t="s">
        <v>31</v>
      </c>
      <c r="J825" s="16" t="s">
        <v>43</v>
      </c>
      <c r="K825" s="23" t="s">
        <v>33</v>
      </c>
      <c r="L825" s="31" t="s">
        <v>56</v>
      </c>
      <c r="N825" s="65" t="s">
        <v>868</v>
      </c>
      <c r="O825" s="16"/>
      <c r="P825" s="16"/>
      <c r="Q825" s="17">
        <f t="shared" si="107"/>
        <v>45544</v>
      </c>
      <c r="S825" s="20"/>
      <c r="T825" s="68" t="str">
        <f>VLOOKUP(A825,'Calendar ID'!$A:$C,3,false)</f>
        <v>juliane.bernard57@icloud.com</v>
      </c>
      <c r="U825" s="78" t="b">
        <v>0</v>
      </c>
      <c r="V825" s="68" t="str">
        <f>VLOOKUP($A825,'Calendar ID'!$A:$C,2,false)</f>
        <v>c_f6970d92e9be72b1307e3c015a265d69ae87140c691e7728bc83462544d82455@group.calendar.google.com</v>
      </c>
      <c r="W825" s="69" t="b">
        <v>1</v>
      </c>
      <c r="X825" s="70" t="s">
        <v>82</v>
      </c>
    </row>
    <row r="826" hidden="1">
      <c r="A826" s="16" t="s">
        <v>91</v>
      </c>
      <c r="B826" s="17">
        <v>45545.0</v>
      </c>
      <c r="C826" s="16" t="s">
        <v>869</v>
      </c>
      <c r="E826" s="17"/>
      <c r="F826" s="17"/>
      <c r="G826" s="11">
        <v>45575.0</v>
      </c>
      <c r="H826" s="10" t="s">
        <v>31</v>
      </c>
      <c r="J826" s="16" t="s">
        <v>43</v>
      </c>
      <c r="K826" s="23" t="s">
        <v>33</v>
      </c>
      <c r="L826" s="31" t="s">
        <v>56</v>
      </c>
      <c r="N826" s="65" t="s">
        <v>870</v>
      </c>
      <c r="O826" s="16"/>
      <c r="P826" s="16"/>
      <c r="Q826" s="17">
        <f t="shared" si="107"/>
        <v>45545</v>
      </c>
      <c r="S826" s="20"/>
      <c r="T826" s="68" t="str">
        <f>VLOOKUP(A826,'Calendar ID'!$A:$C,3,false)</f>
        <v>juliane.bernard57@icloud.com</v>
      </c>
      <c r="U826" s="78" t="b">
        <v>0</v>
      </c>
      <c r="V826" s="68" t="str">
        <f>VLOOKUP($A826,'Calendar ID'!$A:$C,2,false)</f>
        <v>c_f6970d92e9be72b1307e3c015a265d69ae87140c691e7728bc83462544d82455@group.calendar.google.com</v>
      </c>
      <c r="W826" s="69" t="b">
        <v>1</v>
      </c>
      <c r="X826" s="70" t="s">
        <v>82</v>
      </c>
    </row>
    <row r="827" hidden="1">
      <c r="A827" s="16" t="s">
        <v>91</v>
      </c>
      <c r="B827" s="17">
        <v>45565.0</v>
      </c>
      <c r="C827" s="16" t="s">
        <v>630</v>
      </c>
      <c r="D827" s="16" t="s">
        <v>704</v>
      </c>
      <c r="E827" s="17"/>
      <c r="F827" s="17">
        <v>45566.0</v>
      </c>
      <c r="G827" s="17">
        <v>45587.0</v>
      </c>
      <c r="H827" s="10" t="s">
        <v>31</v>
      </c>
      <c r="J827" s="16" t="s">
        <v>43</v>
      </c>
      <c r="K827" s="23" t="s">
        <v>33</v>
      </c>
      <c r="L827" s="31" t="s">
        <v>56</v>
      </c>
      <c r="N827" s="55" t="s">
        <v>871</v>
      </c>
      <c r="O827" s="16"/>
      <c r="P827" s="16"/>
      <c r="Q827" s="17">
        <f t="shared" si="107"/>
        <v>45565</v>
      </c>
      <c r="S827" s="20"/>
      <c r="T827" s="68" t="str">
        <f>VLOOKUP(A827,'Calendar ID'!$A:$C,3,false)</f>
        <v>juliane.bernard57@icloud.com</v>
      </c>
      <c r="U827" s="78" t="b">
        <v>0</v>
      </c>
      <c r="V827" s="68" t="str">
        <f>VLOOKUP($A827,'Calendar ID'!$A:$C,2,false)</f>
        <v>c_f6970d92e9be72b1307e3c015a265d69ae87140c691e7728bc83462544d82455@group.calendar.google.com</v>
      </c>
      <c r="W827" s="69" t="b">
        <v>1</v>
      </c>
      <c r="X827" s="70" t="s">
        <v>82</v>
      </c>
    </row>
    <row r="828" hidden="1">
      <c r="A828" s="16" t="s">
        <v>91</v>
      </c>
      <c r="B828" s="17">
        <v>45562.0</v>
      </c>
      <c r="C828" s="16" t="s">
        <v>256</v>
      </c>
      <c r="E828" s="17"/>
      <c r="F828" s="17">
        <v>45565.0</v>
      </c>
      <c r="G828" s="17">
        <v>45591.0</v>
      </c>
      <c r="H828" s="10" t="s">
        <v>31</v>
      </c>
      <c r="J828" s="23" t="s">
        <v>43</v>
      </c>
      <c r="K828" s="23" t="s">
        <v>33</v>
      </c>
      <c r="L828" s="31" t="s">
        <v>56</v>
      </c>
      <c r="N828" s="65" t="s">
        <v>872</v>
      </c>
      <c r="O828" s="16"/>
      <c r="P828" s="16"/>
      <c r="Q828" s="17">
        <f t="shared" si="107"/>
        <v>45562</v>
      </c>
      <c r="S828" s="20"/>
      <c r="T828" s="68" t="str">
        <f>VLOOKUP(A828,'Calendar ID'!$A:$C,3,false)</f>
        <v>juliane.bernard57@icloud.com</v>
      </c>
      <c r="U828" s="78" t="b">
        <v>0</v>
      </c>
      <c r="V828" s="68"/>
      <c r="W828" s="69" t="b">
        <v>1</v>
      </c>
      <c r="X828" s="70" t="s">
        <v>82</v>
      </c>
    </row>
    <row r="829" hidden="1">
      <c r="A829" s="16" t="s">
        <v>91</v>
      </c>
      <c r="B829" s="17">
        <v>45601.0</v>
      </c>
      <c r="C829" s="16" t="s">
        <v>713</v>
      </c>
      <c r="E829" s="17"/>
      <c r="F829" s="17">
        <v>45602.0</v>
      </c>
      <c r="G829" s="17">
        <v>45623.0</v>
      </c>
      <c r="H829" s="10" t="s">
        <v>31</v>
      </c>
      <c r="I829" s="16" t="s">
        <v>873</v>
      </c>
      <c r="J829" s="16" t="s">
        <v>593</v>
      </c>
      <c r="K829" s="23" t="s">
        <v>33</v>
      </c>
      <c r="L829" s="31" t="s">
        <v>56</v>
      </c>
      <c r="N829" s="16"/>
      <c r="O829" s="16"/>
      <c r="P829" s="16"/>
      <c r="Q829" s="17">
        <f t="shared" si="107"/>
        <v>45601</v>
      </c>
      <c r="S829" s="20"/>
      <c r="T829" s="68" t="str">
        <f>VLOOKUP(A829,'Calendar ID'!$A:$C,3,false)</f>
        <v>juliane.bernard57@icloud.com</v>
      </c>
      <c r="U829" s="77" t="b">
        <v>0</v>
      </c>
      <c r="V829" s="68" t="str">
        <f>VLOOKUP($A829,'Calendar ID'!$A:$C,2,false)</f>
        <v>c_f6970d92e9be72b1307e3c015a265d69ae87140c691e7728bc83462544d82455@group.calendar.google.com</v>
      </c>
      <c r="W829" s="77" t="b">
        <v>1</v>
      </c>
      <c r="X829" s="70" t="s">
        <v>82</v>
      </c>
    </row>
    <row r="830" hidden="1">
      <c r="A830" s="16" t="s">
        <v>91</v>
      </c>
      <c r="B830" s="17">
        <v>45628.0</v>
      </c>
      <c r="C830" s="16" t="s">
        <v>651</v>
      </c>
      <c r="E830" s="17"/>
      <c r="F830" s="17">
        <v>45630.0</v>
      </c>
      <c r="G830" s="17">
        <v>45651.0</v>
      </c>
      <c r="H830" s="10" t="s">
        <v>31</v>
      </c>
      <c r="J830" s="16" t="s">
        <v>593</v>
      </c>
      <c r="K830" s="23" t="s">
        <v>33</v>
      </c>
      <c r="L830" s="31" t="s">
        <v>56</v>
      </c>
      <c r="N830" s="16"/>
      <c r="O830" s="16"/>
      <c r="P830" s="16"/>
      <c r="Q830" s="17">
        <f t="shared" si="107"/>
        <v>45628</v>
      </c>
      <c r="S830" s="20"/>
      <c r="T830" s="68" t="str">
        <f>VLOOKUP(A830,'Calendar ID'!$A:$C,3,false)</f>
        <v>juliane.bernard57@icloud.com</v>
      </c>
      <c r="U830" s="71" t="b">
        <v>0</v>
      </c>
      <c r="V830" s="68" t="str">
        <f>VLOOKUP($A830,'Calendar ID'!$A:$C,2,false)</f>
        <v>c_f6970d92e9be72b1307e3c015a265d69ae87140c691e7728bc83462544d82455@group.calendar.google.com</v>
      </c>
      <c r="W830" s="71" t="b">
        <v>0</v>
      </c>
      <c r="X830" s="68" t="str">
        <f>VLOOKUP($A830,'Calendar ID'!$A:$C,2,false)</f>
        <v>c_f6970d92e9be72b1307e3c015a265d69ae87140c691e7728bc83462544d82455@group.calendar.google.com</v>
      </c>
    </row>
    <row r="831" hidden="1">
      <c r="A831" s="16" t="s">
        <v>91</v>
      </c>
      <c r="B831" s="17">
        <v>45630.0</v>
      </c>
      <c r="C831" s="16" t="s">
        <v>636</v>
      </c>
      <c r="E831" s="17"/>
      <c r="F831" s="17">
        <v>45638.0</v>
      </c>
      <c r="G831" s="95">
        <v>45659.0</v>
      </c>
      <c r="H831" s="10" t="s">
        <v>31</v>
      </c>
      <c r="J831" s="16" t="s">
        <v>593</v>
      </c>
      <c r="K831" s="23" t="s">
        <v>33</v>
      </c>
      <c r="L831" s="31" t="s">
        <v>56</v>
      </c>
      <c r="N831" s="16"/>
      <c r="O831" s="16"/>
      <c r="P831" s="16"/>
      <c r="Q831" s="17">
        <f t="shared" si="107"/>
        <v>45630</v>
      </c>
      <c r="S831" s="20"/>
      <c r="T831" s="68" t="str">
        <f>VLOOKUP(A831,'Calendar ID'!$A:$C,3,false)</f>
        <v>juliane.bernard57@icloud.com</v>
      </c>
      <c r="U831" s="77" t="b">
        <v>0</v>
      </c>
      <c r="V831" s="68" t="str">
        <f>VLOOKUP($A831,'Calendar ID'!$A:$C,2,false)</f>
        <v>c_f6970d92e9be72b1307e3c015a265d69ae87140c691e7728bc83462544d82455@group.calendar.google.com</v>
      </c>
      <c r="W831" s="77" t="b">
        <v>1</v>
      </c>
      <c r="X831" s="70" t="s">
        <v>82</v>
      </c>
    </row>
    <row r="832" hidden="1">
      <c r="A832" s="16" t="s">
        <v>91</v>
      </c>
      <c r="B832" s="17">
        <v>45664.0</v>
      </c>
      <c r="C832" s="16" t="s">
        <v>713</v>
      </c>
      <c r="E832" s="17"/>
      <c r="F832" s="96">
        <v>45666.0</v>
      </c>
      <c r="G832" s="105">
        <v>45685.0</v>
      </c>
      <c r="H832" s="10" t="s">
        <v>31</v>
      </c>
      <c r="J832" s="16" t="s">
        <v>593</v>
      </c>
      <c r="K832" s="23" t="s">
        <v>33</v>
      </c>
      <c r="L832" s="31" t="s">
        <v>56</v>
      </c>
      <c r="N832" s="16"/>
      <c r="O832" s="16"/>
      <c r="P832" s="16"/>
      <c r="Q832" s="17">
        <f t="shared" si="107"/>
        <v>45664</v>
      </c>
      <c r="S832" s="20"/>
      <c r="T832" s="68" t="str">
        <f>VLOOKUP(A832,'Calendar ID'!$A:$C,3,false)</f>
        <v>juliane.bernard57@icloud.com</v>
      </c>
      <c r="U832" s="69" t="b">
        <v>0</v>
      </c>
      <c r="V832" s="68" t="str">
        <f>VLOOKUP($A832,'Calendar ID'!$A:$C,2,false)</f>
        <v>c_f6970d92e9be72b1307e3c015a265d69ae87140c691e7728bc83462544d82455@group.calendar.google.com</v>
      </c>
      <c r="W832" s="69" t="b">
        <v>1</v>
      </c>
      <c r="X832" s="70" t="s">
        <v>82</v>
      </c>
    </row>
    <row r="833" hidden="1">
      <c r="A833" s="16" t="s">
        <v>91</v>
      </c>
      <c r="B833" s="17">
        <v>45664.0</v>
      </c>
      <c r="C833" s="16" t="s">
        <v>651</v>
      </c>
      <c r="E833" s="17"/>
      <c r="F833" s="96">
        <v>45666.0</v>
      </c>
      <c r="G833" s="106">
        <v>45695.0</v>
      </c>
      <c r="H833" s="10" t="s">
        <v>31</v>
      </c>
      <c r="J833" s="16" t="s">
        <v>593</v>
      </c>
      <c r="K833" s="23" t="s">
        <v>33</v>
      </c>
      <c r="L833" s="31" t="s">
        <v>56</v>
      </c>
      <c r="N833" s="16"/>
      <c r="O833" s="16"/>
      <c r="P833" s="16"/>
      <c r="Q833" s="17">
        <f t="shared" si="107"/>
        <v>45664</v>
      </c>
      <c r="S833" s="20"/>
      <c r="T833" s="68" t="str">
        <f>VLOOKUP(A833,'Calendar ID'!$A:$C,3,false)</f>
        <v>juliane.bernard57@icloud.com</v>
      </c>
      <c r="U833" s="69" t="b">
        <v>0</v>
      </c>
      <c r="V833" s="68" t="str">
        <f>VLOOKUP($A833,'Calendar ID'!$A:$C,2,false)</f>
        <v>c_f6970d92e9be72b1307e3c015a265d69ae87140c691e7728bc83462544d82455@group.calendar.google.com</v>
      </c>
      <c r="W833" s="69" t="b">
        <v>1</v>
      </c>
      <c r="X833" s="70" t="s">
        <v>82</v>
      </c>
    </row>
    <row r="834" hidden="1">
      <c r="A834" s="16" t="s">
        <v>91</v>
      </c>
      <c r="B834" s="17">
        <v>45306.0</v>
      </c>
      <c r="C834" s="16" t="s">
        <v>634</v>
      </c>
      <c r="E834" s="17"/>
      <c r="F834" s="17"/>
      <c r="G834" s="86">
        <v>45701.0</v>
      </c>
      <c r="H834" s="10" t="s">
        <v>31</v>
      </c>
      <c r="J834" s="16" t="s">
        <v>43</v>
      </c>
      <c r="K834" s="23" t="s">
        <v>33</v>
      </c>
      <c r="L834" s="31" t="s">
        <v>56</v>
      </c>
      <c r="N834" s="16"/>
      <c r="O834" s="16"/>
      <c r="P834" s="16"/>
      <c r="Q834" s="17">
        <f t="shared" si="107"/>
        <v>45306</v>
      </c>
      <c r="S834" s="20"/>
      <c r="T834" s="68" t="str">
        <f>VLOOKUP(A834,'Calendar ID'!$A:$C,3,false)</f>
        <v>juliane.bernard57@icloud.com</v>
      </c>
      <c r="U834" s="69" t="b">
        <v>0</v>
      </c>
      <c r="V834" s="68" t="str">
        <f>VLOOKUP($A834,'Calendar ID'!$A:$C,2,false)</f>
        <v>c_f6970d92e9be72b1307e3c015a265d69ae87140c691e7728bc83462544d82455@group.calendar.google.com</v>
      </c>
      <c r="W834" s="69" t="b">
        <v>1</v>
      </c>
      <c r="X834" s="70" t="s">
        <v>82</v>
      </c>
    </row>
    <row r="835" hidden="1">
      <c r="A835" s="16" t="s">
        <v>91</v>
      </c>
      <c r="B835" s="17">
        <v>45680.0</v>
      </c>
      <c r="C835" s="16" t="s">
        <v>717</v>
      </c>
      <c r="E835" s="17"/>
      <c r="F835" s="105">
        <v>45684.0</v>
      </c>
      <c r="G835" s="107">
        <v>45705.0</v>
      </c>
      <c r="H835" s="10" t="s">
        <v>31</v>
      </c>
      <c r="J835" s="16" t="s">
        <v>97</v>
      </c>
      <c r="K835" s="23" t="s">
        <v>33</v>
      </c>
      <c r="L835" s="31" t="s">
        <v>676</v>
      </c>
      <c r="N835" s="16"/>
      <c r="O835" s="16"/>
      <c r="P835" s="16"/>
      <c r="Q835" s="17">
        <f t="shared" si="107"/>
        <v>45680</v>
      </c>
      <c r="S835" s="20"/>
      <c r="T835" s="68" t="str">
        <f>VLOOKUP(A835,'Calendar ID'!$A:$C,3,false)</f>
        <v>juliane.bernard57@icloud.com</v>
      </c>
      <c r="U835" s="71" t="b">
        <v>0</v>
      </c>
      <c r="V835" s="68" t="str">
        <f>VLOOKUP($A835,'Calendar ID'!$A:$C,2,false)</f>
        <v>c_f6970d92e9be72b1307e3c015a265d69ae87140c691e7728bc83462544d82455@group.calendar.google.com</v>
      </c>
      <c r="W835" s="69" t="b">
        <v>1</v>
      </c>
      <c r="X835" s="70" t="s">
        <v>82</v>
      </c>
    </row>
    <row r="836" hidden="1">
      <c r="A836" s="16" t="s">
        <v>91</v>
      </c>
      <c r="B836" s="17">
        <v>45305.0</v>
      </c>
      <c r="C836" s="16" t="s">
        <v>220</v>
      </c>
      <c r="D836" s="16" t="s">
        <v>874</v>
      </c>
      <c r="E836" s="17"/>
      <c r="F836" s="106">
        <v>45691.0</v>
      </c>
      <c r="G836" s="107">
        <v>45709.0</v>
      </c>
      <c r="H836" s="10" t="s">
        <v>31</v>
      </c>
      <c r="J836" s="16" t="s">
        <v>43</v>
      </c>
      <c r="K836" s="23" t="s">
        <v>33</v>
      </c>
      <c r="L836" s="31" t="s">
        <v>56</v>
      </c>
      <c r="N836" s="65" t="s">
        <v>875</v>
      </c>
      <c r="O836" s="16"/>
      <c r="P836" s="16"/>
      <c r="Q836" s="17">
        <f t="shared" si="107"/>
        <v>45305</v>
      </c>
      <c r="S836" s="20"/>
      <c r="T836" s="68" t="str">
        <f>VLOOKUP(A836,'Calendar ID'!$A:$C,3,false)</f>
        <v>juliane.bernard57@icloud.com</v>
      </c>
      <c r="U836" s="71" t="b">
        <v>0</v>
      </c>
      <c r="V836" s="68" t="str">
        <f>VLOOKUP($A836,'Calendar ID'!$A:$C,2,false)</f>
        <v>c_f6970d92e9be72b1307e3c015a265d69ae87140c691e7728bc83462544d82455@group.calendar.google.com</v>
      </c>
      <c r="W836" s="69" t="b">
        <v>1</v>
      </c>
      <c r="X836" s="70" t="s">
        <v>82</v>
      </c>
    </row>
    <row r="837" hidden="1">
      <c r="A837" s="16" t="s">
        <v>91</v>
      </c>
      <c r="B837" s="17">
        <v>45674.0</v>
      </c>
      <c r="C837" s="16" t="s">
        <v>630</v>
      </c>
      <c r="E837" s="17"/>
      <c r="F837" s="97">
        <v>45677.0</v>
      </c>
      <c r="G837" s="107">
        <v>45711.0</v>
      </c>
      <c r="H837" s="10" t="s">
        <v>31</v>
      </c>
      <c r="J837" s="16" t="s">
        <v>43</v>
      </c>
      <c r="K837" s="23" t="s">
        <v>33</v>
      </c>
      <c r="L837" s="31" t="s">
        <v>56</v>
      </c>
      <c r="N837" s="55" t="s">
        <v>876</v>
      </c>
      <c r="Q837" s="17">
        <f t="shared" si="107"/>
        <v>45674</v>
      </c>
      <c r="S837" s="20"/>
      <c r="T837" s="68" t="str">
        <f>VLOOKUP(A837,'Calendar ID'!$A:$C,3,false)</f>
        <v>juliane.bernard57@icloud.com</v>
      </c>
      <c r="U837" s="77" t="b">
        <v>0</v>
      </c>
      <c r="V837" s="68" t="str">
        <f>VLOOKUP($A837,'Calendar ID'!$A:$C,2,false)</f>
        <v>c_f6970d92e9be72b1307e3c015a265d69ae87140c691e7728bc83462544d82455@group.calendar.google.com</v>
      </c>
      <c r="W837" s="77" t="b">
        <v>1</v>
      </c>
      <c r="X837" s="70" t="s">
        <v>82</v>
      </c>
    </row>
    <row r="838" hidden="1">
      <c r="A838" s="160" t="s">
        <v>91</v>
      </c>
      <c r="B838" s="17">
        <v>45711.0</v>
      </c>
      <c r="C838" s="16" t="s">
        <v>640</v>
      </c>
      <c r="E838" s="17"/>
      <c r="F838" s="107">
        <v>45715.0</v>
      </c>
      <c r="G838" s="122">
        <v>45736.0</v>
      </c>
      <c r="H838" s="10" t="s">
        <v>31</v>
      </c>
      <c r="J838" s="16" t="s">
        <v>641</v>
      </c>
      <c r="K838" s="16" t="s">
        <v>33</v>
      </c>
      <c r="L838" s="31" t="s">
        <v>56</v>
      </c>
      <c r="N838" s="65" t="s">
        <v>877</v>
      </c>
      <c r="O838" s="16"/>
      <c r="P838" s="16"/>
      <c r="Q838" s="17">
        <f t="shared" si="107"/>
        <v>45711</v>
      </c>
      <c r="S838" s="20"/>
      <c r="T838" s="68" t="str">
        <f>VLOOKUP(A838,'Calendar ID'!$A:$C,3,false)</f>
        <v>juliane.bernard57@icloud.com</v>
      </c>
      <c r="U838" s="71" t="b">
        <v>0</v>
      </c>
      <c r="V838" s="68" t="str">
        <f>VLOOKUP($A838,'Calendar ID'!$A:$C,2,false)</f>
        <v>c_f6970d92e9be72b1307e3c015a265d69ae87140c691e7728bc83462544d82455@group.calendar.google.com</v>
      </c>
      <c r="W838" s="69" t="b">
        <v>1</v>
      </c>
      <c r="X838" s="70" t="s">
        <v>82</v>
      </c>
    </row>
    <row r="839" hidden="1">
      <c r="A839" s="16" t="s">
        <v>91</v>
      </c>
      <c r="B839" s="17">
        <v>45695.0</v>
      </c>
      <c r="C839" s="16" t="s">
        <v>652</v>
      </c>
      <c r="E839" s="163"/>
      <c r="F839" s="94">
        <v>45722.0</v>
      </c>
      <c r="G839" s="122">
        <v>45737.0</v>
      </c>
      <c r="H839" s="10" t="s">
        <v>31</v>
      </c>
      <c r="I839" s="89" t="s">
        <v>653</v>
      </c>
      <c r="J839" s="16" t="s">
        <v>43</v>
      </c>
      <c r="K839" s="16" t="s">
        <v>33</v>
      </c>
      <c r="L839" s="31" t="s">
        <v>56</v>
      </c>
      <c r="N839" s="16"/>
      <c r="O839" s="16"/>
      <c r="P839" s="16"/>
      <c r="Q839" s="17">
        <f t="shared" si="107"/>
        <v>45695</v>
      </c>
      <c r="S839" s="20"/>
      <c r="T839" s="68" t="str">
        <f>VLOOKUP(A839,'Calendar ID'!$A:$C,3,false)</f>
        <v>juliane.bernard57@icloud.com</v>
      </c>
      <c r="U839" s="69" t="b">
        <v>0</v>
      </c>
      <c r="V839" s="68" t="str">
        <f>VLOOKUP($A839,'Calendar ID'!$A:$C,2,false)</f>
        <v>c_f6970d92e9be72b1307e3c015a265d69ae87140c691e7728bc83462544d82455@group.calendar.google.com</v>
      </c>
      <c r="W839" s="69" t="b">
        <v>1</v>
      </c>
      <c r="X839" s="70" t="s">
        <v>82</v>
      </c>
    </row>
    <row r="840" hidden="1">
      <c r="A840" s="16" t="s">
        <v>91</v>
      </c>
      <c r="B840" s="17">
        <v>45734.0</v>
      </c>
      <c r="C840" s="16" t="s">
        <v>630</v>
      </c>
      <c r="D840" s="16" t="s">
        <v>878</v>
      </c>
      <c r="E840" s="17"/>
      <c r="F840" s="94">
        <v>45741.0</v>
      </c>
      <c r="G840" s="28">
        <v>45753.0</v>
      </c>
      <c r="H840" s="10" t="s">
        <v>31</v>
      </c>
      <c r="J840" s="16" t="s">
        <v>43</v>
      </c>
      <c r="K840" s="16" t="s">
        <v>33</v>
      </c>
      <c r="L840" s="31" t="s">
        <v>56</v>
      </c>
      <c r="N840" s="16"/>
      <c r="O840" s="16"/>
      <c r="P840" s="23"/>
      <c r="Q840" s="17">
        <f t="shared" si="107"/>
        <v>45734</v>
      </c>
      <c r="R840" s="15"/>
      <c r="S840" s="20"/>
      <c r="T840" s="68" t="str">
        <f>VLOOKUP(A840,'Calendar ID'!$A:$C,3,false)</f>
        <v>juliane.bernard57@icloud.com</v>
      </c>
      <c r="U840" s="71" t="b">
        <v>0</v>
      </c>
      <c r="V840" s="68" t="str">
        <f>VLOOKUP($A840,'Calendar ID'!$A:$C,2,false)</f>
        <v>c_f6970d92e9be72b1307e3c015a265d69ae87140c691e7728bc83462544d82455@group.calendar.google.com</v>
      </c>
      <c r="W840" s="69" t="b">
        <v>1</v>
      </c>
      <c r="X840" s="70" t="s">
        <v>82</v>
      </c>
    </row>
    <row r="841" hidden="1">
      <c r="A841" s="16" t="s">
        <v>91</v>
      </c>
      <c r="B841" s="17">
        <v>45751.0</v>
      </c>
      <c r="C841" s="16" t="s">
        <v>624</v>
      </c>
      <c r="E841" s="17"/>
      <c r="F841" s="30">
        <v>45755.0</v>
      </c>
      <c r="G841" s="36">
        <f>F841+20</f>
        <v>45775</v>
      </c>
      <c r="H841" s="10" t="s">
        <v>31</v>
      </c>
      <c r="J841" s="16" t="s">
        <v>593</v>
      </c>
      <c r="K841" s="16" t="s">
        <v>33</v>
      </c>
      <c r="L841" s="31" t="s">
        <v>56</v>
      </c>
      <c r="N841" s="65" t="s">
        <v>879</v>
      </c>
      <c r="O841" s="16"/>
      <c r="P841" s="23"/>
      <c r="Q841" s="17">
        <f t="shared" si="107"/>
        <v>45751</v>
      </c>
      <c r="R841" s="15"/>
      <c r="S841" s="20"/>
      <c r="T841" s="68" t="str">
        <f>VLOOKUP(A841,'Calendar ID'!$A:$C,3,false)</f>
        <v>juliane.bernard57@icloud.com</v>
      </c>
      <c r="U841" s="71" t="b">
        <v>0</v>
      </c>
      <c r="V841" s="68" t="str">
        <f>VLOOKUP($A841,'Calendar ID'!$A:$C,2,false)</f>
        <v>c_f6970d92e9be72b1307e3c015a265d69ae87140c691e7728bc83462544d82455@group.calendar.google.com</v>
      </c>
      <c r="W841" s="71" t="b">
        <v>0</v>
      </c>
      <c r="X841" s="68" t="str">
        <f>VLOOKUP($A841,'Calendar ID'!$A:$C,2,false)</f>
        <v>c_f6970d92e9be72b1307e3c015a265d69ae87140c691e7728bc83462544d82455@group.calendar.google.com</v>
      </c>
    </row>
    <row r="842" hidden="1">
      <c r="A842" s="16" t="s">
        <v>91</v>
      </c>
      <c r="B842" s="17">
        <v>45430.0</v>
      </c>
      <c r="C842" s="16" t="s">
        <v>880</v>
      </c>
      <c r="E842" s="17"/>
      <c r="G842" s="17"/>
      <c r="H842" s="16" t="s">
        <v>31</v>
      </c>
      <c r="J842" s="16" t="s">
        <v>97</v>
      </c>
      <c r="K842" s="16" t="s">
        <v>33</v>
      </c>
      <c r="L842" s="31" t="s">
        <v>56</v>
      </c>
      <c r="N842" s="16"/>
      <c r="O842" s="16"/>
      <c r="P842" s="16"/>
      <c r="Q842" s="17">
        <f t="shared" si="107"/>
        <v>45430</v>
      </c>
      <c r="S842" s="20"/>
      <c r="T842" s="20" t="str">
        <f>VLOOKUP(A842,'Calendar ID'!$A:$C,3,false)</f>
        <v>juliane.bernard57@icloud.com</v>
      </c>
      <c r="U842" s="20" t="b">
        <v>0</v>
      </c>
      <c r="V842" s="20" t="str">
        <f>VLOOKUP($A842,'Calendar ID'!$A:$C,2,false)</f>
        <v>c_f6970d92e9be72b1307e3c015a265d69ae87140c691e7728bc83462544d82455@group.calendar.google.com</v>
      </c>
      <c r="W842" s="19" t="b">
        <v>0</v>
      </c>
      <c r="X842" s="20" t="str">
        <f>VLOOKUP($A842,'Calendar ID'!$A:$C,2,false)</f>
        <v>c_f6970d92e9be72b1307e3c015a265d69ae87140c691e7728bc83462544d82455@group.calendar.google.com</v>
      </c>
      <c r="Y842" s="20"/>
      <c r="Z842" s="20"/>
      <c r="AA842" s="20"/>
      <c r="AB842" s="20"/>
      <c r="AC842" s="20"/>
    </row>
    <row r="843" hidden="1">
      <c r="A843" s="16" t="s">
        <v>91</v>
      </c>
      <c r="B843" s="17">
        <v>45436.0</v>
      </c>
      <c r="C843" s="16" t="s">
        <v>881</v>
      </c>
      <c r="E843" s="17"/>
      <c r="G843" s="17"/>
      <c r="H843" s="16" t="s">
        <v>31</v>
      </c>
      <c r="J843" s="16" t="s">
        <v>97</v>
      </c>
      <c r="K843" s="16" t="s">
        <v>33</v>
      </c>
      <c r="L843" s="31" t="s">
        <v>56</v>
      </c>
      <c r="N843" s="16"/>
      <c r="O843" s="16"/>
      <c r="P843" s="16"/>
      <c r="Q843" s="17">
        <f t="shared" si="107"/>
        <v>45436</v>
      </c>
      <c r="S843" s="20"/>
      <c r="T843" s="20" t="str">
        <f>VLOOKUP(A843,'Calendar ID'!$A:$C,3,false)</f>
        <v>juliane.bernard57@icloud.com</v>
      </c>
      <c r="U843" s="20" t="b">
        <v>0</v>
      </c>
      <c r="V843" s="20" t="str">
        <f>VLOOKUP($A843,'Calendar ID'!$A:$C,2,false)</f>
        <v>c_f6970d92e9be72b1307e3c015a265d69ae87140c691e7728bc83462544d82455@group.calendar.google.com</v>
      </c>
      <c r="W843" s="19" t="b">
        <v>0</v>
      </c>
      <c r="X843" s="20" t="str">
        <f>VLOOKUP($A843,'Calendar ID'!$A:$C,2,false)</f>
        <v>c_f6970d92e9be72b1307e3c015a265d69ae87140c691e7728bc83462544d82455@group.calendar.google.com</v>
      </c>
      <c r="Y843" s="20"/>
      <c r="Z843" s="20"/>
      <c r="AA843" s="20"/>
      <c r="AB843" s="20"/>
      <c r="AC843" s="20"/>
    </row>
    <row r="844" hidden="1">
      <c r="A844" s="16" t="s">
        <v>588</v>
      </c>
      <c r="B844" s="17">
        <v>45561.0</v>
      </c>
      <c r="C844" s="16" t="s">
        <v>245</v>
      </c>
      <c r="E844" s="23"/>
      <c r="F844" s="17"/>
      <c r="G844" s="17"/>
      <c r="H844" s="10" t="s">
        <v>31</v>
      </c>
      <c r="J844" s="16" t="s">
        <v>43</v>
      </c>
      <c r="K844" s="23" t="s">
        <v>33</v>
      </c>
      <c r="L844" s="51">
        <v>100.0</v>
      </c>
      <c r="N844" s="16"/>
      <c r="O844" s="16"/>
      <c r="P844" s="16" t="s">
        <v>34</v>
      </c>
      <c r="Q844" s="17">
        <f t="shared" si="107"/>
        <v>45561</v>
      </c>
      <c r="R844" s="81">
        <f>L844*0.25</f>
        <v>25</v>
      </c>
      <c r="S844" s="20"/>
      <c r="T844" s="68" t="str">
        <f>VLOOKUP(A844,'Calendar ID'!$A:$C,3,false)</f>
        <v>Fontanel.lily@gmail.com</v>
      </c>
      <c r="U844" s="78" t="b">
        <v>0</v>
      </c>
      <c r="V844" s="68" t="str">
        <f>VLOOKUP($A844,'Calendar ID'!$A:$C,2,false)</f>
        <v>c_ef2f5a817a776785477f597bd1081d6a57d8380a8013026b8ce9895920f902e2@group.calendar.google.com</v>
      </c>
      <c r="W844" s="71" t="b">
        <v>0</v>
      </c>
      <c r="X844" s="68" t="str">
        <f>VLOOKUP($A844,'Calendar ID'!$A:$C,2,false)</f>
        <v>c_ef2f5a817a776785477f597bd1081d6a57d8380a8013026b8ce9895920f902e2@group.calendar.google.com</v>
      </c>
    </row>
    <row r="845" hidden="1">
      <c r="A845" s="16" t="s">
        <v>91</v>
      </c>
      <c r="B845" s="17">
        <v>45440.0</v>
      </c>
      <c r="C845" s="16" t="s">
        <v>773</v>
      </c>
      <c r="E845" s="17"/>
      <c r="G845" s="17"/>
      <c r="H845" s="16" t="s">
        <v>31</v>
      </c>
      <c r="J845" s="16" t="s">
        <v>97</v>
      </c>
      <c r="K845" s="16" t="s">
        <v>33</v>
      </c>
      <c r="L845" s="31" t="s">
        <v>56</v>
      </c>
      <c r="N845" s="55" t="s">
        <v>882</v>
      </c>
      <c r="Q845" s="17">
        <f t="shared" si="107"/>
        <v>45440</v>
      </c>
      <c r="S845" s="20"/>
      <c r="T845" s="20" t="str">
        <f>VLOOKUP(A845,'Calendar ID'!$A:$C,3,false)</f>
        <v>juliane.bernard57@icloud.com</v>
      </c>
      <c r="U845" s="20" t="b">
        <v>0</v>
      </c>
      <c r="V845" s="20" t="str">
        <f>VLOOKUP($A845,'Calendar ID'!$A:$C,2,false)</f>
        <v>c_f6970d92e9be72b1307e3c015a265d69ae87140c691e7728bc83462544d82455@group.calendar.google.com</v>
      </c>
      <c r="W845" s="19" t="b">
        <v>0</v>
      </c>
      <c r="X845" s="20" t="str">
        <f>VLOOKUP($A845,'Calendar ID'!$A:$C,2,false)</f>
        <v>c_f6970d92e9be72b1307e3c015a265d69ae87140c691e7728bc83462544d82455@group.calendar.google.com</v>
      </c>
      <c r="Y845" s="20"/>
      <c r="Z845" s="20"/>
      <c r="AA845" s="20"/>
      <c r="AB845" s="20"/>
      <c r="AC845" s="20"/>
    </row>
    <row r="846" hidden="1">
      <c r="A846" s="16" t="s">
        <v>91</v>
      </c>
      <c r="B846" s="17">
        <v>45442.0</v>
      </c>
      <c r="C846" s="16" t="s">
        <v>738</v>
      </c>
      <c r="E846" s="17"/>
      <c r="F846" s="17"/>
      <c r="G846" s="17"/>
      <c r="H846" s="16" t="s">
        <v>31</v>
      </c>
      <c r="J846" s="16" t="s">
        <v>43</v>
      </c>
      <c r="K846" s="16" t="s">
        <v>33</v>
      </c>
      <c r="L846" s="31" t="s">
        <v>56</v>
      </c>
      <c r="N846" s="16"/>
      <c r="O846" s="16"/>
      <c r="P846" s="16"/>
      <c r="Q846" s="17">
        <f t="shared" si="107"/>
        <v>45442</v>
      </c>
      <c r="S846" s="20"/>
      <c r="T846" s="20" t="str">
        <f>VLOOKUP(A846,'Calendar ID'!$A:$C,3,false)</f>
        <v>juliane.bernard57@icloud.com</v>
      </c>
      <c r="U846" s="20" t="b">
        <v>0</v>
      </c>
      <c r="V846" s="20" t="str">
        <f>VLOOKUP($A846,'Calendar ID'!$A:$C,2,false)</f>
        <v>c_f6970d92e9be72b1307e3c015a265d69ae87140c691e7728bc83462544d82455@group.calendar.google.com</v>
      </c>
      <c r="W846" s="19" t="b">
        <v>0</v>
      </c>
      <c r="X846" s="20" t="str">
        <f>VLOOKUP($A846,'Calendar ID'!$A:$C,2,false)</f>
        <v>c_f6970d92e9be72b1307e3c015a265d69ae87140c691e7728bc83462544d82455@group.calendar.google.com</v>
      </c>
      <c r="Y846" s="20"/>
      <c r="Z846" s="20"/>
      <c r="AA846" s="20"/>
      <c r="AB846" s="20"/>
      <c r="AC846" s="20"/>
    </row>
    <row r="847" hidden="1">
      <c r="A847" s="16" t="s">
        <v>91</v>
      </c>
      <c r="B847" s="17">
        <v>45447.0</v>
      </c>
      <c r="C847" s="16" t="s">
        <v>140</v>
      </c>
      <c r="E847" s="17"/>
      <c r="G847" s="17"/>
      <c r="H847" s="16" t="s">
        <v>31</v>
      </c>
      <c r="J847" s="16" t="s">
        <v>97</v>
      </c>
      <c r="K847" s="16" t="s">
        <v>33</v>
      </c>
      <c r="L847" s="31" t="s">
        <v>56</v>
      </c>
      <c r="N847" s="16"/>
      <c r="O847" s="16"/>
      <c r="P847" s="16"/>
      <c r="Q847" s="17">
        <f t="shared" si="107"/>
        <v>45447</v>
      </c>
      <c r="S847" s="20"/>
      <c r="T847" s="20" t="str">
        <f>VLOOKUP(A847,'Calendar ID'!$A:$C,3,false)</f>
        <v>juliane.bernard57@icloud.com</v>
      </c>
      <c r="U847" s="20" t="b">
        <v>0</v>
      </c>
      <c r="V847" s="20" t="str">
        <f>VLOOKUP($A847,'Calendar ID'!$A:$C,2,false)</f>
        <v>c_f6970d92e9be72b1307e3c015a265d69ae87140c691e7728bc83462544d82455@group.calendar.google.com</v>
      </c>
      <c r="W847" s="19" t="b">
        <v>0</v>
      </c>
      <c r="X847" s="20" t="str">
        <f>VLOOKUP($A847,'Calendar ID'!$A:$C,2,false)</f>
        <v>c_f6970d92e9be72b1307e3c015a265d69ae87140c691e7728bc83462544d82455@group.calendar.google.com</v>
      </c>
      <c r="Y847" s="20"/>
      <c r="Z847" s="20"/>
      <c r="AA847" s="20"/>
      <c r="AB847" s="20"/>
      <c r="AC847" s="20"/>
    </row>
    <row r="848" hidden="1">
      <c r="A848" s="16" t="s">
        <v>91</v>
      </c>
      <c r="B848" s="17">
        <v>45483.0</v>
      </c>
      <c r="C848" s="16" t="s">
        <v>226</v>
      </c>
      <c r="D848" s="17"/>
      <c r="E848" s="17"/>
      <c r="F848" s="17"/>
      <c r="G848" s="17"/>
      <c r="H848" s="10" t="s">
        <v>31</v>
      </c>
      <c r="J848" s="16" t="s">
        <v>266</v>
      </c>
      <c r="K848" s="23" t="s">
        <v>33</v>
      </c>
      <c r="L848" s="31" t="s">
        <v>56</v>
      </c>
      <c r="N848" s="16"/>
      <c r="O848" s="16"/>
      <c r="P848" s="16"/>
      <c r="Q848" s="17">
        <f t="shared" si="107"/>
        <v>45483</v>
      </c>
      <c r="S848" s="20"/>
      <c r="T848" s="68" t="str">
        <f>VLOOKUP(A848,'Calendar ID'!$A:$C,3,false)</f>
        <v>juliane.bernard57@icloud.com</v>
      </c>
      <c r="U848" s="71" t="b">
        <v>0</v>
      </c>
      <c r="V848" s="68" t="str">
        <f>VLOOKUP($A848,'Calendar ID'!$A:$C,2,false)</f>
        <v>c_f6970d92e9be72b1307e3c015a265d69ae87140c691e7728bc83462544d82455@group.calendar.google.com</v>
      </c>
      <c r="W848" s="71" t="b">
        <v>0</v>
      </c>
      <c r="X848" s="68" t="str">
        <f>VLOOKUP($A848,'Calendar ID'!$A:$C,2,false)</f>
        <v>c_f6970d92e9be72b1307e3c015a265d69ae87140c691e7728bc83462544d82455@group.calendar.google.com</v>
      </c>
      <c r="Y848" s="20"/>
      <c r="Z848" s="20"/>
      <c r="AA848" s="20"/>
      <c r="AB848" s="20"/>
      <c r="AC848" s="20"/>
    </row>
    <row r="849" hidden="1">
      <c r="A849" s="160" t="s">
        <v>91</v>
      </c>
      <c r="B849" s="17">
        <v>45407.0</v>
      </c>
      <c r="C849" s="16" t="s">
        <v>287</v>
      </c>
      <c r="E849" s="17"/>
      <c r="G849" s="10"/>
      <c r="H849" s="16" t="s">
        <v>31</v>
      </c>
      <c r="J849" s="16" t="s">
        <v>97</v>
      </c>
      <c r="K849" s="14" t="s">
        <v>33</v>
      </c>
      <c r="L849" s="31" t="s">
        <v>56</v>
      </c>
      <c r="N849" s="16"/>
      <c r="O849" s="16"/>
      <c r="P849" s="16"/>
      <c r="Q849" s="17">
        <f t="shared" si="107"/>
        <v>45407</v>
      </c>
      <c r="S849" s="20"/>
      <c r="T849" s="20" t="str">
        <f>VLOOKUP(A849,'Calendar ID'!$A:$C,3,false)</f>
        <v>juliane.bernard57@icloud.com</v>
      </c>
      <c r="U849" s="20" t="b">
        <v>0</v>
      </c>
      <c r="V849" s="20" t="str">
        <f>VLOOKUP($A849,'Calendar ID'!$A:$C,2,false)</f>
        <v>c_f6970d92e9be72b1307e3c015a265d69ae87140c691e7728bc83462544d82455@group.calendar.google.com</v>
      </c>
      <c r="W849" s="19" t="b">
        <v>0</v>
      </c>
      <c r="X849" s="20" t="str">
        <f>VLOOKUP($A849,'Calendar ID'!$A:$C,2,false)</f>
        <v>c_f6970d92e9be72b1307e3c015a265d69ae87140c691e7728bc83462544d82455@group.calendar.google.com</v>
      </c>
      <c r="Y849" s="20"/>
      <c r="Z849" s="20"/>
      <c r="AA849" s="20"/>
      <c r="AB849" s="20"/>
      <c r="AC849" s="20"/>
    </row>
    <row r="850" hidden="1">
      <c r="A850" s="16" t="s">
        <v>91</v>
      </c>
      <c r="B850" s="11">
        <v>45511.0</v>
      </c>
      <c r="C850" s="16" t="s">
        <v>724</v>
      </c>
      <c r="E850" s="17"/>
      <c r="G850" s="17"/>
      <c r="H850" s="10" t="s">
        <v>31</v>
      </c>
      <c r="J850" s="16" t="s">
        <v>97</v>
      </c>
      <c r="K850" s="23" t="s">
        <v>33</v>
      </c>
      <c r="L850" s="31" t="s">
        <v>56</v>
      </c>
      <c r="N850" s="16"/>
      <c r="O850" s="16"/>
      <c r="P850" s="16"/>
      <c r="Q850" s="17">
        <f t="shared" si="107"/>
        <v>45511</v>
      </c>
      <c r="S850" s="20"/>
      <c r="T850" s="68" t="str">
        <f>VLOOKUP(A850,'Calendar ID'!$A:$C,3,false)</f>
        <v>juliane.bernard57@icloud.com</v>
      </c>
      <c r="U850" s="78" t="b">
        <v>0</v>
      </c>
      <c r="V850" s="68" t="str">
        <f>VLOOKUP($A850,'Calendar ID'!$A:$C,2,false)</f>
        <v>c_f6970d92e9be72b1307e3c015a265d69ae87140c691e7728bc83462544d82455@group.calendar.google.com</v>
      </c>
      <c r="W850" s="71" t="b">
        <v>0</v>
      </c>
      <c r="X850" s="68" t="str">
        <f>VLOOKUP($A850,'Calendar ID'!$A:$C,2,false)</f>
        <v>c_f6970d92e9be72b1307e3c015a265d69ae87140c691e7728bc83462544d82455@group.calendar.google.com</v>
      </c>
      <c r="AA850" s="16" t="s">
        <v>158</v>
      </c>
    </row>
    <row r="851" hidden="1">
      <c r="A851" s="16" t="s">
        <v>91</v>
      </c>
      <c r="B851" s="17">
        <v>45517.0</v>
      </c>
      <c r="C851" s="16" t="s">
        <v>883</v>
      </c>
      <c r="E851" s="17"/>
      <c r="G851" s="17"/>
      <c r="H851" s="10" t="s">
        <v>31</v>
      </c>
      <c r="J851" s="16" t="s">
        <v>97</v>
      </c>
      <c r="K851" s="23" t="s">
        <v>33</v>
      </c>
      <c r="L851" s="31" t="s">
        <v>56</v>
      </c>
      <c r="N851" s="16"/>
      <c r="O851" s="16"/>
      <c r="P851" s="16"/>
      <c r="Q851" s="17">
        <f t="shared" si="107"/>
        <v>45517</v>
      </c>
      <c r="S851" s="20"/>
      <c r="T851" s="68" t="str">
        <f>VLOOKUP(A851,'Calendar ID'!$A:$C,3,false)</f>
        <v>juliane.bernard57@icloud.com</v>
      </c>
      <c r="U851" s="78" t="b">
        <v>0</v>
      </c>
      <c r="V851" s="68" t="str">
        <f>VLOOKUP($A851,'Calendar ID'!$A:$C,2,false)</f>
        <v>c_f6970d92e9be72b1307e3c015a265d69ae87140c691e7728bc83462544d82455@group.calendar.google.com</v>
      </c>
      <c r="W851" s="71" t="b">
        <v>0</v>
      </c>
      <c r="X851" s="68" t="str">
        <f>VLOOKUP($A851,'Calendar ID'!$A:$C,2,false)</f>
        <v>c_f6970d92e9be72b1307e3c015a265d69ae87140c691e7728bc83462544d82455@group.calendar.google.com</v>
      </c>
      <c r="AA851" s="16"/>
    </row>
    <row r="852" hidden="1">
      <c r="A852" s="16" t="s">
        <v>103</v>
      </c>
      <c r="B852" s="17">
        <v>45404.0</v>
      </c>
      <c r="C852" s="29" t="s">
        <v>667</v>
      </c>
      <c r="E852" s="17"/>
      <c r="F852" s="17"/>
      <c r="G852" s="48">
        <v>45440.0</v>
      </c>
      <c r="H852" s="16" t="s">
        <v>31</v>
      </c>
      <c r="I852" s="55" t="s">
        <v>668</v>
      </c>
      <c r="J852" s="16" t="s">
        <v>43</v>
      </c>
      <c r="K852" s="14" t="s">
        <v>33</v>
      </c>
      <c r="L852" s="31" t="s">
        <v>56</v>
      </c>
      <c r="M852" s="31"/>
      <c r="N852" s="55" t="s">
        <v>884</v>
      </c>
      <c r="O852" s="16"/>
      <c r="P852" s="16"/>
      <c r="Q852" s="17">
        <f t="shared" si="107"/>
        <v>45404</v>
      </c>
      <c r="S852" s="20"/>
      <c r="T852" s="20"/>
      <c r="U852" s="20"/>
      <c r="V852" s="20"/>
      <c r="W852" s="20"/>
      <c r="X852" s="20"/>
      <c r="Y852" s="20"/>
      <c r="Z852" s="20"/>
      <c r="AA852" s="20"/>
      <c r="AB852" s="20"/>
      <c r="AC852" s="20"/>
    </row>
    <row r="853" hidden="1">
      <c r="A853" s="16" t="s">
        <v>103</v>
      </c>
      <c r="B853" s="17">
        <v>45425.0</v>
      </c>
      <c r="C853" s="16" t="s">
        <v>651</v>
      </c>
      <c r="E853" s="17"/>
      <c r="G853" s="139">
        <v>45448.0</v>
      </c>
      <c r="H853" s="16" t="s">
        <v>31</v>
      </c>
      <c r="I853" s="16" t="s">
        <v>670</v>
      </c>
      <c r="J853" s="16" t="s">
        <v>659</v>
      </c>
      <c r="K853" s="16" t="s">
        <v>33</v>
      </c>
      <c r="L853" s="31" t="s">
        <v>56</v>
      </c>
      <c r="N853" s="65" t="s">
        <v>885</v>
      </c>
      <c r="O853" s="16"/>
      <c r="P853" s="16"/>
      <c r="Q853" s="17">
        <f t="shared" si="107"/>
        <v>45425</v>
      </c>
      <c r="S853" s="20"/>
      <c r="T853" s="20"/>
      <c r="U853" s="20"/>
      <c r="V853" s="20"/>
      <c r="W853" s="20"/>
      <c r="X853" s="20"/>
      <c r="Y853" s="20"/>
      <c r="Z853" s="20"/>
      <c r="AA853" s="20"/>
      <c r="AB853" s="20"/>
      <c r="AC853" s="20"/>
    </row>
    <row r="854" hidden="1">
      <c r="A854" s="16" t="s">
        <v>103</v>
      </c>
      <c r="B854" s="17">
        <v>45442.0</v>
      </c>
      <c r="C854" s="16" t="s">
        <v>679</v>
      </c>
      <c r="E854" s="17"/>
      <c r="F854" s="53">
        <v>45460.0</v>
      </c>
      <c r="G854" s="58">
        <v>45473.0</v>
      </c>
      <c r="H854" s="16" t="s">
        <v>31</v>
      </c>
      <c r="J854" s="16" t="s">
        <v>43</v>
      </c>
      <c r="K854" s="16" t="s">
        <v>33</v>
      </c>
      <c r="L854" s="31" t="s">
        <v>56</v>
      </c>
      <c r="N854" s="55" t="s">
        <v>886</v>
      </c>
      <c r="O854" s="16"/>
      <c r="P854" s="16"/>
      <c r="Q854" s="17">
        <f t="shared" si="107"/>
        <v>45442</v>
      </c>
      <c r="S854" s="20"/>
      <c r="T854" s="20" t="str">
        <f>VLOOKUP(A854,'Calendar ID'!$A:$C,3,false)</f>
        <v>lauclr.pro@gmail.com</v>
      </c>
      <c r="U854" s="20" t="b">
        <v>0</v>
      </c>
      <c r="V854" s="20" t="str">
        <f>VLOOKUP($A854,'Calendar ID'!$A:$C,2,false)</f>
        <v>c_d711460494b2c9d7a466bc3cd0cd029a9c5b76b083052f7dc41ad949a3753d20@group.calendar.google.com</v>
      </c>
      <c r="W854" s="19" t="b">
        <v>1</v>
      </c>
      <c r="X854" s="19" t="s">
        <v>82</v>
      </c>
      <c r="Y854" s="20"/>
      <c r="Z854" s="20"/>
      <c r="AA854" s="20"/>
      <c r="AB854" s="20"/>
      <c r="AC854" s="20"/>
    </row>
    <row r="855" hidden="1">
      <c r="A855" s="16" t="s">
        <v>103</v>
      </c>
      <c r="B855" s="17">
        <v>45442.0</v>
      </c>
      <c r="C855" s="16" t="s">
        <v>683</v>
      </c>
      <c r="E855" s="17"/>
      <c r="F855" s="53">
        <v>45463.0</v>
      </c>
      <c r="G855" s="67">
        <v>45488.0</v>
      </c>
      <c r="H855" s="16" t="s">
        <v>31</v>
      </c>
      <c r="J855" s="16" t="s">
        <v>43</v>
      </c>
      <c r="K855" s="16" t="s">
        <v>33</v>
      </c>
      <c r="L855" s="31" t="s">
        <v>56</v>
      </c>
      <c r="N855" s="16"/>
      <c r="O855" s="16"/>
      <c r="P855" s="16"/>
      <c r="Q855" s="17">
        <f t="shared" si="107"/>
        <v>45442</v>
      </c>
      <c r="S855" s="20"/>
      <c r="T855" s="20" t="str">
        <f>VLOOKUP(A855,'Calendar ID'!$A:$C,3,false)</f>
        <v>lauclr.pro@gmail.com</v>
      </c>
      <c r="U855" s="20" t="b">
        <v>0</v>
      </c>
      <c r="V855" s="20" t="str">
        <f>VLOOKUP($A855,'Calendar ID'!$A:$C,2,false)</f>
        <v>c_d711460494b2c9d7a466bc3cd0cd029a9c5b76b083052f7dc41ad949a3753d20@group.calendar.google.com</v>
      </c>
      <c r="W855" s="19" t="b">
        <v>0</v>
      </c>
      <c r="X855" s="20" t="str">
        <f>VLOOKUP($A855,'Calendar ID'!$A:$C,2,false)</f>
        <v>c_d711460494b2c9d7a466bc3cd0cd029a9c5b76b083052f7dc41ad949a3753d20@group.calendar.google.com</v>
      </c>
      <c r="Y855" s="20"/>
      <c r="Z855" s="20"/>
      <c r="AA855" s="20"/>
      <c r="AB855" s="20"/>
      <c r="AC855" s="20"/>
    </row>
    <row r="856" hidden="1">
      <c r="A856" s="16" t="s">
        <v>103</v>
      </c>
      <c r="B856" s="17">
        <v>45454.0</v>
      </c>
      <c r="C856" s="16" t="s">
        <v>174</v>
      </c>
      <c r="D856" s="16" t="s">
        <v>685</v>
      </c>
      <c r="E856" s="17"/>
      <c r="F856" s="64">
        <v>45481.0</v>
      </c>
      <c r="G856" s="164">
        <v>45501.0</v>
      </c>
      <c r="H856" s="16" t="s">
        <v>31</v>
      </c>
      <c r="J856" s="16" t="s">
        <v>43</v>
      </c>
      <c r="K856" s="16" t="s">
        <v>33</v>
      </c>
      <c r="L856" s="31" t="s">
        <v>56</v>
      </c>
      <c r="N856" s="16"/>
      <c r="O856" s="16"/>
      <c r="P856" s="16"/>
      <c r="Q856" s="17">
        <f t="shared" si="107"/>
        <v>45454</v>
      </c>
      <c r="S856" s="20"/>
      <c r="T856" s="20" t="str">
        <f>VLOOKUP(A856,'Calendar ID'!$A:$C,3,false)</f>
        <v>lauclr.pro@gmail.com</v>
      </c>
      <c r="U856" s="20" t="b">
        <v>0</v>
      </c>
      <c r="V856" s="20" t="str">
        <f>VLOOKUP($A856,'Calendar ID'!$A:$C,2,false)</f>
        <v>c_d711460494b2c9d7a466bc3cd0cd029a9c5b76b083052f7dc41ad949a3753d20@group.calendar.google.com</v>
      </c>
      <c r="W856" s="19" t="b">
        <v>1</v>
      </c>
      <c r="X856" s="19" t="s">
        <v>82</v>
      </c>
      <c r="Y856" s="20"/>
      <c r="Z856" s="20"/>
      <c r="AA856" s="20"/>
      <c r="AB856" s="20"/>
      <c r="AC856" s="20"/>
    </row>
    <row r="857" hidden="1">
      <c r="A857" s="16" t="s">
        <v>103</v>
      </c>
      <c r="B857" s="17">
        <v>45497.0</v>
      </c>
      <c r="C857" s="16" t="s">
        <v>690</v>
      </c>
      <c r="E857" s="17"/>
      <c r="F857" s="66">
        <v>45500.0</v>
      </c>
      <c r="G857" s="17">
        <v>45516.0</v>
      </c>
      <c r="H857" s="10" t="s">
        <v>31</v>
      </c>
      <c r="I857" s="16" t="s">
        <v>111</v>
      </c>
      <c r="J857" s="16" t="s">
        <v>97</v>
      </c>
      <c r="K857" s="23" t="s">
        <v>33</v>
      </c>
      <c r="L857" s="31" t="s">
        <v>56</v>
      </c>
      <c r="N857" s="55" t="s">
        <v>887</v>
      </c>
      <c r="O857" s="16"/>
      <c r="P857" s="16"/>
      <c r="Q857" s="17">
        <f t="shared" si="107"/>
        <v>45497</v>
      </c>
      <c r="S857" s="20"/>
      <c r="T857" s="20" t="str">
        <f>VLOOKUP(A857,'Calendar ID'!$A:$C,3,false)</f>
        <v>lauclr.pro@gmail.com</v>
      </c>
      <c r="U857" s="71" t="b">
        <v>0</v>
      </c>
      <c r="V857" s="68" t="str">
        <f>VLOOKUP($A857,'Calendar ID'!$A:$C,2,false)</f>
        <v>c_d711460494b2c9d7a466bc3cd0cd029a9c5b76b083052f7dc41ad949a3753d20@group.calendar.google.com</v>
      </c>
      <c r="W857" s="69" t="b">
        <v>1</v>
      </c>
      <c r="X857" s="70" t="s">
        <v>82</v>
      </c>
      <c r="Y857" s="20"/>
      <c r="Z857" s="20"/>
      <c r="AA857" s="20"/>
      <c r="AB857" s="20"/>
      <c r="AC857" s="20"/>
    </row>
    <row r="858" hidden="1">
      <c r="A858" s="23" t="s">
        <v>103</v>
      </c>
      <c r="B858" s="11">
        <v>45447.0</v>
      </c>
      <c r="C858" s="10" t="s">
        <v>888</v>
      </c>
      <c r="D858" s="7"/>
      <c r="E858" s="26"/>
      <c r="F858" s="7"/>
      <c r="G858" s="26"/>
      <c r="H858" s="10" t="s">
        <v>31</v>
      </c>
      <c r="I858" s="7"/>
      <c r="J858" s="16" t="s">
        <v>659</v>
      </c>
      <c r="K858" s="23" t="s">
        <v>33</v>
      </c>
      <c r="L858" s="14" t="s">
        <v>56</v>
      </c>
      <c r="M858" s="7"/>
      <c r="N858" s="23"/>
      <c r="O858" s="23"/>
      <c r="P858" s="23"/>
      <c r="Q858" s="17">
        <f t="shared" si="107"/>
        <v>45447</v>
      </c>
      <c r="R858" s="7"/>
      <c r="S858" s="68"/>
      <c r="T858" s="68" t="str">
        <f>VLOOKUP(A858,'Calendar ID'!$A:$C,3,false)</f>
        <v>lauclr.pro@gmail.com</v>
      </c>
      <c r="U858" s="71" t="b">
        <v>0</v>
      </c>
      <c r="V858" s="68" t="str">
        <f>VLOOKUP($A858,'Calendar ID'!$A:$C,2,false)</f>
        <v>c_d711460494b2c9d7a466bc3cd0cd029a9c5b76b083052f7dc41ad949a3753d20@group.calendar.google.com</v>
      </c>
      <c r="W858" s="71" t="b">
        <v>0</v>
      </c>
      <c r="X858" s="68" t="str">
        <f>VLOOKUP($A858,'Calendar ID'!$A:$C,2,false)</f>
        <v>c_d711460494b2c9d7a466bc3cd0cd029a9c5b76b083052f7dc41ad949a3753d20@group.calendar.google.com</v>
      </c>
      <c r="Y858" s="68"/>
      <c r="Z858" s="68"/>
      <c r="AA858" s="68"/>
      <c r="AB858" s="68"/>
      <c r="AC858" s="68"/>
    </row>
    <row r="859" hidden="1">
      <c r="A859" s="16" t="s">
        <v>103</v>
      </c>
      <c r="B859" s="17">
        <v>45447.0</v>
      </c>
      <c r="C859" s="16" t="s">
        <v>140</v>
      </c>
      <c r="E859" s="17"/>
      <c r="G859" s="17"/>
      <c r="H859" s="16" t="s">
        <v>31</v>
      </c>
      <c r="J859" s="16" t="s">
        <v>97</v>
      </c>
      <c r="K859" s="16" t="s">
        <v>33</v>
      </c>
      <c r="L859" s="31" t="s">
        <v>56</v>
      </c>
      <c r="N859" s="16"/>
      <c r="O859" s="16"/>
      <c r="P859" s="16"/>
      <c r="Q859" s="17">
        <f t="shared" si="107"/>
        <v>45447</v>
      </c>
      <c r="S859" s="20"/>
      <c r="T859" s="20" t="str">
        <f>VLOOKUP(A859,'Calendar ID'!$A:$C,3,false)</f>
        <v>lauclr.pro@gmail.com</v>
      </c>
      <c r="U859" s="20" t="b">
        <v>0</v>
      </c>
      <c r="V859" s="20" t="str">
        <f>VLOOKUP($A859,'Calendar ID'!$A:$C,2,false)</f>
        <v>c_d711460494b2c9d7a466bc3cd0cd029a9c5b76b083052f7dc41ad949a3753d20@group.calendar.google.com</v>
      </c>
      <c r="W859" s="19" t="b">
        <v>0</v>
      </c>
      <c r="X859" s="20" t="str">
        <f>VLOOKUP($A859,'Calendar ID'!$A:$C,2,false)</f>
        <v>c_d711460494b2c9d7a466bc3cd0cd029a9c5b76b083052f7dc41ad949a3753d20@group.calendar.google.com</v>
      </c>
      <c r="Y859" s="20"/>
      <c r="Z859" s="20"/>
      <c r="AA859" s="20"/>
      <c r="AB859" s="20"/>
      <c r="AC859" s="20"/>
    </row>
    <row r="860" hidden="1">
      <c r="A860" s="16" t="s">
        <v>103</v>
      </c>
      <c r="B860" s="17">
        <v>45450.0</v>
      </c>
      <c r="C860" s="16" t="s">
        <v>173</v>
      </c>
      <c r="E860" s="17"/>
      <c r="G860" s="17"/>
      <c r="H860" s="16" t="s">
        <v>31</v>
      </c>
      <c r="J860" s="16" t="s">
        <v>97</v>
      </c>
      <c r="K860" s="16" t="s">
        <v>33</v>
      </c>
      <c r="L860" s="31" t="s">
        <v>56</v>
      </c>
      <c r="N860" s="16"/>
      <c r="O860" s="16"/>
      <c r="P860" s="16"/>
      <c r="Q860" s="17">
        <f t="shared" si="107"/>
        <v>45450</v>
      </c>
      <c r="S860" s="20"/>
      <c r="T860" s="20" t="str">
        <f>VLOOKUP(A860,'Calendar ID'!$A:$C,3,false)</f>
        <v>lauclr.pro@gmail.com</v>
      </c>
      <c r="U860" s="20" t="b">
        <v>0</v>
      </c>
      <c r="V860" s="20" t="str">
        <f>VLOOKUP($A860,'Calendar ID'!$A:$C,2,false)</f>
        <v>c_d711460494b2c9d7a466bc3cd0cd029a9c5b76b083052f7dc41ad949a3753d20@group.calendar.google.com</v>
      </c>
      <c r="W860" s="19" t="b">
        <v>0</v>
      </c>
      <c r="X860" s="20" t="str">
        <f>VLOOKUP($A860,'Calendar ID'!$A:$C,2,false)</f>
        <v>c_d711460494b2c9d7a466bc3cd0cd029a9c5b76b083052f7dc41ad949a3753d20@group.calendar.google.com</v>
      </c>
      <c r="Y860" s="20"/>
      <c r="Z860" s="20"/>
      <c r="AA860" s="20"/>
      <c r="AB860" s="20"/>
      <c r="AC860" s="20"/>
    </row>
    <row r="861" hidden="1">
      <c r="A861" s="160" t="s">
        <v>103</v>
      </c>
      <c r="B861" s="17">
        <v>45407.0</v>
      </c>
      <c r="C861" s="16" t="s">
        <v>287</v>
      </c>
      <c r="E861" s="17"/>
      <c r="G861" s="10"/>
      <c r="H861" s="16" t="s">
        <v>31</v>
      </c>
      <c r="J861" s="16" t="s">
        <v>97</v>
      </c>
      <c r="K861" s="14" t="s">
        <v>33</v>
      </c>
      <c r="L861" s="31" t="s">
        <v>56</v>
      </c>
      <c r="N861" s="55" t="s">
        <v>889</v>
      </c>
      <c r="O861" s="16"/>
      <c r="P861" s="16"/>
      <c r="Q861" s="17">
        <f t="shared" si="107"/>
        <v>45407</v>
      </c>
      <c r="S861" s="20"/>
      <c r="T861" s="20" t="str">
        <f>VLOOKUP(A861,'Calendar ID'!$A:$C,3,false)</f>
        <v>lauclr.pro@gmail.com</v>
      </c>
      <c r="U861" s="20" t="b">
        <v>0</v>
      </c>
      <c r="V861" s="20" t="str">
        <f>VLOOKUP($A861,'Calendar ID'!$A:$C,2,false)</f>
        <v>c_d711460494b2c9d7a466bc3cd0cd029a9c5b76b083052f7dc41ad949a3753d20@group.calendar.google.com</v>
      </c>
      <c r="W861" s="19" t="b">
        <v>0</v>
      </c>
      <c r="X861" s="20" t="str">
        <f>VLOOKUP($A861,'Calendar ID'!$A:$C,2,false)</f>
        <v>c_d711460494b2c9d7a466bc3cd0cd029a9c5b76b083052f7dc41ad949a3753d20@group.calendar.google.com</v>
      </c>
      <c r="Y861" s="20"/>
      <c r="Z861" s="20"/>
      <c r="AA861" s="20"/>
      <c r="AB861" s="20"/>
      <c r="AC861" s="20"/>
    </row>
    <row r="862" hidden="1">
      <c r="A862" s="16" t="s">
        <v>103</v>
      </c>
      <c r="B862" s="17">
        <v>45447.0</v>
      </c>
      <c r="C862" s="16" t="s">
        <v>116</v>
      </c>
      <c r="E862" s="17"/>
      <c r="G862" s="17"/>
      <c r="H862" s="16" t="s">
        <v>31</v>
      </c>
      <c r="J862" s="16" t="s">
        <v>659</v>
      </c>
      <c r="K862" s="16" t="s">
        <v>33</v>
      </c>
      <c r="L862" s="31" t="s">
        <v>56</v>
      </c>
      <c r="N862" s="16"/>
      <c r="O862" s="16"/>
      <c r="P862" s="16"/>
      <c r="Q862" s="17">
        <f t="shared" si="107"/>
        <v>45447</v>
      </c>
      <c r="S862" s="20"/>
      <c r="T862" s="20" t="str">
        <f>VLOOKUP(A862,'Calendar ID'!$A:$C,3,false)</f>
        <v>lauclr.pro@gmail.com</v>
      </c>
      <c r="U862" s="20" t="b">
        <v>0</v>
      </c>
      <c r="V862" s="20" t="str">
        <f>VLOOKUP($A862,'Calendar ID'!$A:$C,2,false)</f>
        <v>c_d711460494b2c9d7a466bc3cd0cd029a9c5b76b083052f7dc41ad949a3753d20@group.calendar.google.com</v>
      </c>
      <c r="W862" s="19" t="b">
        <v>0</v>
      </c>
      <c r="X862" s="20" t="str">
        <f>VLOOKUP($A862,'Calendar ID'!$A:$C,2,false)</f>
        <v>c_d711460494b2c9d7a466bc3cd0cd029a9c5b76b083052f7dc41ad949a3753d20@group.calendar.google.com</v>
      </c>
      <c r="Y862" s="20"/>
      <c r="Z862" s="20"/>
      <c r="AA862" s="20"/>
      <c r="AB862" s="20"/>
      <c r="AC862" s="20"/>
    </row>
    <row r="863" hidden="1">
      <c r="A863" s="10" t="s">
        <v>890</v>
      </c>
      <c r="B863" s="17">
        <v>45372.0</v>
      </c>
      <c r="C863" s="16" t="s">
        <v>741</v>
      </c>
      <c r="G863" s="30">
        <v>45393.0</v>
      </c>
      <c r="H863" s="10" t="s">
        <v>31</v>
      </c>
      <c r="I863" s="16" t="s">
        <v>742</v>
      </c>
      <c r="J863" s="16" t="s">
        <v>59</v>
      </c>
      <c r="K863" s="16" t="s">
        <v>33</v>
      </c>
      <c r="L863" s="14" t="s">
        <v>56</v>
      </c>
      <c r="Q863" s="17">
        <f t="shared" si="107"/>
        <v>45372</v>
      </c>
      <c r="S863" s="20"/>
      <c r="T863" s="20"/>
      <c r="U863" s="20"/>
      <c r="V863" s="20"/>
      <c r="W863" s="20"/>
      <c r="X863" s="20"/>
      <c r="Y863" s="20"/>
      <c r="Z863" s="20"/>
      <c r="AA863" s="20"/>
      <c r="AB863" s="20"/>
      <c r="AC863" s="20"/>
    </row>
    <row r="864" hidden="1">
      <c r="A864" s="16" t="s">
        <v>890</v>
      </c>
      <c r="B864" s="17">
        <v>45386.0</v>
      </c>
      <c r="C864" s="16" t="s">
        <v>630</v>
      </c>
      <c r="E864" s="8"/>
      <c r="F864" s="28">
        <v>45387.0</v>
      </c>
      <c r="G864" s="35">
        <v>45408.0</v>
      </c>
      <c r="H864" s="10" t="s">
        <v>31</v>
      </c>
      <c r="I864" s="16" t="s">
        <v>747</v>
      </c>
      <c r="J864" s="16" t="s">
        <v>43</v>
      </c>
      <c r="K864" s="16" t="s">
        <v>33</v>
      </c>
      <c r="L864" s="14" t="s">
        <v>56</v>
      </c>
      <c r="Q864" s="17">
        <f t="shared" si="107"/>
        <v>45386</v>
      </c>
      <c r="S864" s="20"/>
      <c r="T864" s="20"/>
      <c r="U864" s="20"/>
      <c r="V864" s="20"/>
      <c r="W864" s="20"/>
      <c r="X864" s="20"/>
      <c r="Y864" s="20"/>
      <c r="Z864" s="20"/>
      <c r="AA864" s="20"/>
      <c r="AB864" s="20"/>
      <c r="AC864" s="20"/>
    </row>
    <row r="865" hidden="1">
      <c r="A865" s="7" t="s">
        <v>890</v>
      </c>
      <c r="B865" s="17">
        <v>45378.0</v>
      </c>
      <c r="C865" s="16" t="s">
        <v>891</v>
      </c>
      <c r="G865" s="36">
        <v>45412.0</v>
      </c>
      <c r="H865" s="10" t="s">
        <v>31</v>
      </c>
      <c r="I865" s="16" t="s">
        <v>892</v>
      </c>
      <c r="J865" s="16" t="s">
        <v>893</v>
      </c>
      <c r="K865" s="16" t="s">
        <v>33</v>
      </c>
      <c r="L865" s="16" t="s">
        <v>56</v>
      </c>
      <c r="Q865" s="17">
        <f t="shared" si="107"/>
        <v>45378</v>
      </c>
      <c r="S865" s="20"/>
      <c r="T865" s="20"/>
      <c r="U865" s="20"/>
      <c r="V865" s="20"/>
      <c r="W865" s="20"/>
      <c r="X865" s="20"/>
      <c r="Y865" s="20"/>
      <c r="Z865" s="20"/>
      <c r="AA865" s="20"/>
      <c r="AB865" s="20"/>
      <c r="AC865" s="20"/>
    </row>
    <row r="866" hidden="1">
      <c r="A866" s="160" t="s">
        <v>890</v>
      </c>
      <c r="B866" s="17">
        <v>45401.0</v>
      </c>
      <c r="C866" s="16" t="s">
        <v>894</v>
      </c>
      <c r="G866" s="38">
        <v>45421.0</v>
      </c>
      <c r="H866" s="16" t="s">
        <v>31</v>
      </c>
      <c r="I866" s="16" t="s">
        <v>658</v>
      </c>
      <c r="J866" s="16" t="s">
        <v>659</v>
      </c>
      <c r="K866" s="14" t="s">
        <v>33</v>
      </c>
      <c r="L866" s="16" t="s">
        <v>56</v>
      </c>
      <c r="Q866" s="17">
        <f t="shared" si="107"/>
        <v>45401</v>
      </c>
      <c r="S866" s="20"/>
      <c r="T866" s="20"/>
      <c r="U866" s="20"/>
      <c r="V866" s="20"/>
      <c r="W866" s="20"/>
      <c r="X866" s="20"/>
      <c r="Y866" s="20"/>
      <c r="Z866" s="20"/>
      <c r="AA866" s="20"/>
      <c r="AB866" s="20"/>
      <c r="AC866" s="20"/>
    </row>
    <row r="867" hidden="1">
      <c r="A867" s="16" t="s">
        <v>890</v>
      </c>
      <c r="B867" s="17">
        <v>45401.0</v>
      </c>
      <c r="C867" s="16" t="s">
        <v>895</v>
      </c>
      <c r="G867" s="38">
        <v>45424.0</v>
      </c>
      <c r="H867" s="16" t="s">
        <v>31</v>
      </c>
      <c r="J867" s="16" t="s">
        <v>43</v>
      </c>
      <c r="K867" s="14" t="s">
        <v>33</v>
      </c>
      <c r="L867" s="16" t="s">
        <v>56</v>
      </c>
      <c r="Q867" s="17">
        <f t="shared" si="107"/>
        <v>45401</v>
      </c>
      <c r="S867" s="20"/>
      <c r="T867" s="20"/>
      <c r="U867" s="20"/>
      <c r="V867" s="20"/>
      <c r="W867" s="20"/>
      <c r="X867" s="20"/>
      <c r="Y867" s="20"/>
      <c r="Z867" s="20"/>
      <c r="AA867" s="20"/>
      <c r="AB867" s="20"/>
      <c r="AC867" s="20"/>
    </row>
    <row r="868" hidden="1">
      <c r="A868" s="16" t="s">
        <v>890</v>
      </c>
      <c r="B868" s="17">
        <v>45388.0</v>
      </c>
      <c r="C868" s="16" t="s">
        <v>749</v>
      </c>
      <c r="E868" s="17"/>
      <c r="G868" s="43">
        <v>45431.0</v>
      </c>
      <c r="H868" s="16" t="s">
        <v>31</v>
      </c>
      <c r="I868" s="16" t="s">
        <v>896</v>
      </c>
      <c r="J868" s="16" t="s">
        <v>751</v>
      </c>
      <c r="K868" s="16" t="s">
        <v>33</v>
      </c>
      <c r="L868" s="16" t="s">
        <v>752</v>
      </c>
      <c r="Q868" s="17">
        <f t="shared" si="107"/>
        <v>45388</v>
      </c>
      <c r="S868" s="20"/>
      <c r="T868" s="20"/>
      <c r="U868" s="20"/>
      <c r="V868" s="20"/>
      <c r="W868" s="20"/>
      <c r="X868" s="20"/>
      <c r="Y868" s="20"/>
      <c r="Z868" s="20"/>
      <c r="AA868" s="20"/>
      <c r="AB868" s="20"/>
      <c r="AC868" s="20"/>
    </row>
    <row r="869" hidden="1">
      <c r="A869" s="16" t="s">
        <v>890</v>
      </c>
      <c r="B869" s="17">
        <v>45392.0</v>
      </c>
      <c r="C869" s="16" t="s">
        <v>897</v>
      </c>
      <c r="F869" s="30">
        <v>45395.0</v>
      </c>
      <c r="G869" s="10"/>
      <c r="H869" s="16" t="s">
        <v>31</v>
      </c>
      <c r="J869" s="16" t="s">
        <v>55</v>
      </c>
      <c r="K869" s="16" t="s">
        <v>33</v>
      </c>
      <c r="L869" s="16" t="s">
        <v>56</v>
      </c>
      <c r="Q869" s="17">
        <f t="shared" si="107"/>
        <v>45392</v>
      </c>
      <c r="S869" s="20"/>
      <c r="T869" s="20"/>
      <c r="U869" s="20"/>
      <c r="V869" s="20"/>
      <c r="W869" s="20"/>
      <c r="X869" s="20"/>
      <c r="Y869" s="20"/>
      <c r="Z869" s="20"/>
      <c r="AA869" s="20"/>
      <c r="AB869" s="20"/>
      <c r="AC869" s="20"/>
    </row>
    <row r="870" hidden="1">
      <c r="A870" s="7" t="s">
        <v>890</v>
      </c>
      <c r="B870" s="17">
        <v>45401.0</v>
      </c>
      <c r="C870" s="29" t="s">
        <v>626</v>
      </c>
      <c r="D870" s="7"/>
      <c r="E870" s="7"/>
      <c r="F870" s="10"/>
      <c r="G870" s="10"/>
      <c r="H870" s="10" t="s">
        <v>31</v>
      </c>
      <c r="I870" s="167"/>
      <c r="J870" s="7" t="s">
        <v>898</v>
      </c>
      <c r="K870" s="183" t="s">
        <v>33</v>
      </c>
      <c r="L870" s="14" t="s">
        <v>56</v>
      </c>
      <c r="Q870" s="17">
        <f t="shared" si="107"/>
        <v>45401</v>
      </c>
      <c r="R870" s="18"/>
      <c r="S870" s="20"/>
      <c r="T870" s="20"/>
      <c r="U870" s="20"/>
      <c r="V870" s="20"/>
      <c r="W870" s="20"/>
      <c r="X870" s="20"/>
      <c r="Y870" s="20"/>
      <c r="Z870" s="20"/>
      <c r="AA870" s="20"/>
      <c r="AB870" s="20"/>
      <c r="AC870" s="20"/>
    </row>
    <row r="871" hidden="1">
      <c r="A871" s="7" t="s">
        <v>890</v>
      </c>
      <c r="B871" s="7"/>
      <c r="C871" s="7" t="s">
        <v>840</v>
      </c>
      <c r="D871" s="7" t="s">
        <v>736</v>
      </c>
      <c r="E871" s="7"/>
      <c r="F871" s="177">
        <v>45352.0</v>
      </c>
      <c r="G871" s="10"/>
      <c r="H871" s="7" t="s">
        <v>31</v>
      </c>
      <c r="I871" s="7" t="s">
        <v>898</v>
      </c>
      <c r="J871" s="7" t="s">
        <v>898</v>
      </c>
      <c r="K871" s="183" t="s">
        <v>33</v>
      </c>
      <c r="L871" s="14" t="s">
        <v>56</v>
      </c>
      <c r="Q871" s="17" t="str">
        <f t="shared" si="107"/>
        <v/>
      </c>
      <c r="S871" s="20"/>
      <c r="T871" s="20"/>
      <c r="U871" s="20"/>
      <c r="V871" s="20"/>
      <c r="W871" s="20"/>
      <c r="X871" s="20"/>
      <c r="Y871" s="20"/>
      <c r="Z871" s="20"/>
      <c r="AA871" s="20"/>
      <c r="AB871" s="20"/>
      <c r="AC871" s="20"/>
    </row>
    <row r="872" hidden="1">
      <c r="A872" s="10" t="s">
        <v>588</v>
      </c>
      <c r="B872" s="17">
        <v>45372.0</v>
      </c>
      <c r="C872" s="16" t="s">
        <v>741</v>
      </c>
      <c r="G872" s="30">
        <v>45392.0</v>
      </c>
      <c r="H872" s="7" t="s">
        <v>31</v>
      </c>
      <c r="I872" s="16" t="s">
        <v>742</v>
      </c>
      <c r="J872" s="16" t="s">
        <v>59</v>
      </c>
      <c r="K872" s="16" t="s">
        <v>33</v>
      </c>
      <c r="L872" s="14" t="s">
        <v>56</v>
      </c>
      <c r="Q872" s="17">
        <f t="shared" si="107"/>
        <v>45372</v>
      </c>
      <c r="S872" s="20"/>
      <c r="T872" s="20"/>
      <c r="U872" s="20"/>
      <c r="V872" s="20"/>
      <c r="W872" s="20"/>
      <c r="X872" s="20"/>
      <c r="Y872" s="20"/>
      <c r="Z872" s="20"/>
      <c r="AA872" s="20"/>
      <c r="AB872" s="20"/>
      <c r="AC872" s="20"/>
    </row>
    <row r="873" hidden="1">
      <c r="A873" s="16" t="s">
        <v>588</v>
      </c>
      <c r="B873" s="17">
        <v>45386.0</v>
      </c>
      <c r="C873" s="16" t="s">
        <v>630</v>
      </c>
      <c r="E873" s="8"/>
      <c r="F873" s="28">
        <v>45387.0</v>
      </c>
      <c r="G873" s="35">
        <v>45408.0</v>
      </c>
      <c r="H873" s="10" t="s">
        <v>31</v>
      </c>
      <c r="I873" s="16" t="s">
        <v>747</v>
      </c>
      <c r="J873" s="16" t="s">
        <v>43</v>
      </c>
      <c r="K873" s="16" t="s">
        <v>33</v>
      </c>
      <c r="L873" s="14" t="s">
        <v>56</v>
      </c>
      <c r="Q873" s="17">
        <f t="shared" si="107"/>
        <v>45386</v>
      </c>
      <c r="S873" s="20"/>
      <c r="T873" s="20"/>
      <c r="U873" s="20"/>
      <c r="V873" s="20"/>
      <c r="W873" s="20"/>
      <c r="X873" s="20"/>
      <c r="Y873" s="20"/>
      <c r="Z873" s="20"/>
      <c r="AA873" s="20"/>
      <c r="AB873" s="20"/>
      <c r="AC873" s="20"/>
    </row>
    <row r="874" hidden="1">
      <c r="A874" s="160" t="s">
        <v>588</v>
      </c>
      <c r="B874" s="17">
        <v>45401.0</v>
      </c>
      <c r="C874" s="16" t="s">
        <v>713</v>
      </c>
      <c r="G874" s="38">
        <v>45421.0</v>
      </c>
      <c r="H874" s="16" t="s">
        <v>31</v>
      </c>
      <c r="I874" s="16" t="s">
        <v>658</v>
      </c>
      <c r="J874" s="16" t="s">
        <v>659</v>
      </c>
      <c r="K874" s="14" t="s">
        <v>33</v>
      </c>
      <c r="L874" s="16" t="s">
        <v>56</v>
      </c>
      <c r="Q874" s="17">
        <f t="shared" si="107"/>
        <v>45401</v>
      </c>
      <c r="S874" s="20"/>
      <c r="T874" s="20"/>
      <c r="U874" s="20"/>
      <c r="V874" s="20"/>
      <c r="W874" s="20"/>
      <c r="X874" s="20"/>
      <c r="Y874" s="20"/>
      <c r="Z874" s="20"/>
      <c r="AA874" s="20"/>
      <c r="AB874" s="20"/>
      <c r="AC874" s="20"/>
    </row>
    <row r="875" hidden="1">
      <c r="A875" s="10" t="s">
        <v>588</v>
      </c>
      <c r="B875" s="17">
        <v>45401.0</v>
      </c>
      <c r="C875" s="10" t="s">
        <v>626</v>
      </c>
      <c r="D875" s="7"/>
      <c r="E875" s="7"/>
      <c r="F875" s="171">
        <v>45402.0</v>
      </c>
      <c r="G875" s="184">
        <v>45443.0</v>
      </c>
      <c r="H875" s="10" t="s">
        <v>31</v>
      </c>
      <c r="I875" s="185"/>
      <c r="J875" s="14"/>
      <c r="K875" s="14"/>
      <c r="L875" s="16" t="s">
        <v>56</v>
      </c>
      <c r="Q875" s="17">
        <f t="shared" si="107"/>
        <v>45401</v>
      </c>
      <c r="R875" s="18"/>
      <c r="S875" s="20"/>
      <c r="T875" s="20"/>
      <c r="U875" s="20"/>
      <c r="V875" s="20"/>
      <c r="W875" s="20"/>
      <c r="X875" s="20"/>
      <c r="Y875" s="20"/>
      <c r="Z875" s="20"/>
      <c r="AA875" s="20"/>
      <c r="AB875" s="20"/>
      <c r="AC875" s="20"/>
    </row>
    <row r="876" hidden="1">
      <c r="A876" s="16" t="s">
        <v>588</v>
      </c>
      <c r="B876" s="17">
        <v>45600.0</v>
      </c>
      <c r="C876" s="16" t="s">
        <v>634</v>
      </c>
      <c r="E876" s="17"/>
      <c r="F876" s="17"/>
      <c r="G876" s="17">
        <v>45620.0</v>
      </c>
      <c r="H876" s="10" t="s">
        <v>31</v>
      </c>
      <c r="J876" s="16" t="s">
        <v>43</v>
      </c>
      <c r="K876" s="23" t="s">
        <v>33</v>
      </c>
      <c r="L876" s="31" t="s">
        <v>56</v>
      </c>
      <c r="N876" s="16"/>
      <c r="O876" s="16"/>
      <c r="P876" s="16"/>
      <c r="Q876" s="17">
        <f t="shared" si="107"/>
        <v>45600</v>
      </c>
      <c r="S876" s="20"/>
      <c r="T876" s="68" t="str">
        <f>VLOOKUP(A876,'Calendar ID'!$A:$C,3,false)</f>
        <v>Fontanel.lily@gmail.com</v>
      </c>
      <c r="U876" s="77" t="b">
        <v>0</v>
      </c>
      <c r="V876" s="68" t="str">
        <f>VLOOKUP($A876,'Calendar ID'!$A:$C,2,false)</f>
        <v>c_ef2f5a817a776785477f597bd1081d6a57d8380a8013026b8ce9895920f902e2@group.calendar.google.com</v>
      </c>
      <c r="W876" s="77" t="b">
        <v>1</v>
      </c>
      <c r="X876" s="70" t="s">
        <v>82</v>
      </c>
    </row>
    <row r="877" hidden="1">
      <c r="A877" s="16" t="s">
        <v>45</v>
      </c>
      <c r="B877" s="17">
        <v>45594.0</v>
      </c>
      <c r="C877" s="16" t="s">
        <v>48</v>
      </c>
      <c r="D877" s="16" t="s">
        <v>899</v>
      </c>
      <c r="E877" s="17"/>
      <c r="F877" s="82"/>
      <c r="G877" s="17">
        <v>45625.0</v>
      </c>
      <c r="H877" s="10" t="s">
        <v>31</v>
      </c>
      <c r="I877" s="16" t="s">
        <v>900</v>
      </c>
      <c r="J877" s="16" t="s">
        <v>43</v>
      </c>
      <c r="K877" s="23" t="s">
        <v>33</v>
      </c>
      <c r="L877" s="31">
        <v>300.0</v>
      </c>
      <c r="N877" s="16"/>
      <c r="O877" s="16"/>
      <c r="P877" s="23" t="s">
        <v>34</v>
      </c>
      <c r="Q877" s="17">
        <f t="shared" si="107"/>
        <v>45594</v>
      </c>
      <c r="R877" s="15">
        <f>L877*0.25</f>
        <v>75</v>
      </c>
      <c r="S877" s="20"/>
      <c r="T877" s="68" t="str">
        <f>VLOOKUP(A877,'Calendar ID'!$A:$C,3,false)</f>
        <v>lilyy.nl@grapperagency.com</v>
      </c>
      <c r="U877" s="77" t="b">
        <v>0</v>
      </c>
      <c r="V877" s="68" t="str">
        <f>VLOOKUP($A877,'Calendar ID'!$A:$C,2,false)</f>
        <v>c_665764ca21c8e4b3814e25bf24bc7074fa55890dce5d4073abb0fdddc70649d4@group.calendar.google.com</v>
      </c>
      <c r="W877" s="77" t="b">
        <v>1</v>
      </c>
      <c r="X877" s="70" t="s">
        <v>82</v>
      </c>
    </row>
    <row r="878" hidden="1">
      <c r="A878" s="16" t="s">
        <v>588</v>
      </c>
      <c r="B878" s="17">
        <v>45371.0</v>
      </c>
      <c r="C878" s="7" t="s">
        <v>901</v>
      </c>
      <c r="F878" s="122">
        <v>45008.0</v>
      </c>
      <c r="G878" s="10"/>
      <c r="H878" s="7" t="s">
        <v>31</v>
      </c>
      <c r="I878" s="16" t="s">
        <v>902</v>
      </c>
      <c r="J878" s="7" t="s">
        <v>97</v>
      </c>
      <c r="K878" s="16" t="s">
        <v>33</v>
      </c>
      <c r="L878" s="14" t="s">
        <v>56</v>
      </c>
      <c r="N878" s="7"/>
      <c r="O878" s="7"/>
      <c r="P878" s="7"/>
      <c r="Q878" s="17">
        <f t="shared" si="107"/>
        <v>45371</v>
      </c>
      <c r="S878" s="20" t="b">
        <v>0</v>
      </c>
      <c r="T878" s="20"/>
      <c r="U878" s="20"/>
      <c r="V878" s="20"/>
      <c r="W878" s="20"/>
      <c r="X878" s="20"/>
      <c r="Y878" s="20"/>
      <c r="Z878" s="20"/>
      <c r="AA878" s="20"/>
      <c r="AB878" s="20"/>
      <c r="AC878" s="20"/>
    </row>
    <row r="879" hidden="1">
      <c r="A879" s="160" t="s">
        <v>588</v>
      </c>
      <c r="B879" s="17">
        <v>45386.0</v>
      </c>
      <c r="C879" s="29" t="s">
        <v>410</v>
      </c>
      <c r="G879" s="10"/>
      <c r="H879" s="16" t="s">
        <v>31</v>
      </c>
      <c r="J879" s="16" t="s">
        <v>767</v>
      </c>
      <c r="K879" s="16" t="s">
        <v>33</v>
      </c>
      <c r="L879" s="14" t="s">
        <v>56</v>
      </c>
      <c r="Q879" s="17">
        <f t="shared" si="107"/>
        <v>45386</v>
      </c>
      <c r="S879" s="20"/>
      <c r="T879" s="20" t="str">
        <f>VLOOKUP(A879,'Calendar ID'!$A:$C,3,false)</f>
        <v>Fontanel.lily@gmail.com</v>
      </c>
      <c r="U879" s="20" t="b">
        <v>0</v>
      </c>
      <c r="V879" s="20" t="str">
        <f>VLOOKUP($A879,'Calendar ID'!$A:$C,2,false)</f>
        <v>c_ef2f5a817a776785477f597bd1081d6a57d8380a8013026b8ce9895920f902e2@group.calendar.google.com</v>
      </c>
      <c r="W879" s="19" t="b">
        <v>0</v>
      </c>
      <c r="X879" s="20" t="str">
        <f>VLOOKUP($A879,'Calendar ID'!$A:$C,2,false)</f>
        <v>c_ef2f5a817a776785477f597bd1081d6a57d8380a8013026b8ce9895920f902e2@group.calendar.google.com</v>
      </c>
      <c r="Y879" s="20"/>
      <c r="Z879" s="20"/>
      <c r="AA879" s="20"/>
      <c r="AB879" s="20"/>
      <c r="AC879" s="20"/>
    </row>
    <row r="880" hidden="1">
      <c r="A880" s="16" t="s">
        <v>588</v>
      </c>
      <c r="B880" s="17">
        <v>45391.0</v>
      </c>
      <c r="C880" s="29" t="s">
        <v>770</v>
      </c>
      <c r="G880" s="10"/>
      <c r="H880" s="16" t="s">
        <v>31</v>
      </c>
      <c r="J880" s="16" t="s">
        <v>97</v>
      </c>
      <c r="K880" s="16" t="s">
        <v>33</v>
      </c>
      <c r="L880" s="14" t="s">
        <v>56</v>
      </c>
      <c r="Q880" s="17">
        <f t="shared" si="107"/>
        <v>45391</v>
      </c>
      <c r="S880" s="20"/>
      <c r="T880" s="20" t="str">
        <f>VLOOKUP(A880,'Calendar ID'!$A:$C,3,false)</f>
        <v>Fontanel.lily@gmail.com</v>
      </c>
      <c r="U880" s="20" t="b">
        <v>0</v>
      </c>
      <c r="V880" s="20" t="str">
        <f>VLOOKUP($A880,'Calendar ID'!$A:$C,2,false)</f>
        <v>c_ef2f5a817a776785477f597bd1081d6a57d8380a8013026b8ce9895920f902e2@group.calendar.google.com</v>
      </c>
      <c r="W880" s="19" t="b">
        <v>0</v>
      </c>
      <c r="X880" s="20" t="str">
        <f>VLOOKUP($A880,'Calendar ID'!$A:$C,2,false)</f>
        <v>c_ef2f5a817a776785477f597bd1081d6a57d8380a8013026b8ce9895920f902e2@group.calendar.google.com</v>
      </c>
      <c r="Y880" s="20"/>
      <c r="Z880" s="20"/>
      <c r="AA880" s="20"/>
      <c r="AB880" s="20"/>
      <c r="AC880" s="20"/>
    </row>
    <row r="881" hidden="1">
      <c r="A881" s="16" t="s">
        <v>45</v>
      </c>
      <c r="B881" s="17">
        <v>45376.0</v>
      </c>
      <c r="C881" s="16" t="s">
        <v>903</v>
      </c>
      <c r="G881" s="28" t="s">
        <v>904</v>
      </c>
      <c r="H881" s="10" t="s">
        <v>31</v>
      </c>
      <c r="I881" s="16" t="s">
        <v>905</v>
      </c>
      <c r="J881" s="16" t="s">
        <v>97</v>
      </c>
      <c r="K881" s="14" t="s">
        <v>33</v>
      </c>
      <c r="L881" s="7" t="s">
        <v>56</v>
      </c>
      <c r="Q881" s="17">
        <f t="shared" si="107"/>
        <v>45376</v>
      </c>
      <c r="S881" s="20"/>
      <c r="T881" s="20"/>
      <c r="U881" s="20"/>
      <c r="V881" s="20"/>
      <c r="W881" s="20"/>
      <c r="X881" s="20"/>
      <c r="Y881" s="20"/>
      <c r="Z881" s="20"/>
      <c r="AA881" s="20"/>
      <c r="AB881" s="20"/>
      <c r="AC881" s="20"/>
    </row>
    <row r="882" hidden="1">
      <c r="A882" s="16" t="s">
        <v>45</v>
      </c>
      <c r="B882" s="17">
        <v>45376.0</v>
      </c>
      <c r="C882" s="29" t="s">
        <v>739</v>
      </c>
      <c r="E882" s="7"/>
      <c r="F882" s="124">
        <v>45383.0</v>
      </c>
      <c r="G882" s="168">
        <v>45389.0</v>
      </c>
      <c r="H882" s="7" t="s">
        <v>31</v>
      </c>
      <c r="I882" s="7"/>
      <c r="J882" s="16" t="s">
        <v>43</v>
      </c>
      <c r="K882" s="14" t="s">
        <v>33</v>
      </c>
      <c r="L882" s="7" t="s">
        <v>56</v>
      </c>
      <c r="Q882" s="17">
        <f t="shared" si="107"/>
        <v>45376</v>
      </c>
      <c r="S882" s="20"/>
      <c r="T882" s="20"/>
      <c r="U882" s="20"/>
      <c r="V882" s="20"/>
      <c r="W882" s="20"/>
      <c r="X882" s="20"/>
      <c r="Y882" s="20"/>
      <c r="Z882" s="20"/>
      <c r="AA882" s="20"/>
      <c r="AB882" s="20"/>
      <c r="AC882" s="20"/>
    </row>
    <row r="883" hidden="1">
      <c r="A883" s="16" t="s">
        <v>45</v>
      </c>
      <c r="B883" s="17">
        <v>45376.0</v>
      </c>
      <c r="C883" s="29" t="s">
        <v>220</v>
      </c>
      <c r="F883" s="28">
        <v>45383.0</v>
      </c>
      <c r="G883" s="30">
        <v>45396.0</v>
      </c>
      <c r="H883" s="7" t="s">
        <v>31</v>
      </c>
      <c r="I883" s="16" t="s">
        <v>906</v>
      </c>
      <c r="J883" s="16" t="s">
        <v>43</v>
      </c>
      <c r="K883" s="16" t="s">
        <v>33</v>
      </c>
      <c r="L883" s="14" t="s">
        <v>56</v>
      </c>
      <c r="Q883" s="17">
        <f t="shared" si="107"/>
        <v>45376</v>
      </c>
      <c r="S883" s="20"/>
      <c r="T883" s="20"/>
      <c r="U883" s="20"/>
      <c r="V883" s="20"/>
      <c r="W883" s="20"/>
      <c r="X883" s="20"/>
      <c r="Y883" s="20"/>
      <c r="Z883" s="20"/>
      <c r="AA883" s="20"/>
      <c r="AB883" s="20"/>
      <c r="AC883" s="20"/>
    </row>
    <row r="884" hidden="1">
      <c r="A884" s="16" t="s">
        <v>45</v>
      </c>
      <c r="B884" s="17">
        <v>45376.0</v>
      </c>
      <c r="C884" s="29" t="s">
        <v>664</v>
      </c>
      <c r="F884" s="11"/>
      <c r="G884" s="33">
        <v>45397.0</v>
      </c>
      <c r="H884" s="7" t="s">
        <v>31</v>
      </c>
      <c r="I884" s="10" t="s">
        <v>743</v>
      </c>
      <c r="J884" s="16" t="s">
        <v>43</v>
      </c>
      <c r="K884" s="14" t="s">
        <v>33</v>
      </c>
      <c r="L884" s="7" t="s">
        <v>56</v>
      </c>
      <c r="Q884" s="17">
        <f t="shared" si="107"/>
        <v>45376</v>
      </c>
      <c r="S884" s="20"/>
      <c r="T884" s="20"/>
      <c r="U884" s="20"/>
      <c r="V884" s="20"/>
      <c r="W884" s="20"/>
      <c r="X884" s="20"/>
      <c r="Y884" s="20"/>
      <c r="Z884" s="20"/>
      <c r="AA884" s="20"/>
      <c r="AB884" s="20"/>
      <c r="AC884" s="20"/>
    </row>
    <row r="885" hidden="1">
      <c r="A885" s="16" t="s">
        <v>45</v>
      </c>
      <c r="B885" s="17">
        <v>45376.0</v>
      </c>
      <c r="C885" s="13" t="s">
        <v>757</v>
      </c>
      <c r="F885" s="17"/>
      <c r="G885" s="33">
        <v>45397.0</v>
      </c>
      <c r="H885" s="23" t="s">
        <v>31</v>
      </c>
      <c r="J885" s="16" t="s">
        <v>43</v>
      </c>
      <c r="K885" s="16" t="s">
        <v>33</v>
      </c>
      <c r="L885" s="14" t="s">
        <v>56</v>
      </c>
      <c r="Q885" s="17">
        <f t="shared" si="107"/>
        <v>45376</v>
      </c>
      <c r="S885" s="20"/>
      <c r="T885" s="20"/>
      <c r="U885" s="20"/>
      <c r="V885" s="20"/>
      <c r="W885" s="20"/>
      <c r="X885" s="20"/>
      <c r="Y885" s="20"/>
      <c r="Z885" s="20"/>
      <c r="AA885" s="20"/>
      <c r="AB885" s="20"/>
      <c r="AC885" s="20"/>
    </row>
    <row r="886" hidden="1">
      <c r="A886" s="16" t="s">
        <v>45</v>
      </c>
      <c r="B886" s="17">
        <v>45376.0</v>
      </c>
      <c r="C886" s="16" t="s">
        <v>322</v>
      </c>
      <c r="G886" s="33">
        <v>45401.0</v>
      </c>
      <c r="H886" s="7" t="s">
        <v>31</v>
      </c>
      <c r="K886" s="16" t="s">
        <v>33</v>
      </c>
      <c r="L886" s="7" t="s">
        <v>56</v>
      </c>
      <c r="Q886" s="17">
        <f t="shared" si="107"/>
        <v>45376</v>
      </c>
      <c r="S886" s="20"/>
      <c r="T886" s="20"/>
      <c r="U886" s="20"/>
      <c r="V886" s="20"/>
      <c r="W886" s="20"/>
      <c r="X886" s="20"/>
      <c r="Y886" s="20"/>
      <c r="Z886" s="20"/>
      <c r="AA886" s="20"/>
      <c r="AB886" s="20"/>
      <c r="AC886" s="20"/>
    </row>
    <row r="887" hidden="1">
      <c r="A887" s="16" t="s">
        <v>45</v>
      </c>
      <c r="B887" s="17">
        <v>45376.0</v>
      </c>
      <c r="C887" s="13" t="s">
        <v>630</v>
      </c>
      <c r="D887" s="10" t="s">
        <v>746</v>
      </c>
      <c r="E887" s="13"/>
      <c r="F887" s="123">
        <v>45377.0</v>
      </c>
      <c r="G887" s="141">
        <v>45408.0</v>
      </c>
      <c r="H887" s="10" t="s">
        <v>31</v>
      </c>
      <c r="I887" s="7"/>
      <c r="J887" s="16" t="s">
        <v>43</v>
      </c>
      <c r="K887" s="14" t="s">
        <v>33</v>
      </c>
      <c r="L887" s="7" t="s">
        <v>56</v>
      </c>
      <c r="Q887" s="17">
        <f t="shared" si="107"/>
        <v>45376</v>
      </c>
      <c r="S887" s="20"/>
      <c r="T887" s="20"/>
      <c r="U887" s="20"/>
      <c r="V887" s="20"/>
      <c r="W887" s="20"/>
      <c r="X887" s="20"/>
      <c r="Y887" s="20"/>
      <c r="Z887" s="20"/>
      <c r="AA887" s="20"/>
      <c r="AB887" s="20"/>
      <c r="AC887" s="20"/>
    </row>
    <row r="888" hidden="1">
      <c r="A888" s="16" t="s">
        <v>45</v>
      </c>
      <c r="B888" s="17">
        <v>45386.0</v>
      </c>
      <c r="C888" s="16" t="s">
        <v>864</v>
      </c>
      <c r="G888" s="36">
        <v>45415.0</v>
      </c>
      <c r="H888" s="7" t="s">
        <v>31</v>
      </c>
      <c r="J888" s="16" t="s">
        <v>907</v>
      </c>
      <c r="K888" s="16" t="s">
        <v>33</v>
      </c>
      <c r="L888" s="14" t="s">
        <v>56</v>
      </c>
      <c r="Q888" s="17">
        <f t="shared" si="107"/>
        <v>45386</v>
      </c>
      <c r="S888" s="20" t="b">
        <v>0</v>
      </c>
      <c r="T888" s="20"/>
      <c r="U888" s="20"/>
      <c r="V888" s="20"/>
      <c r="W888" s="20"/>
      <c r="X888" s="20"/>
      <c r="Y888" s="20"/>
      <c r="Z888" s="20"/>
      <c r="AA888" s="20"/>
      <c r="AB888" s="20"/>
      <c r="AC888" s="20"/>
    </row>
    <row r="889" hidden="1">
      <c r="A889" s="16" t="s">
        <v>45</v>
      </c>
      <c r="B889" s="17">
        <v>45404.0</v>
      </c>
      <c r="C889" s="16" t="s">
        <v>908</v>
      </c>
      <c r="E889" s="17"/>
      <c r="G889" s="43">
        <v>45425.0</v>
      </c>
      <c r="H889" s="10" t="s">
        <v>31</v>
      </c>
      <c r="I889" s="16" t="s">
        <v>909</v>
      </c>
      <c r="J889" s="16" t="s">
        <v>659</v>
      </c>
      <c r="K889" s="14" t="s">
        <v>33</v>
      </c>
      <c r="L889" s="31" t="s">
        <v>56</v>
      </c>
      <c r="N889" s="16"/>
      <c r="O889" s="16"/>
      <c r="P889" s="16"/>
      <c r="Q889" s="17">
        <f t="shared" si="107"/>
        <v>45404</v>
      </c>
      <c r="S889" s="20"/>
      <c r="T889" s="20"/>
      <c r="U889" s="20"/>
      <c r="V889" s="20"/>
      <c r="W889" s="20"/>
      <c r="X889" s="20"/>
      <c r="Y889" s="20"/>
      <c r="Z889" s="20"/>
      <c r="AA889" s="20"/>
      <c r="AB889" s="20"/>
      <c r="AC889" s="20"/>
    </row>
    <row r="890" hidden="1">
      <c r="A890" s="16" t="s">
        <v>45</v>
      </c>
      <c r="B890" s="17">
        <v>45414.0</v>
      </c>
      <c r="C890" s="29" t="s">
        <v>910</v>
      </c>
      <c r="E890" s="17"/>
      <c r="G890" s="44">
        <v>45435.0</v>
      </c>
      <c r="H890" s="16" t="s">
        <v>31</v>
      </c>
      <c r="J890" s="16" t="s">
        <v>97</v>
      </c>
      <c r="K890" s="16" t="s">
        <v>33</v>
      </c>
      <c r="L890" s="31" t="s">
        <v>56</v>
      </c>
      <c r="N890" s="55" t="s">
        <v>911</v>
      </c>
      <c r="O890" s="16"/>
      <c r="P890" s="16"/>
      <c r="Q890" s="17">
        <f t="shared" si="107"/>
        <v>45414</v>
      </c>
      <c r="S890" s="20"/>
      <c r="T890" s="20"/>
      <c r="U890" s="20"/>
      <c r="V890" s="20"/>
      <c r="W890" s="20"/>
      <c r="X890" s="20"/>
      <c r="Y890" s="20"/>
      <c r="Z890" s="20"/>
      <c r="AA890" s="20"/>
      <c r="AB890" s="20"/>
      <c r="AC890" s="20"/>
    </row>
    <row r="891" hidden="1">
      <c r="A891" s="16" t="s">
        <v>45</v>
      </c>
      <c r="B891" s="17">
        <v>45404.0</v>
      </c>
      <c r="C891" s="29" t="s">
        <v>667</v>
      </c>
      <c r="E891" s="17"/>
      <c r="F891" s="17"/>
      <c r="G891" s="44">
        <v>45437.0</v>
      </c>
      <c r="H891" s="16" t="s">
        <v>31</v>
      </c>
      <c r="I891" s="55" t="s">
        <v>668</v>
      </c>
      <c r="J891" s="16" t="s">
        <v>43</v>
      </c>
      <c r="K891" s="14" t="s">
        <v>33</v>
      </c>
      <c r="L891" s="31" t="s">
        <v>56</v>
      </c>
      <c r="N891" s="16"/>
      <c r="O891" s="16"/>
      <c r="P891" s="16"/>
      <c r="Q891" s="17">
        <f t="shared" si="107"/>
        <v>45404</v>
      </c>
      <c r="S891" s="20"/>
      <c r="T891" s="20"/>
      <c r="U891" s="20"/>
      <c r="V891" s="20"/>
      <c r="W891" s="20"/>
      <c r="X891" s="20"/>
      <c r="Y891" s="20"/>
      <c r="Z891" s="20"/>
      <c r="AA891" s="20"/>
      <c r="AB891" s="20"/>
      <c r="AC891" s="20"/>
    </row>
    <row r="892" hidden="1">
      <c r="A892" s="16" t="s">
        <v>45</v>
      </c>
      <c r="B892" s="17">
        <v>45425.0</v>
      </c>
      <c r="C892" s="16" t="s">
        <v>651</v>
      </c>
      <c r="E892" s="17"/>
      <c r="G892" s="139">
        <v>45448.0</v>
      </c>
      <c r="H892" s="16" t="s">
        <v>31</v>
      </c>
      <c r="I892" s="16" t="s">
        <v>670</v>
      </c>
      <c r="J892" s="16" t="s">
        <v>659</v>
      </c>
      <c r="K892" s="16" t="s">
        <v>33</v>
      </c>
      <c r="L892" s="31" t="s">
        <v>56</v>
      </c>
      <c r="N892" s="55" t="s">
        <v>912</v>
      </c>
      <c r="O892" s="16"/>
      <c r="P892" s="16"/>
      <c r="Q892" s="17">
        <f t="shared" si="107"/>
        <v>45425</v>
      </c>
      <c r="S892" s="20"/>
      <c r="T892" s="20"/>
      <c r="U892" s="20"/>
      <c r="V892" s="20"/>
      <c r="W892" s="20"/>
      <c r="X892" s="20"/>
      <c r="Y892" s="20"/>
      <c r="Z892" s="20"/>
      <c r="AA892" s="20"/>
      <c r="AB892" s="20"/>
      <c r="AC892" s="20"/>
    </row>
    <row r="893" hidden="1">
      <c r="A893" s="16" t="s">
        <v>45</v>
      </c>
      <c r="B893" s="17">
        <v>45406.0</v>
      </c>
      <c r="C893" s="16" t="s">
        <v>672</v>
      </c>
      <c r="E893" s="17"/>
      <c r="G893" s="139">
        <v>45448.0</v>
      </c>
      <c r="H893" s="16" t="s">
        <v>31</v>
      </c>
      <c r="I893" s="16" t="s">
        <v>670</v>
      </c>
      <c r="J893" s="16" t="s">
        <v>659</v>
      </c>
      <c r="K893" s="14" t="s">
        <v>33</v>
      </c>
      <c r="L893" s="31" t="s">
        <v>56</v>
      </c>
      <c r="N893" s="55" t="s">
        <v>913</v>
      </c>
      <c r="O893" s="16"/>
      <c r="P893" s="16"/>
      <c r="Q893" s="17">
        <f t="shared" si="107"/>
        <v>45406</v>
      </c>
      <c r="S893" s="20"/>
      <c r="T893" s="20"/>
      <c r="U893" s="20"/>
      <c r="V893" s="20"/>
      <c r="W893" s="20"/>
      <c r="X893" s="20"/>
      <c r="Y893" s="20"/>
      <c r="Z893" s="20"/>
      <c r="AA893" s="20"/>
      <c r="AB893" s="20"/>
      <c r="AC893" s="20"/>
    </row>
    <row r="894" hidden="1">
      <c r="A894" s="16" t="s">
        <v>45</v>
      </c>
      <c r="B894" s="17">
        <v>45462.0</v>
      </c>
      <c r="C894" s="16" t="s">
        <v>914</v>
      </c>
      <c r="E894" s="17"/>
      <c r="F894" s="17"/>
      <c r="G894" s="53">
        <v>45463.0</v>
      </c>
      <c r="H894" s="16" t="s">
        <v>31</v>
      </c>
      <c r="J894" s="16" t="s">
        <v>97</v>
      </c>
      <c r="K894" s="16" t="s">
        <v>33</v>
      </c>
      <c r="L894" s="31" t="s">
        <v>56</v>
      </c>
      <c r="N894" s="55" t="s">
        <v>915</v>
      </c>
      <c r="O894" s="16"/>
      <c r="P894" s="16"/>
      <c r="Q894" s="17">
        <f t="shared" si="107"/>
        <v>45462</v>
      </c>
      <c r="S894" s="20"/>
      <c r="T894" s="20" t="str">
        <f>VLOOKUP(A894,'Calendar ID'!$A:$C,3,false)</f>
        <v>lilyy.nl@grapperagency.com</v>
      </c>
      <c r="U894" s="20" t="b">
        <v>0</v>
      </c>
      <c r="V894" s="20" t="str">
        <f>VLOOKUP($A894,'Calendar ID'!$A:$C,2,false)</f>
        <v>c_665764ca21c8e4b3814e25bf24bc7074fa55890dce5d4073abb0fdddc70649d4@group.calendar.google.com</v>
      </c>
      <c r="W894" s="19" t="b">
        <v>1</v>
      </c>
      <c r="X894" s="19" t="s">
        <v>82</v>
      </c>
      <c r="Y894" s="20"/>
      <c r="Z894" s="20"/>
      <c r="AA894" s="20"/>
      <c r="AB894" s="20"/>
      <c r="AC894" s="20"/>
    </row>
    <row r="895" hidden="1">
      <c r="A895" s="16" t="s">
        <v>45</v>
      </c>
      <c r="B895" s="17">
        <v>45436.0</v>
      </c>
      <c r="C895" s="16" t="s">
        <v>678</v>
      </c>
      <c r="E895" s="17"/>
      <c r="F895" s="17"/>
      <c r="G895" s="53">
        <v>45465.0</v>
      </c>
      <c r="H895" s="16" t="s">
        <v>31</v>
      </c>
      <c r="J895" s="16" t="s">
        <v>43</v>
      </c>
      <c r="K895" s="16" t="s">
        <v>33</v>
      </c>
      <c r="L895" s="31" t="s">
        <v>56</v>
      </c>
      <c r="N895" s="16"/>
      <c r="O895" s="16"/>
      <c r="P895" s="16"/>
      <c r="Q895" s="17">
        <f t="shared" si="107"/>
        <v>45436</v>
      </c>
      <c r="S895" s="20"/>
      <c r="T895" s="20" t="str">
        <f>VLOOKUP(A895,'Calendar ID'!$A:$C,3,false)</f>
        <v>lilyy.nl@grapperagency.com</v>
      </c>
      <c r="U895" s="20" t="b">
        <v>0</v>
      </c>
      <c r="V895" s="20" t="str">
        <f>VLOOKUP($A895,'Calendar ID'!$A:$C,2,false)</f>
        <v>c_665764ca21c8e4b3814e25bf24bc7074fa55890dce5d4073abb0fdddc70649d4@group.calendar.google.com</v>
      </c>
      <c r="W895" s="19" t="b">
        <v>1</v>
      </c>
      <c r="X895" s="19" t="s">
        <v>82</v>
      </c>
      <c r="Y895" s="20"/>
      <c r="Z895" s="20"/>
      <c r="AA895" s="20"/>
      <c r="AB895" s="20"/>
      <c r="AC895" s="20"/>
    </row>
    <row r="896" hidden="1">
      <c r="A896" s="16" t="s">
        <v>45</v>
      </c>
      <c r="B896" s="17">
        <v>45442.0</v>
      </c>
      <c r="C896" s="16" t="s">
        <v>679</v>
      </c>
      <c r="E896" s="17"/>
      <c r="F896" s="17"/>
      <c r="G896" s="58">
        <v>45467.0</v>
      </c>
      <c r="H896" s="16" t="s">
        <v>31</v>
      </c>
      <c r="J896" s="16" t="s">
        <v>43</v>
      </c>
      <c r="K896" s="16" t="s">
        <v>33</v>
      </c>
      <c r="L896" s="31" t="s">
        <v>56</v>
      </c>
      <c r="N896" s="16"/>
      <c r="O896" s="16"/>
      <c r="P896" s="16"/>
      <c r="Q896" s="17">
        <f t="shared" si="107"/>
        <v>45442</v>
      </c>
      <c r="S896" s="20"/>
      <c r="T896" s="20" t="str">
        <f>VLOOKUP(A896,'Calendar ID'!$A:$C,3,false)</f>
        <v>lilyy.nl@grapperagency.com</v>
      </c>
      <c r="U896" s="20" t="b">
        <v>0</v>
      </c>
      <c r="V896" s="20" t="str">
        <f>VLOOKUP($A896,'Calendar ID'!$A:$C,2,false)</f>
        <v>c_665764ca21c8e4b3814e25bf24bc7074fa55890dce5d4073abb0fdddc70649d4@group.calendar.google.com</v>
      </c>
      <c r="W896" s="19" t="b">
        <v>0</v>
      </c>
      <c r="X896" s="20" t="str">
        <f>VLOOKUP($A896,'Calendar ID'!$A:$C,2,false)</f>
        <v>c_665764ca21c8e4b3814e25bf24bc7074fa55890dce5d4073abb0fdddc70649d4@group.calendar.google.com</v>
      </c>
      <c r="Y896" s="20"/>
      <c r="Z896" s="20"/>
      <c r="AA896" s="20"/>
      <c r="AB896" s="20"/>
      <c r="AC896" s="20"/>
    </row>
    <row r="897" hidden="1">
      <c r="A897" s="10" t="s">
        <v>45</v>
      </c>
      <c r="B897" s="17">
        <v>45463.0</v>
      </c>
      <c r="C897" s="16" t="s">
        <v>680</v>
      </c>
      <c r="E897" s="17"/>
      <c r="F897" s="58">
        <v>45467.0</v>
      </c>
      <c r="G897" s="61">
        <v>45480.0</v>
      </c>
      <c r="H897" s="16" t="s">
        <v>31</v>
      </c>
      <c r="J897" s="16" t="s">
        <v>682</v>
      </c>
      <c r="K897" s="16" t="s">
        <v>33</v>
      </c>
      <c r="L897" s="31" t="s">
        <v>56</v>
      </c>
      <c r="N897" s="55" t="s">
        <v>916</v>
      </c>
      <c r="O897" s="16"/>
      <c r="P897" s="16"/>
      <c r="Q897" s="17">
        <f t="shared" si="107"/>
        <v>45463</v>
      </c>
      <c r="S897" s="20"/>
      <c r="T897" s="20" t="str">
        <f>VLOOKUP(A897,'Calendar ID'!$A:$C,3,false)</f>
        <v>lilyy.nl@grapperagency.com</v>
      </c>
      <c r="U897" s="20" t="b">
        <v>0</v>
      </c>
      <c r="V897" s="20" t="str">
        <f>VLOOKUP($A897,'Calendar ID'!$A:$C,2,false)</f>
        <v>c_665764ca21c8e4b3814e25bf24bc7074fa55890dce5d4073abb0fdddc70649d4@group.calendar.google.com</v>
      </c>
      <c r="W897" s="19" t="b">
        <v>1</v>
      </c>
      <c r="X897" s="19" t="s">
        <v>82</v>
      </c>
      <c r="Y897" s="20"/>
      <c r="Z897" s="20"/>
      <c r="AA897" s="20"/>
      <c r="AB897" s="20"/>
      <c r="AC897" s="20"/>
    </row>
    <row r="898" hidden="1">
      <c r="A898" s="16" t="s">
        <v>45</v>
      </c>
      <c r="B898" s="17">
        <v>45447.0</v>
      </c>
      <c r="C898" s="16" t="s">
        <v>683</v>
      </c>
      <c r="E898" s="17"/>
      <c r="F898" s="53">
        <v>45463.0</v>
      </c>
      <c r="G898" s="67">
        <v>45488.0</v>
      </c>
      <c r="H898" s="16" t="s">
        <v>31</v>
      </c>
      <c r="I898" s="16" t="s">
        <v>111</v>
      </c>
      <c r="J898" s="16" t="s">
        <v>43</v>
      </c>
      <c r="K898" s="16" t="s">
        <v>33</v>
      </c>
      <c r="L898" s="31" t="s">
        <v>56</v>
      </c>
      <c r="N898" s="16"/>
      <c r="O898" s="16"/>
      <c r="P898" s="16"/>
      <c r="Q898" s="17">
        <f t="shared" si="107"/>
        <v>45447</v>
      </c>
      <c r="S898" s="20"/>
      <c r="T898" s="20" t="str">
        <f>VLOOKUP(A898,'Calendar ID'!$A:$C,3,false)</f>
        <v>lilyy.nl@grapperagency.com</v>
      </c>
      <c r="U898" s="20" t="b">
        <v>0</v>
      </c>
      <c r="V898" s="20" t="str">
        <f>VLOOKUP($A898,'Calendar ID'!$A:$C,2,false)</f>
        <v>c_665764ca21c8e4b3814e25bf24bc7074fa55890dce5d4073abb0fdddc70649d4@group.calendar.google.com</v>
      </c>
      <c r="W898" s="19" t="b">
        <v>0</v>
      </c>
      <c r="X898" s="20" t="str">
        <f>VLOOKUP($A898,'Calendar ID'!$A:$C,2,false)</f>
        <v>c_665764ca21c8e4b3814e25bf24bc7074fa55890dce5d4073abb0fdddc70649d4@group.calendar.google.com</v>
      </c>
      <c r="Y898" s="20"/>
      <c r="Z898" s="20"/>
      <c r="AA898" s="20"/>
      <c r="AB898" s="20"/>
      <c r="AC898" s="20"/>
    </row>
    <row r="899" hidden="1">
      <c r="A899" s="16" t="s">
        <v>45</v>
      </c>
      <c r="B899" s="17">
        <v>45454.0</v>
      </c>
      <c r="C899" s="16" t="s">
        <v>174</v>
      </c>
      <c r="D899" s="16" t="s">
        <v>685</v>
      </c>
      <c r="E899" s="17"/>
      <c r="F899" s="156">
        <v>45481.0</v>
      </c>
      <c r="G899" s="164">
        <v>45501.0</v>
      </c>
      <c r="H899" s="16" t="s">
        <v>31</v>
      </c>
      <c r="J899" s="16" t="s">
        <v>43</v>
      </c>
      <c r="K899" s="16" t="s">
        <v>33</v>
      </c>
      <c r="L899" s="31" t="s">
        <v>56</v>
      </c>
      <c r="N899" s="55" t="s">
        <v>917</v>
      </c>
      <c r="O899" s="16"/>
      <c r="P899" s="16"/>
      <c r="Q899" s="17">
        <f t="shared" si="107"/>
        <v>45454</v>
      </c>
      <c r="S899" s="20"/>
      <c r="T899" s="20" t="str">
        <f>VLOOKUP(A899,'Calendar ID'!$A:$C,3,false)</f>
        <v>lilyy.nl@grapperagency.com</v>
      </c>
      <c r="U899" s="19" t="b">
        <v>0</v>
      </c>
      <c r="V899" s="20" t="str">
        <f>VLOOKUP($A899,'Calendar ID'!$A:$C,2,false)</f>
        <v>c_665764ca21c8e4b3814e25bf24bc7074fa55890dce5d4073abb0fdddc70649d4@group.calendar.google.com</v>
      </c>
      <c r="W899" s="19" t="b">
        <v>1</v>
      </c>
      <c r="X899" s="19" t="s">
        <v>82</v>
      </c>
      <c r="Y899" s="20"/>
      <c r="Z899" s="20"/>
      <c r="AA899" s="20"/>
      <c r="AB899" s="20"/>
      <c r="AC899" s="20"/>
    </row>
    <row r="900" hidden="1">
      <c r="A900" s="16" t="s">
        <v>45</v>
      </c>
      <c r="B900" s="17">
        <v>45489.0</v>
      </c>
      <c r="C900" s="16" t="s">
        <v>918</v>
      </c>
      <c r="E900" s="17"/>
      <c r="G900" s="72">
        <v>45508.0</v>
      </c>
      <c r="H900" s="10" t="s">
        <v>31</v>
      </c>
      <c r="J900" s="16" t="s">
        <v>97</v>
      </c>
      <c r="K900" s="23" t="s">
        <v>33</v>
      </c>
      <c r="L900" s="31" t="s">
        <v>56</v>
      </c>
      <c r="N900" s="55" t="s">
        <v>919</v>
      </c>
      <c r="O900" s="16"/>
      <c r="P900" s="16"/>
      <c r="Q900" s="17">
        <f t="shared" si="107"/>
        <v>45489</v>
      </c>
      <c r="S900" s="20"/>
      <c r="T900" s="68" t="str">
        <f>VLOOKUP(A900,'Calendar ID'!$A:$C,3,false)</f>
        <v>lilyy.nl@grapperagency.com</v>
      </c>
      <c r="U900" s="71" t="b">
        <v>0</v>
      </c>
      <c r="V900" s="68" t="str">
        <f>VLOOKUP($A900,'Calendar ID'!$A:$C,2,false)</f>
        <v>c_665764ca21c8e4b3814e25bf24bc7074fa55890dce5d4073abb0fdddc70649d4@group.calendar.google.com</v>
      </c>
      <c r="W900" s="69" t="b">
        <v>1</v>
      </c>
      <c r="X900" s="70" t="s">
        <v>82</v>
      </c>
      <c r="Y900" s="20"/>
      <c r="Z900" s="20"/>
      <c r="AA900" s="20"/>
      <c r="AB900" s="20"/>
      <c r="AC900" s="20"/>
    </row>
    <row r="901" hidden="1">
      <c r="A901" s="16" t="s">
        <v>45</v>
      </c>
      <c r="B901" s="17">
        <v>45503.0</v>
      </c>
      <c r="C901" s="16" t="s">
        <v>690</v>
      </c>
      <c r="E901" s="17"/>
      <c r="G901" s="17">
        <v>45522.0</v>
      </c>
      <c r="H901" s="10" t="s">
        <v>31</v>
      </c>
      <c r="I901" s="16" t="s">
        <v>158</v>
      </c>
      <c r="J901" s="16" t="s">
        <v>97</v>
      </c>
      <c r="K901" s="23" t="s">
        <v>33</v>
      </c>
      <c r="L901" s="31" t="s">
        <v>56</v>
      </c>
      <c r="N901" s="55" t="s">
        <v>920</v>
      </c>
      <c r="O901" s="16"/>
      <c r="P901" s="16"/>
      <c r="Q901" s="17">
        <f t="shared" si="107"/>
        <v>45503</v>
      </c>
      <c r="S901" s="20"/>
      <c r="T901" s="68" t="str">
        <f>VLOOKUP(A901,'Calendar ID'!$A:$C,3,false)</f>
        <v>lilyy.nl@grapperagency.com</v>
      </c>
      <c r="U901" s="71" t="b">
        <v>0</v>
      </c>
      <c r="V901" s="68" t="str">
        <f>VLOOKUP($A901,'Calendar ID'!$A:$C,2,false)</f>
        <v>c_665764ca21c8e4b3814e25bf24bc7074fa55890dce5d4073abb0fdddc70649d4@group.calendar.google.com</v>
      </c>
      <c r="W901" s="69" t="b">
        <v>0</v>
      </c>
      <c r="X901" s="68" t="str">
        <f>VLOOKUP($A901,'Calendar ID'!$A:$C,2,false)</f>
        <v>c_665764ca21c8e4b3814e25bf24bc7074fa55890dce5d4073abb0fdddc70649d4@group.calendar.google.com</v>
      </c>
      <c r="Y901" s="20"/>
      <c r="Z901" s="20"/>
      <c r="AA901" s="20"/>
      <c r="AB901" s="20"/>
      <c r="AC901" s="20"/>
    </row>
    <row r="902" hidden="1">
      <c r="A902" s="16" t="s">
        <v>45</v>
      </c>
      <c r="B902" s="17">
        <v>45505.0</v>
      </c>
      <c r="C902" s="16" t="s">
        <v>921</v>
      </c>
      <c r="E902" s="17"/>
      <c r="F902" s="17">
        <v>45520.0</v>
      </c>
      <c r="G902" s="17">
        <v>45530.0</v>
      </c>
      <c r="H902" s="10" t="s">
        <v>31</v>
      </c>
      <c r="J902" s="23" t="s">
        <v>97</v>
      </c>
      <c r="K902" s="23" t="s">
        <v>33</v>
      </c>
      <c r="L902" s="14" t="s">
        <v>56</v>
      </c>
      <c r="N902" s="16"/>
      <c r="O902" s="16"/>
      <c r="P902" s="16"/>
      <c r="Q902" s="17">
        <f t="shared" si="107"/>
        <v>45505</v>
      </c>
      <c r="S902" s="20"/>
      <c r="T902" s="68" t="str">
        <f>VLOOKUP(A902,'Calendar ID'!$A:$C,3,false)</f>
        <v>lilyy.nl@grapperagency.com</v>
      </c>
      <c r="U902" s="71" t="b">
        <v>0</v>
      </c>
      <c r="V902" s="68" t="str">
        <f>VLOOKUP($A902,'Calendar ID'!$A:$C,2,false)</f>
        <v>c_665764ca21c8e4b3814e25bf24bc7074fa55890dce5d4073abb0fdddc70649d4@group.calendar.google.com</v>
      </c>
      <c r="W902" s="69" t="b">
        <v>1</v>
      </c>
      <c r="X902" s="70" t="s">
        <v>82</v>
      </c>
      <c r="Y902" s="20"/>
      <c r="Z902" s="20"/>
      <c r="AA902" s="20"/>
      <c r="AB902" s="20"/>
      <c r="AC902" s="20"/>
    </row>
    <row r="903" hidden="1">
      <c r="A903" s="16" t="s">
        <v>45</v>
      </c>
      <c r="B903" s="17">
        <v>45533.0</v>
      </c>
      <c r="C903" s="16" t="s">
        <v>67</v>
      </c>
      <c r="E903" s="17"/>
      <c r="G903" s="17">
        <v>45538.0</v>
      </c>
      <c r="H903" s="10" t="s">
        <v>31</v>
      </c>
      <c r="J903" s="16" t="s">
        <v>43</v>
      </c>
      <c r="K903" s="23" t="s">
        <v>33</v>
      </c>
      <c r="L903" s="31" t="s">
        <v>50</v>
      </c>
      <c r="N903" s="16"/>
      <c r="O903" s="16"/>
      <c r="P903" s="16"/>
      <c r="Q903" s="17">
        <f t="shared" si="107"/>
        <v>45533</v>
      </c>
      <c r="S903" s="20"/>
      <c r="T903" s="68" t="str">
        <f>VLOOKUP(A903,'Calendar ID'!$A:$C,3,false)</f>
        <v>lilyy.nl@grapperagency.com</v>
      </c>
      <c r="U903" s="78" t="b">
        <v>0</v>
      </c>
      <c r="V903" s="68" t="str">
        <f>VLOOKUP($A903,'Calendar ID'!$A:$C,2,false)</f>
        <v>c_665764ca21c8e4b3814e25bf24bc7074fa55890dce5d4073abb0fdddc70649d4@group.calendar.google.com</v>
      </c>
      <c r="W903" s="69" t="b">
        <v>1</v>
      </c>
      <c r="X903" s="70" t="s">
        <v>82</v>
      </c>
    </row>
    <row r="904" hidden="1">
      <c r="A904" s="16" t="s">
        <v>45</v>
      </c>
      <c r="B904" s="17">
        <v>45530.0</v>
      </c>
      <c r="C904" s="16" t="s">
        <v>819</v>
      </c>
      <c r="D904" s="16" t="s">
        <v>819</v>
      </c>
      <c r="E904" s="17"/>
      <c r="F904" s="17">
        <v>45533.0</v>
      </c>
      <c r="G904" s="17">
        <v>45554.0</v>
      </c>
      <c r="H904" s="10" t="s">
        <v>31</v>
      </c>
      <c r="J904" s="16" t="s">
        <v>43</v>
      </c>
      <c r="K904" s="23" t="s">
        <v>33</v>
      </c>
      <c r="L904" s="31" t="s">
        <v>56</v>
      </c>
      <c r="N904" s="65" t="s">
        <v>922</v>
      </c>
      <c r="O904" s="16"/>
      <c r="P904" s="16"/>
      <c r="Q904" s="17">
        <f t="shared" si="107"/>
        <v>45530</v>
      </c>
      <c r="S904" s="20"/>
      <c r="T904" s="68" t="str">
        <f>VLOOKUP(A904,'Calendar ID'!$A:$C,3,false)</f>
        <v>lilyy.nl@grapperagency.com</v>
      </c>
      <c r="U904" s="78" t="b">
        <v>0</v>
      </c>
      <c r="V904" s="68" t="str">
        <f>VLOOKUP($A904,'Calendar ID'!$A:$C,2,false)</f>
        <v>c_665764ca21c8e4b3814e25bf24bc7074fa55890dce5d4073abb0fdddc70649d4@group.calendar.google.com</v>
      </c>
      <c r="W904" s="69" t="b">
        <v>1</v>
      </c>
      <c r="X904" s="70" t="s">
        <v>82</v>
      </c>
    </row>
    <row r="905" hidden="1">
      <c r="A905" s="16" t="s">
        <v>45</v>
      </c>
      <c r="B905" s="54">
        <v>45513.0</v>
      </c>
      <c r="C905" s="16" t="s">
        <v>692</v>
      </c>
      <c r="E905" s="17"/>
      <c r="F905" s="17">
        <v>45536.0</v>
      </c>
      <c r="G905" s="17">
        <v>45560.0</v>
      </c>
      <c r="H905" s="10" t="s">
        <v>31</v>
      </c>
      <c r="J905" s="16" t="s">
        <v>43</v>
      </c>
      <c r="K905" s="23" t="s">
        <v>33</v>
      </c>
      <c r="L905" s="31" t="s">
        <v>56</v>
      </c>
      <c r="N905" s="16"/>
      <c r="O905" s="16"/>
      <c r="P905" s="16"/>
      <c r="Q905" s="17">
        <f t="shared" si="107"/>
        <v>45513</v>
      </c>
      <c r="S905" s="20"/>
      <c r="T905" s="68" t="str">
        <f>VLOOKUP(A905,'Calendar ID'!$A:$C,3,false)</f>
        <v>lilyy.nl@grapperagency.com</v>
      </c>
      <c r="U905" s="78" t="b">
        <v>0</v>
      </c>
      <c r="V905" s="68" t="str">
        <f>VLOOKUP($A905,'Calendar ID'!$A:$C,2,false)</f>
        <v>c_665764ca21c8e4b3814e25bf24bc7074fa55890dce5d4073abb0fdddc70649d4@group.calendar.google.com</v>
      </c>
      <c r="W905" s="69" t="b">
        <v>1</v>
      </c>
      <c r="X905" s="70" t="s">
        <v>82</v>
      </c>
      <c r="AA905" s="29"/>
    </row>
    <row r="906" hidden="1">
      <c r="A906" s="16" t="s">
        <v>45</v>
      </c>
      <c r="B906" s="17">
        <v>45474.0</v>
      </c>
      <c r="C906" s="16" t="s">
        <v>694</v>
      </c>
      <c r="E906" s="17"/>
      <c r="F906" s="17">
        <v>45547.0</v>
      </c>
      <c r="G906" s="17">
        <f>F906+15</f>
        <v>45562</v>
      </c>
      <c r="H906" s="10" t="s">
        <v>31</v>
      </c>
      <c r="J906" s="16" t="s">
        <v>97</v>
      </c>
      <c r="K906" s="16" t="s">
        <v>33</v>
      </c>
      <c r="L906" s="31" t="s">
        <v>56</v>
      </c>
      <c r="N906" s="65" t="s">
        <v>923</v>
      </c>
      <c r="O906" s="16"/>
      <c r="P906" s="16"/>
      <c r="Q906" s="17">
        <f t="shared" si="107"/>
        <v>45474</v>
      </c>
      <c r="S906" s="20"/>
      <c r="T906" s="68" t="str">
        <f>VLOOKUP(A906,'Calendar ID'!$A:$C,3,false)</f>
        <v>lilyy.nl@grapperagency.com</v>
      </c>
      <c r="U906" s="71" t="b">
        <v>0</v>
      </c>
      <c r="V906" s="68" t="str">
        <f>VLOOKUP($A906,'Calendar ID'!$A:$C,2,false)</f>
        <v>c_665764ca21c8e4b3814e25bf24bc7074fa55890dce5d4073abb0fdddc70649d4@group.calendar.google.com</v>
      </c>
      <c r="W906" s="69" t="b">
        <v>1</v>
      </c>
      <c r="X906" s="70" t="s">
        <v>82</v>
      </c>
      <c r="Y906" s="20"/>
      <c r="Z906" s="20"/>
      <c r="AA906" s="20"/>
      <c r="AB906" s="20"/>
      <c r="AC906" s="20"/>
    </row>
    <row r="907" hidden="1">
      <c r="A907" s="16" t="s">
        <v>45</v>
      </c>
      <c r="B907" s="11">
        <v>45545.0</v>
      </c>
      <c r="C907" s="23" t="s">
        <v>869</v>
      </c>
      <c r="D907" s="7"/>
      <c r="E907" s="26"/>
      <c r="F907" s="11"/>
      <c r="G907" s="11">
        <v>45575.0</v>
      </c>
      <c r="H907" s="10" t="s">
        <v>31</v>
      </c>
      <c r="I907" s="7"/>
      <c r="J907" s="23" t="s">
        <v>43</v>
      </c>
      <c r="K907" s="23" t="s">
        <v>33</v>
      </c>
      <c r="L907" s="14" t="s">
        <v>56</v>
      </c>
      <c r="M907" s="7"/>
      <c r="N907" s="152" t="s">
        <v>924</v>
      </c>
      <c r="O907" s="23"/>
      <c r="P907" s="23"/>
      <c r="Q907" s="17">
        <f t="shared" si="107"/>
        <v>45545</v>
      </c>
      <c r="R907" s="7"/>
      <c r="S907" s="68"/>
      <c r="T907" s="68" t="str">
        <f>VLOOKUP(A907,'Calendar ID'!$A:$C,3,false)</f>
        <v>lilyy.nl@grapperagency.com</v>
      </c>
      <c r="U907" s="78" t="b">
        <v>0</v>
      </c>
      <c r="V907" s="68" t="str">
        <f>VLOOKUP($A907,'Calendar ID'!$A:$C,2,false)</f>
        <v>c_665764ca21c8e4b3814e25bf24bc7074fa55890dce5d4073abb0fdddc70649d4@group.calendar.google.com</v>
      </c>
      <c r="W907" s="69" t="b">
        <v>1</v>
      </c>
      <c r="X907" s="70" t="s">
        <v>82</v>
      </c>
      <c r="Y907" s="7"/>
      <c r="Z907" s="7"/>
      <c r="AA907" s="7"/>
      <c r="AB907" s="7"/>
      <c r="AC907" s="7"/>
    </row>
    <row r="908" hidden="1">
      <c r="A908" s="16" t="s">
        <v>45</v>
      </c>
      <c r="B908" s="17">
        <v>45560.0</v>
      </c>
      <c r="C908" s="16" t="s">
        <v>806</v>
      </c>
      <c r="D908" s="16" t="s">
        <v>844</v>
      </c>
      <c r="E908" s="17"/>
      <c r="F908" s="17">
        <v>45560.0</v>
      </c>
      <c r="G908" s="17">
        <v>45575.0</v>
      </c>
      <c r="H908" s="10" t="s">
        <v>31</v>
      </c>
      <c r="J908" s="16" t="s">
        <v>266</v>
      </c>
      <c r="K908" s="23" t="s">
        <v>33</v>
      </c>
      <c r="L908" s="31" t="s">
        <v>56</v>
      </c>
      <c r="N908" s="65" t="s">
        <v>925</v>
      </c>
      <c r="O908" s="16"/>
      <c r="P908" s="16"/>
      <c r="Q908" s="17">
        <f t="shared" si="107"/>
        <v>45560</v>
      </c>
      <c r="S908" s="20"/>
      <c r="T908" s="68" t="str">
        <f>VLOOKUP(A908,'Calendar ID'!$A:$C,3,false)</f>
        <v>lilyy.nl@grapperagency.com</v>
      </c>
      <c r="U908" s="78" t="b">
        <v>0</v>
      </c>
      <c r="V908" s="68" t="str">
        <f>VLOOKUP($A908,'Calendar ID'!$A:$C,2,false)</f>
        <v>c_665764ca21c8e4b3814e25bf24bc7074fa55890dce5d4073abb0fdddc70649d4@group.calendar.google.com</v>
      </c>
      <c r="W908" s="69" t="b">
        <v>1</v>
      </c>
      <c r="X908" s="70" t="s">
        <v>82</v>
      </c>
    </row>
    <row r="909" hidden="1">
      <c r="A909" s="16" t="s">
        <v>45</v>
      </c>
      <c r="B909" s="17">
        <v>45524.0</v>
      </c>
      <c r="C909" s="16" t="s">
        <v>220</v>
      </c>
      <c r="D909" s="16" t="s">
        <v>696</v>
      </c>
      <c r="E909" s="17"/>
      <c r="F909" s="17">
        <v>45558.0</v>
      </c>
      <c r="G909" s="17">
        <v>45581.0</v>
      </c>
      <c r="H909" s="10" t="s">
        <v>31</v>
      </c>
      <c r="J909" s="16" t="s">
        <v>43</v>
      </c>
      <c r="K909" s="23" t="s">
        <v>33</v>
      </c>
      <c r="L909" s="31" t="s">
        <v>56</v>
      </c>
      <c r="N909" s="16"/>
      <c r="O909" s="16"/>
      <c r="P909" s="16"/>
      <c r="Q909" s="17">
        <f t="shared" si="107"/>
        <v>45524</v>
      </c>
      <c r="S909" s="20"/>
      <c r="T909" s="68" t="str">
        <f>VLOOKUP(A909,'Calendar ID'!$A:$C,3,false)</f>
        <v>lilyy.nl@grapperagency.com</v>
      </c>
      <c r="U909" s="78" t="b">
        <v>0</v>
      </c>
      <c r="V909" s="68" t="str">
        <f>VLOOKUP($A909,'Calendar ID'!$A:$C,2,false)</f>
        <v>c_665764ca21c8e4b3814e25bf24bc7074fa55890dce5d4073abb0fdddc70649d4@group.calendar.google.com</v>
      </c>
      <c r="W909" s="69" t="b">
        <v>1</v>
      </c>
      <c r="X909" s="70" t="s">
        <v>82</v>
      </c>
    </row>
    <row r="910" hidden="1">
      <c r="A910" s="16" t="s">
        <v>45</v>
      </c>
      <c r="B910" s="17">
        <v>45565.0</v>
      </c>
      <c r="C910" s="16" t="s">
        <v>630</v>
      </c>
      <c r="D910" s="16" t="s">
        <v>704</v>
      </c>
      <c r="E910" s="17"/>
      <c r="F910" s="17">
        <v>45566.0</v>
      </c>
      <c r="G910" s="17">
        <v>45587.0</v>
      </c>
      <c r="H910" s="10" t="s">
        <v>31</v>
      </c>
      <c r="J910" s="16" t="s">
        <v>43</v>
      </c>
      <c r="K910" s="23" t="s">
        <v>33</v>
      </c>
      <c r="L910" s="31" t="s">
        <v>56</v>
      </c>
      <c r="N910" s="55" t="s">
        <v>926</v>
      </c>
      <c r="O910" s="16"/>
      <c r="P910" s="16"/>
      <c r="Q910" s="17">
        <f t="shared" si="107"/>
        <v>45565</v>
      </c>
      <c r="S910" s="20"/>
      <c r="T910" s="68" t="str">
        <f>VLOOKUP(A910,'Calendar ID'!$A:$C,3,false)</f>
        <v>lilyy.nl@grapperagency.com</v>
      </c>
      <c r="U910" s="78" t="b">
        <v>0</v>
      </c>
      <c r="V910" s="68" t="str">
        <f>VLOOKUP($A910,'Calendar ID'!$A:$C,2,false)</f>
        <v>c_665764ca21c8e4b3814e25bf24bc7074fa55890dce5d4073abb0fdddc70649d4@group.calendar.google.com</v>
      </c>
      <c r="W910" s="69" t="b">
        <v>1</v>
      </c>
      <c r="X910" s="70" t="s">
        <v>82</v>
      </c>
    </row>
    <row r="911" hidden="1">
      <c r="A911" s="16" t="s">
        <v>45</v>
      </c>
      <c r="B911" s="17">
        <v>45600.0</v>
      </c>
      <c r="C911" s="16" t="s">
        <v>730</v>
      </c>
      <c r="E911" s="162"/>
      <c r="F911" s="17">
        <v>45600.0</v>
      </c>
      <c r="G911" s="17">
        <v>45610.0</v>
      </c>
      <c r="H911" s="10" t="s">
        <v>31</v>
      </c>
      <c r="J911" s="16" t="s">
        <v>43</v>
      </c>
      <c r="K911" s="23" t="s">
        <v>33</v>
      </c>
      <c r="L911" s="31" t="s">
        <v>56</v>
      </c>
      <c r="N911" s="16"/>
      <c r="O911" s="16"/>
      <c r="P911" s="16"/>
      <c r="Q911" s="17">
        <f t="shared" si="107"/>
        <v>45600</v>
      </c>
      <c r="S911" s="20"/>
      <c r="T911" s="68" t="str">
        <f>VLOOKUP(A911,'Calendar ID'!$A:$C,3,false)</f>
        <v>lilyy.nl@grapperagency.com</v>
      </c>
      <c r="U911" s="77" t="b">
        <v>0</v>
      </c>
      <c r="V911" s="68" t="str">
        <f>VLOOKUP($A911,'Calendar ID'!$A:$C,2,false)</f>
        <v>c_665764ca21c8e4b3814e25bf24bc7074fa55890dce5d4073abb0fdddc70649d4@group.calendar.google.com</v>
      </c>
      <c r="W911" s="77" t="b">
        <v>1</v>
      </c>
      <c r="X911" s="70" t="s">
        <v>82</v>
      </c>
    </row>
    <row r="912" hidden="1">
      <c r="A912" s="16" t="s">
        <v>45</v>
      </c>
      <c r="B912" s="17">
        <v>45574.0</v>
      </c>
      <c r="C912" s="16" t="s">
        <v>757</v>
      </c>
      <c r="E912" s="17"/>
      <c r="F912" s="82">
        <v>45594.0</v>
      </c>
      <c r="G912" s="17">
        <v>45611.0</v>
      </c>
      <c r="H912" s="10" t="s">
        <v>31</v>
      </c>
      <c r="J912" s="16" t="s">
        <v>43</v>
      </c>
      <c r="K912" s="23" t="s">
        <v>33</v>
      </c>
      <c r="L912" s="31" t="s">
        <v>56</v>
      </c>
      <c r="N912" s="16"/>
      <c r="O912" s="16"/>
      <c r="P912" s="16"/>
      <c r="Q912" s="17">
        <f t="shared" si="107"/>
        <v>45574</v>
      </c>
      <c r="S912" s="20"/>
      <c r="T912" s="68" t="str">
        <f>VLOOKUP(A912,'Calendar ID'!$A:$C,3,false)</f>
        <v>lilyy.nl@grapperagency.com</v>
      </c>
      <c r="U912" s="78" t="b">
        <v>0</v>
      </c>
      <c r="V912" s="68" t="str">
        <f>VLOOKUP($A912,'Calendar ID'!$A:$C,2,false)</f>
        <v>c_665764ca21c8e4b3814e25bf24bc7074fa55890dce5d4073abb0fdddc70649d4@group.calendar.google.com</v>
      </c>
      <c r="W912" s="69" t="b">
        <v>1</v>
      </c>
      <c r="X912" s="70" t="s">
        <v>82</v>
      </c>
    </row>
    <row r="913" hidden="1">
      <c r="A913" s="10" t="s">
        <v>45</v>
      </c>
      <c r="B913" s="17">
        <v>45608.0</v>
      </c>
      <c r="C913" s="16" t="s">
        <v>199</v>
      </c>
      <c r="D913" s="16" t="s">
        <v>301</v>
      </c>
      <c r="E913" s="17"/>
      <c r="F913" s="82"/>
      <c r="G913" s="17">
        <v>45639.0</v>
      </c>
      <c r="H913" s="10" t="s">
        <v>31</v>
      </c>
      <c r="J913" s="23" t="s">
        <v>43</v>
      </c>
      <c r="K913" s="23" t="s">
        <v>33</v>
      </c>
      <c r="L913" s="31">
        <v>450.0</v>
      </c>
      <c r="N913" s="16"/>
      <c r="O913" s="16"/>
      <c r="P913" s="23" t="s">
        <v>34</v>
      </c>
      <c r="Q913" s="17">
        <f t="shared" si="107"/>
        <v>45608</v>
      </c>
      <c r="R913" s="15">
        <f>L913*0.25</f>
        <v>112.5</v>
      </c>
      <c r="S913" s="20"/>
      <c r="T913" s="68" t="str">
        <f>VLOOKUP(A913,'Calendar ID'!$A:$C,3,false)</f>
        <v>lilyy.nl@grapperagency.com</v>
      </c>
      <c r="U913" s="77" t="b">
        <v>1</v>
      </c>
      <c r="V913" s="70" t="s">
        <v>82</v>
      </c>
      <c r="W913" s="77" t="b">
        <v>1</v>
      </c>
      <c r="X913" s="70" t="s">
        <v>82</v>
      </c>
    </row>
    <row r="914" hidden="1">
      <c r="A914" s="16" t="s">
        <v>45</v>
      </c>
      <c r="B914" s="17">
        <v>45628.0</v>
      </c>
      <c r="C914" s="16" t="s">
        <v>651</v>
      </c>
      <c r="E914" s="17"/>
      <c r="F914" s="17">
        <v>45630.0</v>
      </c>
      <c r="G914" s="17">
        <v>45651.0</v>
      </c>
      <c r="H914" s="10" t="s">
        <v>31</v>
      </c>
      <c r="J914" s="16" t="s">
        <v>593</v>
      </c>
      <c r="K914" s="23" t="s">
        <v>33</v>
      </c>
      <c r="L914" s="31" t="s">
        <v>56</v>
      </c>
      <c r="N914" s="16"/>
      <c r="O914" s="16"/>
      <c r="P914" s="16"/>
      <c r="Q914" s="17">
        <f t="shared" si="107"/>
        <v>45628</v>
      </c>
      <c r="S914" s="20"/>
      <c r="T914" s="68" t="str">
        <f>VLOOKUP(A914,'Calendar ID'!$A:$C,3,false)</f>
        <v>lilyy.nl@grapperagency.com</v>
      </c>
      <c r="U914" s="71" t="b">
        <v>0</v>
      </c>
      <c r="V914" s="68" t="str">
        <f>VLOOKUP($A914,'Calendar ID'!$A:$C,2,false)</f>
        <v>c_665764ca21c8e4b3814e25bf24bc7074fa55890dce5d4073abb0fdddc70649d4@group.calendar.google.com</v>
      </c>
      <c r="W914" s="71" t="b">
        <v>0</v>
      </c>
      <c r="X914" s="68" t="str">
        <f>VLOOKUP($A914,'Calendar ID'!$A:$C,2,false)</f>
        <v>c_665764ca21c8e4b3814e25bf24bc7074fa55890dce5d4073abb0fdddc70649d4@group.calendar.google.com</v>
      </c>
    </row>
    <row r="915" hidden="1">
      <c r="A915" s="16" t="s">
        <v>45</v>
      </c>
      <c r="B915" s="17">
        <v>45630.0</v>
      </c>
      <c r="C915" s="16" t="s">
        <v>636</v>
      </c>
      <c r="E915" s="17"/>
      <c r="F915" s="17">
        <v>45632.0</v>
      </c>
      <c r="G915" s="17">
        <v>45651.0</v>
      </c>
      <c r="H915" s="10" t="s">
        <v>31</v>
      </c>
      <c r="J915" s="16" t="s">
        <v>593</v>
      </c>
      <c r="K915" s="23" t="s">
        <v>33</v>
      </c>
      <c r="L915" s="31" t="s">
        <v>56</v>
      </c>
      <c r="N915" s="16"/>
      <c r="O915" s="16"/>
      <c r="P915" s="16"/>
      <c r="Q915" s="17">
        <f t="shared" si="107"/>
        <v>45630</v>
      </c>
      <c r="S915" s="20"/>
      <c r="T915" s="68" t="str">
        <f>VLOOKUP(A915,'Calendar ID'!$A:$C,3,false)</f>
        <v>lilyy.nl@grapperagency.com</v>
      </c>
      <c r="U915" s="77" t="b">
        <v>0</v>
      </c>
      <c r="V915" s="68" t="str">
        <f>VLOOKUP($A915,'Calendar ID'!$A:$C,2,false)</f>
        <v>c_665764ca21c8e4b3814e25bf24bc7074fa55890dce5d4073abb0fdddc70649d4@group.calendar.google.com</v>
      </c>
      <c r="W915" s="77" t="b">
        <v>1</v>
      </c>
      <c r="X915" s="70" t="s">
        <v>82</v>
      </c>
    </row>
    <row r="916" hidden="1">
      <c r="A916" s="16" t="s">
        <v>45</v>
      </c>
      <c r="B916" s="17">
        <v>45636.0</v>
      </c>
      <c r="C916" s="16" t="s">
        <v>927</v>
      </c>
      <c r="E916" s="17"/>
      <c r="F916" s="95">
        <v>45297.0</v>
      </c>
      <c r="G916" s="96">
        <v>45663.0</v>
      </c>
      <c r="H916" s="10" t="s">
        <v>31</v>
      </c>
      <c r="J916" s="16" t="s">
        <v>43</v>
      </c>
      <c r="K916" s="23" t="s">
        <v>33</v>
      </c>
      <c r="L916" s="31" t="s">
        <v>56</v>
      </c>
      <c r="N916" s="16"/>
      <c r="O916" s="16"/>
      <c r="P916" s="16"/>
      <c r="Q916" s="17">
        <f t="shared" si="107"/>
        <v>45636</v>
      </c>
      <c r="S916" s="20"/>
      <c r="T916" s="68" t="str">
        <f>VLOOKUP(A916,'Calendar ID'!$A:$C,3,false)</f>
        <v>lilyy.nl@grapperagency.com</v>
      </c>
      <c r="U916" s="77" t="b">
        <v>0</v>
      </c>
      <c r="V916" s="68" t="str">
        <f>VLOOKUP($A916,'Calendar ID'!$A:$C,2,false)</f>
        <v>c_665764ca21c8e4b3814e25bf24bc7074fa55890dce5d4073abb0fdddc70649d4@group.calendar.google.com</v>
      </c>
      <c r="W916" s="77" t="b">
        <v>1</v>
      </c>
      <c r="X916" s="70" t="s">
        <v>82</v>
      </c>
    </row>
    <row r="917" hidden="1">
      <c r="A917" s="16" t="s">
        <v>45</v>
      </c>
      <c r="B917" s="17">
        <v>45645.0</v>
      </c>
      <c r="C917" s="16" t="s">
        <v>928</v>
      </c>
      <c r="E917" s="17"/>
      <c r="F917" s="82">
        <v>45647.0</v>
      </c>
      <c r="G917" s="161">
        <v>45668.0</v>
      </c>
      <c r="H917" s="10" t="s">
        <v>31</v>
      </c>
      <c r="J917" s="16" t="s">
        <v>97</v>
      </c>
      <c r="K917" s="23" t="s">
        <v>33</v>
      </c>
      <c r="L917" s="31" t="s">
        <v>56</v>
      </c>
      <c r="N917" s="16"/>
      <c r="O917" s="16"/>
      <c r="P917" s="16"/>
      <c r="Q917" s="17">
        <f t="shared" si="107"/>
        <v>45645</v>
      </c>
      <c r="S917" s="20"/>
      <c r="T917" s="68" t="str">
        <f>VLOOKUP(A917,'Calendar ID'!$A:$C,3,false)</f>
        <v>lilyy.nl@grapperagency.com</v>
      </c>
      <c r="U917" s="71" t="b">
        <v>0</v>
      </c>
      <c r="V917" s="68" t="str">
        <f>VLOOKUP($A917,'Calendar ID'!$A:$C,2,false)</f>
        <v>c_665764ca21c8e4b3814e25bf24bc7074fa55890dce5d4073abb0fdddc70649d4@group.calendar.google.com</v>
      </c>
      <c r="W917" s="69" t="b">
        <v>1</v>
      </c>
      <c r="X917" s="70" t="s">
        <v>82</v>
      </c>
    </row>
    <row r="918" hidden="1">
      <c r="A918" s="16" t="s">
        <v>45</v>
      </c>
      <c r="B918" s="17">
        <v>45664.0</v>
      </c>
      <c r="C918" s="16" t="s">
        <v>651</v>
      </c>
      <c r="E918" s="17"/>
      <c r="F918" s="96">
        <v>45666.0</v>
      </c>
      <c r="G918" s="106">
        <v>45695.0</v>
      </c>
      <c r="H918" s="10" t="s">
        <v>31</v>
      </c>
      <c r="J918" s="16" t="s">
        <v>593</v>
      </c>
      <c r="K918" s="23" t="s">
        <v>33</v>
      </c>
      <c r="L918" s="31" t="s">
        <v>56</v>
      </c>
      <c r="N918" s="16"/>
      <c r="O918" s="16"/>
      <c r="P918" s="16"/>
      <c r="Q918" s="17">
        <f t="shared" si="107"/>
        <v>45664</v>
      </c>
      <c r="S918" s="20"/>
      <c r="T918" s="68" t="str">
        <f>VLOOKUP(A918,'Calendar ID'!$A:$C,3,false)</f>
        <v>lilyy.nl@grapperagency.com</v>
      </c>
      <c r="U918" s="69" t="b">
        <v>0</v>
      </c>
      <c r="V918" s="68" t="str">
        <f>VLOOKUP($A918,'Calendar ID'!$A:$C,2,false)</f>
        <v>c_665764ca21c8e4b3814e25bf24bc7074fa55890dce5d4073abb0fdddc70649d4@group.calendar.google.com</v>
      </c>
      <c r="W918" s="69" t="b">
        <v>1</v>
      </c>
      <c r="X918" s="70" t="s">
        <v>82</v>
      </c>
    </row>
    <row r="919" hidden="1">
      <c r="A919" s="10" t="s">
        <v>45</v>
      </c>
      <c r="B919" s="17">
        <v>45680.0</v>
      </c>
      <c r="C919" s="16" t="s">
        <v>645</v>
      </c>
      <c r="E919" s="17"/>
      <c r="F919" s="105">
        <v>45684.0</v>
      </c>
      <c r="G919" s="86">
        <v>45698.0</v>
      </c>
      <c r="H919" s="10" t="s">
        <v>31</v>
      </c>
      <c r="J919" s="16" t="s">
        <v>641</v>
      </c>
      <c r="K919" s="23" t="s">
        <v>33</v>
      </c>
      <c r="L919" s="31" t="s">
        <v>56</v>
      </c>
      <c r="N919" s="65" t="s">
        <v>929</v>
      </c>
      <c r="O919" s="16"/>
      <c r="P919" s="16"/>
      <c r="Q919" s="17">
        <f t="shared" si="107"/>
        <v>45680</v>
      </c>
      <c r="S919" s="20"/>
      <c r="T919" s="68" t="str">
        <f>VLOOKUP(A919,'Calendar ID'!$A:$C,3,false)</f>
        <v>lilyy.nl@grapperagency.com</v>
      </c>
      <c r="U919" s="71" t="b">
        <v>0</v>
      </c>
      <c r="V919" s="68" t="str">
        <f>VLOOKUP($A919,'Calendar ID'!$A:$C,2,false)</f>
        <v>c_665764ca21c8e4b3814e25bf24bc7074fa55890dce5d4073abb0fdddc70649d4@group.calendar.google.com</v>
      </c>
      <c r="W919" s="69" t="b">
        <v>1</v>
      </c>
      <c r="X919" s="70" t="s">
        <v>82</v>
      </c>
    </row>
    <row r="920" hidden="1">
      <c r="A920" s="16" t="s">
        <v>45</v>
      </c>
      <c r="B920" s="17">
        <v>45306.0</v>
      </c>
      <c r="C920" s="16" t="s">
        <v>634</v>
      </c>
      <c r="E920" s="17"/>
      <c r="F920" s="97">
        <v>45681.0</v>
      </c>
      <c r="G920" s="107">
        <v>45704.0</v>
      </c>
      <c r="H920" s="10" t="s">
        <v>31</v>
      </c>
      <c r="J920" s="16" t="s">
        <v>43</v>
      </c>
      <c r="K920" s="23" t="s">
        <v>33</v>
      </c>
      <c r="L920" s="31" t="s">
        <v>56</v>
      </c>
      <c r="N920" s="65" t="s">
        <v>930</v>
      </c>
      <c r="O920" s="16"/>
      <c r="P920" s="16"/>
      <c r="Q920" s="17">
        <f t="shared" si="107"/>
        <v>45306</v>
      </c>
      <c r="S920" s="20"/>
      <c r="T920" s="68" t="str">
        <f>VLOOKUP(A920,'Calendar ID'!$A:$C,3,false)</f>
        <v>lilyy.nl@grapperagency.com</v>
      </c>
      <c r="U920" s="69" t="b">
        <v>0</v>
      </c>
      <c r="V920" s="68" t="str">
        <f>VLOOKUP($A920,'Calendar ID'!$A:$C,2,false)</f>
        <v>c_665764ca21c8e4b3814e25bf24bc7074fa55890dce5d4073abb0fdddc70649d4@group.calendar.google.com</v>
      </c>
      <c r="W920" s="69" t="b">
        <v>1</v>
      </c>
      <c r="X920" s="70" t="s">
        <v>82</v>
      </c>
    </row>
    <row r="921" hidden="1">
      <c r="A921" s="10" t="s">
        <v>45</v>
      </c>
      <c r="B921" s="11">
        <v>45680.0</v>
      </c>
      <c r="C921" s="23" t="s">
        <v>931</v>
      </c>
      <c r="D921" s="7"/>
      <c r="E921" s="26"/>
      <c r="F921" s="186">
        <v>45686.0</v>
      </c>
      <c r="G921" s="187">
        <v>45707.0</v>
      </c>
      <c r="H921" s="10" t="s">
        <v>31</v>
      </c>
      <c r="I921" s="7"/>
      <c r="J921" s="23" t="s">
        <v>641</v>
      </c>
      <c r="K921" s="23" t="s">
        <v>33</v>
      </c>
      <c r="L921" s="14" t="s">
        <v>56</v>
      </c>
      <c r="M921" s="7"/>
      <c r="N921" s="23"/>
      <c r="O921" s="23"/>
      <c r="P921" s="23"/>
      <c r="Q921" s="17">
        <f t="shared" si="107"/>
        <v>45680</v>
      </c>
      <c r="R921" s="7"/>
      <c r="S921" s="68"/>
      <c r="T921" s="78" t="str">
        <f>VLOOKUP(A921,'Calendar ID'!$A:$C,3,false)</f>
        <v>lilyy.nl@grapperagency.com</v>
      </c>
      <c r="U921" s="71" t="b">
        <v>0</v>
      </c>
      <c r="V921" s="78" t="str">
        <f>VLOOKUP($A921,'Calendar ID'!$A:$C,2,false)</f>
        <v>c_665764ca21c8e4b3814e25bf24bc7074fa55890dce5d4073abb0fdddc70649d4@group.calendar.google.com</v>
      </c>
      <c r="W921" s="69" t="b">
        <v>1</v>
      </c>
      <c r="X921" s="77" t="s">
        <v>82</v>
      </c>
      <c r="Y921" s="7"/>
      <c r="Z921" s="7"/>
      <c r="AA921" s="7"/>
      <c r="AB921" s="7"/>
      <c r="AC921" s="7"/>
    </row>
    <row r="922" hidden="1">
      <c r="A922" s="16" t="s">
        <v>45</v>
      </c>
      <c r="B922" s="17">
        <v>45674.0</v>
      </c>
      <c r="C922" s="16" t="s">
        <v>630</v>
      </c>
      <c r="E922" s="17"/>
      <c r="F922" s="97">
        <v>45677.0</v>
      </c>
      <c r="G922" s="107">
        <v>45711.0</v>
      </c>
      <c r="H922" s="10" t="s">
        <v>31</v>
      </c>
      <c r="J922" s="16" t="s">
        <v>43</v>
      </c>
      <c r="K922" s="23" t="s">
        <v>33</v>
      </c>
      <c r="L922" s="31" t="s">
        <v>56</v>
      </c>
      <c r="N922" s="55" t="s">
        <v>932</v>
      </c>
      <c r="Q922" s="17">
        <f t="shared" si="107"/>
        <v>45674</v>
      </c>
      <c r="S922" s="20"/>
      <c r="T922" s="68" t="str">
        <f>VLOOKUP(A922,'Calendar ID'!$A:$C,3,false)</f>
        <v>lilyy.nl@grapperagency.com</v>
      </c>
      <c r="U922" s="77" t="b">
        <v>0</v>
      </c>
      <c r="V922" s="68" t="str">
        <f>VLOOKUP($A922,'Calendar ID'!$A:$C,2,false)</f>
        <v>c_665764ca21c8e4b3814e25bf24bc7074fa55890dce5d4073abb0fdddc70649d4@group.calendar.google.com</v>
      </c>
      <c r="W922" s="77" t="b">
        <v>1</v>
      </c>
      <c r="X922" s="70" t="s">
        <v>82</v>
      </c>
    </row>
    <row r="923" hidden="1">
      <c r="A923" s="16" t="s">
        <v>45</v>
      </c>
      <c r="B923" s="17">
        <v>45691.0</v>
      </c>
      <c r="C923" s="16" t="s">
        <v>933</v>
      </c>
      <c r="E923" s="17"/>
      <c r="F923" s="106">
        <v>45693.0</v>
      </c>
      <c r="G923" s="107">
        <v>45712.0</v>
      </c>
      <c r="H923" s="10" t="s">
        <v>31</v>
      </c>
      <c r="J923" s="16" t="s">
        <v>641</v>
      </c>
      <c r="K923" s="23" t="s">
        <v>33</v>
      </c>
      <c r="L923" s="31" t="s">
        <v>56</v>
      </c>
      <c r="N923" s="16"/>
      <c r="O923" s="16"/>
      <c r="P923" s="16"/>
      <c r="Q923" s="17">
        <f t="shared" si="107"/>
        <v>45691</v>
      </c>
      <c r="S923" s="20"/>
      <c r="T923" s="68" t="str">
        <f>VLOOKUP(A923,'Calendar ID'!$A:$C,3,false)</f>
        <v>lilyy.nl@grapperagency.com</v>
      </c>
      <c r="U923" s="69" t="b">
        <v>0</v>
      </c>
      <c r="V923" s="68" t="str">
        <f>VLOOKUP($A923,'Calendar ID'!$A:$C,2,false)</f>
        <v>c_665764ca21c8e4b3814e25bf24bc7074fa55890dce5d4073abb0fdddc70649d4@group.calendar.google.com</v>
      </c>
      <c r="W923" s="69" t="b">
        <v>0</v>
      </c>
      <c r="X923" s="68" t="str">
        <f>VLOOKUP($A923,'Calendar ID'!$A:$C,2,false)</f>
        <v>c_665764ca21c8e4b3814e25bf24bc7074fa55890dce5d4073abb0fdddc70649d4@group.calendar.google.com</v>
      </c>
    </row>
    <row r="924" hidden="1">
      <c r="A924" s="16" t="s">
        <v>45</v>
      </c>
      <c r="B924" s="17">
        <v>45678.0</v>
      </c>
      <c r="C924" s="16" t="s">
        <v>199</v>
      </c>
      <c r="D924" s="16" t="s">
        <v>343</v>
      </c>
      <c r="E924" s="17"/>
      <c r="F924" s="97">
        <v>45680.0</v>
      </c>
      <c r="G924" s="102">
        <v>45726.0</v>
      </c>
      <c r="H924" s="10" t="s">
        <v>31</v>
      </c>
      <c r="J924" s="16" t="s">
        <v>43</v>
      </c>
      <c r="K924" s="23" t="s">
        <v>33</v>
      </c>
      <c r="L924" s="31">
        <v>450.0</v>
      </c>
      <c r="N924" s="16"/>
      <c r="O924" s="16"/>
      <c r="P924" s="16" t="s">
        <v>34</v>
      </c>
      <c r="Q924" s="17">
        <f t="shared" si="107"/>
        <v>45678</v>
      </c>
      <c r="R924" s="18">
        <f>L924*0.25</f>
        <v>112.5</v>
      </c>
      <c r="S924" s="20"/>
      <c r="T924" s="68" t="str">
        <f>VLOOKUP(A924,'Calendar ID'!$A:$C,3,false)</f>
        <v>lilyy.nl@grapperagency.com</v>
      </c>
      <c r="U924" s="77" t="b">
        <v>0</v>
      </c>
      <c r="V924" s="70" t="s">
        <v>855</v>
      </c>
      <c r="W924" s="77" t="b">
        <v>0</v>
      </c>
      <c r="X924" s="68" t="str">
        <f>VLOOKUP($A924,'Calendar ID'!$A:$C,2,false)</f>
        <v>c_665764ca21c8e4b3814e25bf24bc7074fa55890dce5d4073abb0fdddc70649d4@group.calendar.google.com</v>
      </c>
    </row>
    <row r="925" hidden="1">
      <c r="A925" s="160" t="s">
        <v>45</v>
      </c>
      <c r="B925" s="17">
        <v>45711.0</v>
      </c>
      <c r="C925" s="16" t="s">
        <v>640</v>
      </c>
      <c r="E925" s="17"/>
      <c r="F925" s="107">
        <v>45715.0</v>
      </c>
      <c r="G925" s="122">
        <v>45736.0</v>
      </c>
      <c r="H925" s="10" t="s">
        <v>31</v>
      </c>
      <c r="J925" s="16" t="s">
        <v>641</v>
      </c>
      <c r="K925" s="16" t="s">
        <v>33</v>
      </c>
      <c r="L925" s="31" t="s">
        <v>56</v>
      </c>
      <c r="N925" s="16"/>
      <c r="O925" s="16"/>
      <c r="P925" s="16"/>
      <c r="Q925" s="17">
        <f t="shared" si="107"/>
        <v>45711</v>
      </c>
      <c r="S925" s="20"/>
      <c r="T925" s="68" t="str">
        <f>VLOOKUP(A925,'Calendar ID'!$A:$C,3,false)</f>
        <v>lilyy.nl@grapperagency.com</v>
      </c>
      <c r="U925" s="71" t="b">
        <v>0</v>
      </c>
      <c r="V925" s="68" t="str">
        <f>VLOOKUP($A925,'Calendar ID'!$A:$C,2,false)</f>
        <v>c_665764ca21c8e4b3814e25bf24bc7074fa55890dce5d4073abb0fdddc70649d4@group.calendar.google.com</v>
      </c>
      <c r="W925" s="69" t="b">
        <v>1</v>
      </c>
      <c r="X925" s="70" t="s">
        <v>82</v>
      </c>
    </row>
    <row r="926" hidden="1">
      <c r="A926" s="16" t="s">
        <v>45</v>
      </c>
      <c r="B926" s="17">
        <v>45710.0</v>
      </c>
      <c r="C926" s="16" t="s">
        <v>199</v>
      </c>
      <c r="D926" s="29" t="s">
        <v>934</v>
      </c>
      <c r="E926" s="17"/>
      <c r="F926" s="17"/>
      <c r="G926" s="94">
        <v>45742.0</v>
      </c>
      <c r="H926" s="10" t="s">
        <v>31</v>
      </c>
      <c r="J926" s="16" t="s">
        <v>43</v>
      </c>
      <c r="K926" s="16" t="s">
        <v>33</v>
      </c>
      <c r="L926" s="31">
        <v>450.0</v>
      </c>
      <c r="N926" s="16"/>
      <c r="O926" s="16"/>
      <c r="P926" s="23" t="s">
        <v>34</v>
      </c>
      <c r="Q926" s="17">
        <f t="shared" si="107"/>
        <v>45710</v>
      </c>
      <c r="R926" s="18">
        <f t="shared" ref="R926:R927" si="111">L926*0.25</f>
        <v>112.5</v>
      </c>
      <c r="S926" s="20"/>
      <c r="T926" s="68" t="str">
        <f>VLOOKUP(A926,'Calendar ID'!$A:$C,3,false)</f>
        <v>lilyy.nl@grapperagency.com</v>
      </c>
      <c r="U926" s="71" t="b">
        <v>0</v>
      </c>
      <c r="V926" s="68" t="str">
        <f>VLOOKUP($A926,'Calendar ID'!$A:$C,2,false)</f>
        <v>c_665764ca21c8e4b3814e25bf24bc7074fa55890dce5d4073abb0fdddc70649d4@group.calendar.google.com</v>
      </c>
      <c r="W926" s="71" t="b">
        <v>0</v>
      </c>
      <c r="X926" s="68" t="str">
        <f>VLOOKUP($A926,'Calendar ID'!$A:$C,2,false)</f>
        <v>c_665764ca21c8e4b3814e25bf24bc7074fa55890dce5d4073abb0fdddc70649d4@group.calendar.google.com</v>
      </c>
    </row>
    <row r="927" hidden="1">
      <c r="A927" s="16" t="s">
        <v>45</v>
      </c>
      <c r="B927" s="17">
        <v>45740.0</v>
      </c>
      <c r="C927" s="16" t="s">
        <v>67</v>
      </c>
      <c r="E927" s="17"/>
      <c r="F927" s="17"/>
      <c r="G927" s="94">
        <v>45742.0</v>
      </c>
      <c r="H927" s="10" t="s">
        <v>31</v>
      </c>
      <c r="J927" s="16" t="s">
        <v>43</v>
      </c>
      <c r="K927" s="16" t="s">
        <v>33</v>
      </c>
      <c r="L927" s="31">
        <v>350.0</v>
      </c>
      <c r="N927" s="16"/>
      <c r="O927" s="16"/>
      <c r="P927" s="23" t="s">
        <v>34</v>
      </c>
      <c r="Q927" s="17">
        <f t="shared" si="107"/>
        <v>45740</v>
      </c>
      <c r="R927" s="18">
        <f t="shared" si="111"/>
        <v>87.5</v>
      </c>
      <c r="S927" s="20"/>
      <c r="T927" s="68" t="str">
        <f>VLOOKUP(A927,'Calendar ID'!$A:$C,3,false)</f>
        <v>lilyy.nl@grapperagency.com</v>
      </c>
      <c r="U927" s="71" t="b">
        <v>0</v>
      </c>
      <c r="V927" s="68" t="str">
        <f>VLOOKUP($A927,'Calendar ID'!$A:$C,2,false)</f>
        <v>c_665764ca21c8e4b3814e25bf24bc7074fa55890dce5d4073abb0fdddc70649d4@group.calendar.google.com</v>
      </c>
      <c r="W927" s="69" t="b">
        <v>1</v>
      </c>
      <c r="X927" s="70" t="s">
        <v>82</v>
      </c>
    </row>
    <row r="928" hidden="1">
      <c r="A928" s="16" t="s">
        <v>45</v>
      </c>
      <c r="B928" s="17">
        <v>45376.0</v>
      </c>
      <c r="C928" s="16" t="s">
        <v>773</v>
      </c>
      <c r="G928" s="10"/>
      <c r="H928" s="10" t="s">
        <v>31</v>
      </c>
      <c r="I928" s="16" t="s">
        <v>905</v>
      </c>
      <c r="J928" s="16" t="s">
        <v>97</v>
      </c>
      <c r="K928" s="14" t="s">
        <v>33</v>
      </c>
      <c r="L928" s="7" t="s">
        <v>56</v>
      </c>
      <c r="Q928" s="17">
        <f t="shared" si="107"/>
        <v>45376</v>
      </c>
      <c r="S928" s="20"/>
      <c r="T928" s="20"/>
      <c r="U928" s="20"/>
      <c r="V928" s="20"/>
      <c r="W928" s="20"/>
      <c r="X928" s="20"/>
      <c r="Y928" s="20"/>
      <c r="Z928" s="20"/>
      <c r="AA928" s="20"/>
      <c r="AB928" s="20"/>
      <c r="AC928" s="20"/>
    </row>
    <row r="929" hidden="1">
      <c r="A929" s="16" t="s">
        <v>45</v>
      </c>
      <c r="B929" s="17">
        <v>45376.0</v>
      </c>
      <c r="C929" s="29" t="s">
        <v>738</v>
      </c>
      <c r="H929" s="10" t="s">
        <v>31</v>
      </c>
      <c r="J929" s="16" t="s">
        <v>97</v>
      </c>
      <c r="L929" s="7" t="s">
        <v>56</v>
      </c>
      <c r="Q929" s="17">
        <f t="shared" si="107"/>
        <v>45376</v>
      </c>
      <c r="S929" s="20"/>
      <c r="T929" s="20"/>
      <c r="U929" s="20"/>
      <c r="V929" s="20"/>
      <c r="W929" s="20"/>
      <c r="X929" s="20"/>
      <c r="Y929" s="20"/>
      <c r="Z929" s="20"/>
      <c r="AA929" s="20"/>
      <c r="AB929" s="20"/>
      <c r="AC929" s="20"/>
    </row>
    <row r="930" hidden="1">
      <c r="A930" s="16" t="s">
        <v>45</v>
      </c>
      <c r="B930" s="17">
        <v>45377.0</v>
      </c>
      <c r="C930" s="16" t="s">
        <v>847</v>
      </c>
      <c r="H930" s="16" t="s">
        <v>31</v>
      </c>
      <c r="J930" s="16" t="s">
        <v>848</v>
      </c>
      <c r="K930" s="16" t="s">
        <v>33</v>
      </c>
      <c r="L930" s="16" t="s">
        <v>56</v>
      </c>
      <c r="Q930" s="17">
        <f t="shared" si="107"/>
        <v>45377</v>
      </c>
      <c r="S930" s="20"/>
      <c r="T930" s="20"/>
      <c r="U930" s="20"/>
      <c r="V930" s="20"/>
      <c r="W930" s="20"/>
      <c r="X930" s="20"/>
      <c r="Y930" s="20"/>
      <c r="Z930" s="20"/>
      <c r="AA930" s="20"/>
      <c r="AB930" s="20"/>
      <c r="AC930" s="20"/>
    </row>
    <row r="931" hidden="1">
      <c r="A931" s="16" t="s">
        <v>45</v>
      </c>
      <c r="B931" s="17">
        <v>45386.0</v>
      </c>
      <c r="C931" s="16" t="s">
        <v>410</v>
      </c>
      <c r="H931" s="16" t="s">
        <v>31</v>
      </c>
      <c r="I931" s="55" t="s">
        <v>935</v>
      </c>
      <c r="J931" s="16" t="s">
        <v>767</v>
      </c>
      <c r="K931" s="16" t="s">
        <v>33</v>
      </c>
      <c r="L931" s="14" t="s">
        <v>56</v>
      </c>
      <c r="Q931" s="17">
        <f t="shared" si="107"/>
        <v>45386</v>
      </c>
      <c r="S931" s="20"/>
      <c r="T931" s="20"/>
      <c r="U931" s="20"/>
      <c r="V931" s="20"/>
      <c r="W931" s="20"/>
      <c r="X931" s="20"/>
      <c r="Y931" s="20"/>
      <c r="Z931" s="20"/>
      <c r="AA931" s="20"/>
      <c r="AB931" s="20"/>
      <c r="AC931" s="20"/>
    </row>
    <row r="932" hidden="1">
      <c r="A932" s="16" t="s">
        <v>45</v>
      </c>
      <c r="B932" s="17">
        <v>45407.0</v>
      </c>
      <c r="C932" s="16" t="s">
        <v>738</v>
      </c>
      <c r="E932" s="17"/>
      <c r="H932" s="10" t="s">
        <v>31</v>
      </c>
      <c r="J932" s="16" t="s">
        <v>97</v>
      </c>
      <c r="K932" s="14" t="s">
        <v>33</v>
      </c>
      <c r="L932" s="31" t="s">
        <v>56</v>
      </c>
      <c r="N932" s="16"/>
      <c r="O932" s="16"/>
      <c r="P932" s="16"/>
      <c r="Q932" s="17">
        <f t="shared" si="107"/>
        <v>45407</v>
      </c>
      <c r="S932" s="20"/>
      <c r="T932" s="20"/>
      <c r="U932" s="20"/>
      <c r="V932" s="20"/>
      <c r="W932" s="20"/>
      <c r="X932" s="20"/>
      <c r="Y932" s="20"/>
      <c r="Z932" s="20"/>
      <c r="AA932" s="20"/>
      <c r="AB932" s="20"/>
      <c r="AC932" s="20"/>
    </row>
    <row r="933" hidden="1">
      <c r="A933" s="16" t="s">
        <v>45</v>
      </c>
      <c r="B933" s="17">
        <v>45432.0</v>
      </c>
      <c r="C933" s="16" t="s">
        <v>410</v>
      </c>
      <c r="E933" s="17"/>
      <c r="G933" s="17"/>
      <c r="H933" s="16" t="s">
        <v>31</v>
      </c>
      <c r="J933" s="16" t="s">
        <v>97</v>
      </c>
      <c r="K933" s="16" t="s">
        <v>33</v>
      </c>
      <c r="L933" s="31" t="s">
        <v>56</v>
      </c>
      <c r="N933" s="16"/>
      <c r="O933" s="16"/>
      <c r="P933" s="16"/>
      <c r="Q933" s="17">
        <f t="shared" si="107"/>
        <v>45432</v>
      </c>
      <c r="S933" s="20"/>
      <c r="T933" s="20"/>
      <c r="U933" s="20"/>
      <c r="V933" s="20"/>
      <c r="W933" s="20"/>
      <c r="X933" s="20"/>
      <c r="Y933" s="20"/>
      <c r="Z933" s="20"/>
      <c r="AA933" s="20"/>
      <c r="AB933" s="20"/>
      <c r="AC933" s="20"/>
    </row>
    <row r="934" hidden="1">
      <c r="A934" s="16" t="s">
        <v>136</v>
      </c>
      <c r="B934" s="17">
        <v>45625.0</v>
      </c>
      <c r="C934" s="16" t="s">
        <v>245</v>
      </c>
      <c r="D934" s="16" t="s">
        <v>302</v>
      </c>
      <c r="E934" s="17"/>
      <c r="G934" s="8">
        <v>45647.0</v>
      </c>
      <c r="H934" s="10" t="s">
        <v>31</v>
      </c>
      <c r="J934" s="16" t="s">
        <v>43</v>
      </c>
      <c r="K934" s="23" t="s">
        <v>33</v>
      </c>
      <c r="L934" s="31">
        <f>585/3</f>
        <v>195</v>
      </c>
      <c r="N934" s="16"/>
      <c r="O934" s="16"/>
      <c r="P934" s="23" t="s">
        <v>34</v>
      </c>
      <c r="Q934" s="17">
        <f t="shared" si="107"/>
        <v>45625</v>
      </c>
      <c r="R934" s="18">
        <f>L934*0.3</f>
        <v>58.5</v>
      </c>
      <c r="S934" s="20"/>
      <c r="T934" s="68" t="str">
        <f>VLOOKUP(A934,'Calendar ID'!$A:$C,3,false)</f>
        <v>liserdg.pro@gmail.com </v>
      </c>
      <c r="U934" s="71" t="b">
        <v>0</v>
      </c>
      <c r="V934" s="68" t="str">
        <f>VLOOKUP($A934,'Calendar ID'!$A:$C,2,false)</f>
        <v>c_8d6793f7bb6abb58456593287891e1c91528d006316df4ef7bdb59fa0d40b64f@group.calendar.google.com</v>
      </c>
      <c r="W934" s="69" t="b">
        <v>1</v>
      </c>
      <c r="X934" s="70" t="s">
        <v>82</v>
      </c>
    </row>
    <row r="935" hidden="1">
      <c r="A935" s="16" t="s">
        <v>45</v>
      </c>
      <c r="B935" s="17">
        <v>45433.0</v>
      </c>
      <c r="C935" s="16" t="s">
        <v>410</v>
      </c>
      <c r="D935" s="16" t="s">
        <v>802</v>
      </c>
      <c r="E935" s="17"/>
      <c r="G935" s="17"/>
      <c r="H935" s="16" t="s">
        <v>31</v>
      </c>
      <c r="J935" s="16" t="s">
        <v>97</v>
      </c>
      <c r="K935" s="16" t="s">
        <v>33</v>
      </c>
      <c r="L935" s="31" t="s">
        <v>56</v>
      </c>
      <c r="N935" s="55" t="s">
        <v>936</v>
      </c>
      <c r="O935" s="16"/>
      <c r="P935" s="16"/>
      <c r="Q935" s="17">
        <f t="shared" si="107"/>
        <v>45433</v>
      </c>
      <c r="S935" s="20"/>
      <c r="T935" s="20" t="str">
        <f>VLOOKUP(A935,'Calendar ID'!$A:$C,3,false)</f>
        <v>lilyy.nl@grapperagency.com</v>
      </c>
      <c r="U935" s="20" t="b">
        <v>0</v>
      </c>
      <c r="V935" s="20" t="str">
        <f>VLOOKUP($A935,'Calendar ID'!$A:$C,2,false)</f>
        <v>c_665764ca21c8e4b3814e25bf24bc7074fa55890dce5d4073abb0fdddc70649d4@group.calendar.google.com</v>
      </c>
      <c r="W935" s="19" t="b">
        <v>0</v>
      </c>
      <c r="X935" s="20" t="str">
        <f>VLOOKUP($A935,'Calendar ID'!$A:$C,2,false)</f>
        <v>c_665764ca21c8e4b3814e25bf24bc7074fa55890dce5d4073abb0fdddc70649d4@group.calendar.google.com</v>
      </c>
      <c r="Y935" s="20"/>
      <c r="Z935" s="20"/>
      <c r="AA935" s="20"/>
      <c r="AB935" s="20"/>
      <c r="AC935" s="20"/>
    </row>
    <row r="936" hidden="1">
      <c r="A936" s="16" t="s">
        <v>45</v>
      </c>
      <c r="B936" s="17">
        <v>45481.0</v>
      </c>
      <c r="C936" s="16" t="s">
        <v>937</v>
      </c>
      <c r="E936" s="17"/>
      <c r="F936" s="17"/>
      <c r="G936" s="17"/>
      <c r="H936" s="10" t="s">
        <v>31</v>
      </c>
      <c r="K936" s="16"/>
      <c r="L936" s="31"/>
      <c r="N936" s="16"/>
      <c r="O936" s="16"/>
      <c r="P936" s="16"/>
      <c r="Q936" s="17">
        <f t="shared" si="107"/>
        <v>45481</v>
      </c>
      <c r="S936" s="20"/>
      <c r="T936" s="68" t="str">
        <f>VLOOKUP(A936,'Calendar ID'!$A:$C,3,false)</f>
        <v>lilyy.nl@grapperagency.com</v>
      </c>
      <c r="U936" s="71" t="b">
        <v>0</v>
      </c>
      <c r="V936" s="68" t="str">
        <f>VLOOKUP($A936,'Calendar ID'!$A:$C,2,false)</f>
        <v>c_665764ca21c8e4b3814e25bf24bc7074fa55890dce5d4073abb0fdddc70649d4@group.calendar.google.com</v>
      </c>
      <c r="W936" s="71" t="b">
        <v>0</v>
      </c>
      <c r="X936" s="68" t="str">
        <f>VLOOKUP($A936,'Calendar ID'!$A:$C,2,false)</f>
        <v>c_665764ca21c8e4b3814e25bf24bc7074fa55890dce5d4073abb0fdddc70649d4@group.calendar.google.com</v>
      </c>
      <c r="Y936" s="20"/>
      <c r="Z936" s="20"/>
      <c r="AA936" s="20"/>
      <c r="AB936" s="20"/>
      <c r="AC936" s="20"/>
    </row>
    <row r="937" hidden="1">
      <c r="A937" s="16" t="s">
        <v>45</v>
      </c>
      <c r="B937" s="17">
        <v>45481.0</v>
      </c>
      <c r="C937" s="16" t="s">
        <v>410</v>
      </c>
      <c r="D937" s="17"/>
      <c r="E937" s="17"/>
      <c r="F937" s="17"/>
      <c r="G937" s="17"/>
      <c r="H937" s="10" t="s">
        <v>31</v>
      </c>
      <c r="K937" s="16"/>
      <c r="L937" s="31"/>
      <c r="N937" s="16"/>
      <c r="O937" s="16"/>
      <c r="P937" s="16"/>
      <c r="Q937" s="17">
        <f t="shared" si="107"/>
        <v>45481</v>
      </c>
      <c r="S937" s="20"/>
      <c r="T937" s="68" t="str">
        <f>VLOOKUP(A937,'Calendar ID'!$A:$C,3,false)</f>
        <v>lilyy.nl@grapperagency.com</v>
      </c>
      <c r="U937" s="71" t="b">
        <v>0</v>
      </c>
      <c r="V937" s="68" t="str">
        <f>VLOOKUP($A937,'Calendar ID'!$A:$C,2,false)</f>
        <v>c_665764ca21c8e4b3814e25bf24bc7074fa55890dce5d4073abb0fdddc70649d4@group.calendar.google.com</v>
      </c>
      <c r="W937" s="71" t="b">
        <v>0</v>
      </c>
      <c r="X937" s="68" t="str">
        <f>VLOOKUP($A937,'Calendar ID'!$A:$C,2,false)</f>
        <v>c_665764ca21c8e4b3814e25bf24bc7074fa55890dce5d4073abb0fdddc70649d4@group.calendar.google.com</v>
      </c>
      <c r="Y937" s="20"/>
      <c r="Z937" s="20"/>
      <c r="AA937" s="20"/>
      <c r="AB937" s="20"/>
      <c r="AC937" s="20"/>
    </row>
    <row r="938" hidden="1">
      <c r="A938" s="16" t="s">
        <v>45</v>
      </c>
      <c r="B938" s="17">
        <v>45489.0</v>
      </c>
      <c r="C938" s="16" t="s">
        <v>226</v>
      </c>
      <c r="E938" s="17"/>
      <c r="G938" s="17"/>
      <c r="H938" s="10" t="s">
        <v>31</v>
      </c>
      <c r="J938" s="16" t="s">
        <v>97</v>
      </c>
      <c r="K938" s="23" t="s">
        <v>33</v>
      </c>
      <c r="L938" s="31" t="s">
        <v>56</v>
      </c>
      <c r="N938" s="55" t="s">
        <v>938</v>
      </c>
      <c r="O938" s="16"/>
      <c r="P938" s="16"/>
      <c r="Q938" s="17">
        <f t="shared" si="107"/>
        <v>45489</v>
      </c>
      <c r="S938" s="20"/>
      <c r="T938" s="68" t="str">
        <f>VLOOKUP(A938,'Calendar ID'!$A:$C,3,false)</f>
        <v>lilyy.nl@grapperagency.com</v>
      </c>
      <c r="U938" s="71" t="b">
        <v>0</v>
      </c>
      <c r="V938" s="68" t="str">
        <f>VLOOKUP($A938,'Calendar ID'!$A:$C,2,false)</f>
        <v>c_665764ca21c8e4b3814e25bf24bc7074fa55890dce5d4073abb0fdddc70649d4@group.calendar.google.com</v>
      </c>
      <c r="W938" s="71" t="b">
        <v>0</v>
      </c>
      <c r="X938" s="68" t="str">
        <f>VLOOKUP($A938,'Calendar ID'!$A:$C,2,false)</f>
        <v>c_665764ca21c8e4b3814e25bf24bc7074fa55890dce5d4073abb0fdddc70649d4@group.calendar.google.com</v>
      </c>
      <c r="Y938" s="20"/>
      <c r="Z938" s="20"/>
      <c r="AA938" s="20"/>
      <c r="AB938" s="20"/>
      <c r="AC938" s="20"/>
    </row>
    <row r="939" hidden="1">
      <c r="A939" s="16" t="s">
        <v>45</v>
      </c>
      <c r="B939" s="17">
        <v>45407.0</v>
      </c>
      <c r="C939" s="16" t="s">
        <v>287</v>
      </c>
      <c r="E939" s="17"/>
      <c r="G939" s="10"/>
      <c r="H939" s="16" t="s">
        <v>31</v>
      </c>
      <c r="J939" s="16" t="s">
        <v>97</v>
      </c>
      <c r="K939" s="14" t="s">
        <v>33</v>
      </c>
      <c r="L939" s="31" t="s">
        <v>56</v>
      </c>
      <c r="N939" s="55" t="s">
        <v>939</v>
      </c>
      <c r="O939" s="16"/>
      <c r="P939" s="16"/>
      <c r="Q939" s="17">
        <f t="shared" si="107"/>
        <v>45407</v>
      </c>
      <c r="S939" s="20"/>
      <c r="T939" s="20"/>
      <c r="U939" s="20"/>
      <c r="V939" s="20"/>
      <c r="W939" s="20"/>
      <c r="X939" s="20"/>
      <c r="Y939" s="20"/>
      <c r="Z939" s="20"/>
      <c r="AA939" s="20"/>
      <c r="AB939" s="20"/>
      <c r="AC939" s="20"/>
    </row>
    <row r="940" hidden="1">
      <c r="A940" s="16" t="s">
        <v>45</v>
      </c>
      <c r="B940" s="17">
        <v>45505.0</v>
      </c>
      <c r="C940" s="16" t="s">
        <v>921</v>
      </c>
      <c r="E940" s="17"/>
      <c r="G940" s="17"/>
      <c r="H940" s="10" t="s">
        <v>31</v>
      </c>
      <c r="J940" s="23" t="s">
        <v>97</v>
      </c>
      <c r="K940" s="23" t="s">
        <v>33</v>
      </c>
      <c r="L940" s="14" t="s">
        <v>56</v>
      </c>
      <c r="N940" s="55" t="s">
        <v>940</v>
      </c>
      <c r="O940" s="16"/>
      <c r="P940" s="16"/>
      <c r="Q940" s="17">
        <f t="shared" si="107"/>
        <v>45505</v>
      </c>
      <c r="S940" s="20"/>
      <c r="T940" s="68" t="str">
        <f>VLOOKUP(A940,'Calendar ID'!$A:$C,3,false)</f>
        <v>lilyy.nl@grapperagency.com</v>
      </c>
      <c r="U940" s="71" t="b">
        <v>0</v>
      </c>
      <c r="V940" s="68" t="str">
        <f>VLOOKUP($A940,'Calendar ID'!$A:$C,2,false)</f>
        <v>c_665764ca21c8e4b3814e25bf24bc7074fa55890dce5d4073abb0fdddc70649d4@group.calendar.google.com</v>
      </c>
      <c r="W940" s="69" t="b">
        <v>0</v>
      </c>
      <c r="X940" s="68" t="str">
        <f>VLOOKUP($A940,'Calendar ID'!$A:$C,2,false)</f>
        <v>c_665764ca21c8e4b3814e25bf24bc7074fa55890dce5d4073abb0fdddc70649d4@group.calendar.google.com</v>
      </c>
      <c r="Y940" s="20"/>
      <c r="Z940" s="20"/>
      <c r="AA940" s="16"/>
      <c r="AB940" s="20"/>
      <c r="AC940" s="20"/>
    </row>
    <row r="941" hidden="1">
      <c r="A941" s="16" t="s">
        <v>45</v>
      </c>
      <c r="B941" s="11">
        <v>45511.0</v>
      </c>
      <c r="C941" s="16" t="s">
        <v>724</v>
      </c>
      <c r="E941" s="17"/>
      <c r="G941" s="17"/>
      <c r="H941" s="10" t="s">
        <v>31</v>
      </c>
      <c r="J941" s="16" t="s">
        <v>97</v>
      </c>
      <c r="K941" s="23" t="s">
        <v>33</v>
      </c>
      <c r="L941" s="31" t="s">
        <v>56</v>
      </c>
      <c r="N941" s="55" t="s">
        <v>941</v>
      </c>
      <c r="O941" s="16"/>
      <c r="P941" s="16"/>
      <c r="Q941" s="17">
        <f t="shared" si="107"/>
        <v>45511</v>
      </c>
      <c r="S941" s="20"/>
      <c r="T941" s="68" t="str">
        <f>VLOOKUP(A941,'Calendar ID'!$A:$C,3,false)</f>
        <v>lilyy.nl@grapperagency.com</v>
      </c>
      <c r="U941" s="78" t="b">
        <v>0</v>
      </c>
      <c r="V941" s="68" t="str">
        <f>VLOOKUP($A941,'Calendar ID'!$A:$C,2,false)</f>
        <v>c_665764ca21c8e4b3814e25bf24bc7074fa55890dce5d4073abb0fdddc70649d4@group.calendar.google.com</v>
      </c>
      <c r="W941" s="71" t="b">
        <v>0</v>
      </c>
      <c r="X941" s="68" t="str">
        <f>VLOOKUP($A941,'Calendar ID'!$A:$C,2,false)</f>
        <v>c_665764ca21c8e4b3814e25bf24bc7074fa55890dce5d4073abb0fdddc70649d4@group.calendar.google.com</v>
      </c>
      <c r="AA941" s="16"/>
    </row>
    <row r="942" hidden="1">
      <c r="A942" s="16" t="s">
        <v>45</v>
      </c>
      <c r="B942" s="17">
        <v>45469.0</v>
      </c>
      <c r="C942" s="16" t="s">
        <v>322</v>
      </c>
      <c r="E942" s="17"/>
      <c r="G942" s="17"/>
      <c r="H942" s="16" t="s">
        <v>31</v>
      </c>
      <c r="J942" s="16" t="s">
        <v>266</v>
      </c>
      <c r="K942" s="16" t="s">
        <v>33</v>
      </c>
      <c r="L942" s="31" t="s">
        <v>56</v>
      </c>
      <c r="N942" s="16"/>
      <c r="O942" s="16"/>
      <c r="P942" s="16"/>
      <c r="Q942" s="17">
        <f t="shared" si="107"/>
        <v>45469</v>
      </c>
      <c r="S942" s="20"/>
      <c r="T942" s="20" t="str">
        <f>VLOOKUP(A942,'Calendar ID'!$A:$C,3,false)</f>
        <v>lilyy.nl@grapperagency.com</v>
      </c>
      <c r="U942" s="20" t="b">
        <v>0</v>
      </c>
      <c r="V942" s="20" t="str">
        <f>VLOOKUP($A942,'Calendar ID'!$A:$C,2,false)</f>
        <v>c_665764ca21c8e4b3814e25bf24bc7074fa55890dce5d4073abb0fdddc70649d4@group.calendar.google.com</v>
      </c>
      <c r="W942" s="19" t="b">
        <v>0</v>
      </c>
      <c r="X942" s="20" t="str">
        <f>VLOOKUP($A942,'Calendar ID'!$A:$C,2,false)</f>
        <v>c_665764ca21c8e4b3814e25bf24bc7074fa55890dce5d4073abb0fdddc70649d4@group.calendar.google.com</v>
      </c>
      <c r="Y942" s="20"/>
      <c r="Z942" s="20"/>
      <c r="AA942" s="20"/>
      <c r="AB942" s="20"/>
      <c r="AC942" s="20"/>
    </row>
    <row r="943" hidden="1">
      <c r="A943" s="16" t="s">
        <v>45</v>
      </c>
      <c r="B943" s="17">
        <v>45481.0</v>
      </c>
      <c r="C943" s="16" t="s">
        <v>322</v>
      </c>
      <c r="D943" s="17"/>
      <c r="E943" s="17"/>
      <c r="F943" s="17"/>
      <c r="G943" s="17"/>
      <c r="H943" s="10" t="s">
        <v>31</v>
      </c>
      <c r="K943" s="16"/>
      <c r="L943" s="31"/>
      <c r="N943" s="16"/>
      <c r="O943" s="16"/>
      <c r="P943" s="16"/>
      <c r="Q943" s="17">
        <f t="shared" si="107"/>
        <v>45481</v>
      </c>
      <c r="S943" s="20"/>
      <c r="T943" s="68" t="str">
        <f>VLOOKUP(A943,'Calendar ID'!$A:$C,3,false)</f>
        <v>lilyy.nl@grapperagency.com</v>
      </c>
      <c r="U943" s="71" t="b">
        <v>0</v>
      </c>
      <c r="V943" s="68" t="str">
        <f>VLOOKUP($A943,'Calendar ID'!$A:$C,2,false)</f>
        <v>c_665764ca21c8e4b3814e25bf24bc7074fa55890dce5d4073abb0fdddc70649d4@group.calendar.google.com</v>
      </c>
      <c r="W943" s="71" t="b">
        <v>0</v>
      </c>
      <c r="X943" s="68" t="str">
        <f>VLOOKUP($A943,'Calendar ID'!$A:$C,2,false)</f>
        <v>c_665764ca21c8e4b3814e25bf24bc7074fa55890dce5d4073abb0fdddc70649d4@group.calendar.google.com</v>
      </c>
      <c r="Y943" s="20"/>
      <c r="Z943" s="20"/>
      <c r="AA943" s="20"/>
      <c r="AB943" s="20"/>
      <c r="AC943" s="20"/>
    </row>
    <row r="944" hidden="1">
      <c r="A944" s="16" t="s">
        <v>45</v>
      </c>
      <c r="B944" s="17">
        <v>45546.0</v>
      </c>
      <c r="C944" s="16" t="s">
        <v>67</v>
      </c>
      <c r="E944" s="17"/>
      <c r="G944" s="17"/>
      <c r="H944" s="10" t="s">
        <v>31</v>
      </c>
      <c r="I944" s="16" t="s">
        <v>942</v>
      </c>
      <c r="J944" s="16" t="s">
        <v>943</v>
      </c>
      <c r="K944" s="23" t="s">
        <v>33</v>
      </c>
      <c r="L944" s="31">
        <v>225.0</v>
      </c>
      <c r="N944" s="16"/>
      <c r="O944" s="16"/>
      <c r="P944" s="23" t="s">
        <v>34</v>
      </c>
      <c r="Q944" s="17">
        <f t="shared" si="107"/>
        <v>45546</v>
      </c>
      <c r="R944" s="15">
        <f>L944*0.25</f>
        <v>56.25</v>
      </c>
      <c r="S944" s="20"/>
      <c r="T944" s="68" t="str">
        <f>VLOOKUP(A944,'Calendar ID'!$A:$C,3,false)</f>
        <v>lilyy.nl@grapperagency.com</v>
      </c>
      <c r="U944" s="78" t="b">
        <v>0</v>
      </c>
      <c r="V944" s="68" t="str">
        <f>VLOOKUP($A944,'Calendar ID'!$A:$C,2,false)</f>
        <v>c_665764ca21c8e4b3814e25bf24bc7074fa55890dce5d4073abb0fdddc70649d4@group.calendar.google.com</v>
      </c>
      <c r="W944" s="71" t="b">
        <v>0</v>
      </c>
      <c r="X944" s="68" t="str">
        <f>VLOOKUP($A944,'Calendar ID'!$A:$C,2,false)</f>
        <v>c_665764ca21c8e4b3814e25bf24bc7074fa55890dce5d4073abb0fdddc70649d4@group.calendar.google.com</v>
      </c>
    </row>
    <row r="945" hidden="1">
      <c r="A945" s="16" t="s">
        <v>45</v>
      </c>
      <c r="B945" s="17">
        <v>45548.0</v>
      </c>
      <c r="C945" s="16" t="s">
        <v>226</v>
      </c>
      <c r="E945" s="17"/>
      <c r="G945" s="17"/>
      <c r="H945" s="10" t="s">
        <v>31</v>
      </c>
      <c r="J945" s="16" t="s">
        <v>266</v>
      </c>
      <c r="K945" s="23" t="s">
        <v>33</v>
      </c>
      <c r="L945" s="31" t="s">
        <v>56</v>
      </c>
      <c r="N945" s="16"/>
      <c r="O945" s="16"/>
      <c r="P945" s="16"/>
      <c r="Q945" s="17">
        <f t="shared" si="107"/>
        <v>45548</v>
      </c>
      <c r="S945" s="20"/>
      <c r="T945" s="68" t="str">
        <f>VLOOKUP(A945,'Calendar ID'!$A:$C,3,false)</f>
        <v>lilyy.nl@grapperagency.com</v>
      </c>
      <c r="U945" s="78" t="b">
        <v>0</v>
      </c>
      <c r="V945" s="68" t="str">
        <f>VLOOKUP($A945,'Calendar ID'!$A:$C,2,false)</f>
        <v>c_665764ca21c8e4b3814e25bf24bc7074fa55890dce5d4073abb0fdddc70649d4@group.calendar.google.com</v>
      </c>
      <c r="W945" s="71" t="b">
        <v>0</v>
      </c>
      <c r="X945" s="68" t="str">
        <f>VLOOKUP($A945,'Calendar ID'!$A:$C,2,false)</f>
        <v>c_665764ca21c8e4b3814e25bf24bc7074fa55890dce5d4073abb0fdddc70649d4@group.calendar.google.com</v>
      </c>
    </row>
    <row r="946" hidden="1">
      <c r="A946" s="16" t="s">
        <v>45</v>
      </c>
      <c r="B946" s="17">
        <v>45551.0</v>
      </c>
      <c r="C946" s="16" t="s">
        <v>127</v>
      </c>
      <c r="E946" s="17"/>
      <c r="G946" s="17"/>
      <c r="H946" s="10" t="s">
        <v>31</v>
      </c>
      <c r="J946" s="16" t="s">
        <v>266</v>
      </c>
      <c r="K946" s="23" t="s">
        <v>33</v>
      </c>
      <c r="L946" s="31" t="s">
        <v>56</v>
      </c>
      <c r="N946" s="16"/>
      <c r="O946" s="16"/>
      <c r="P946" s="16"/>
      <c r="Q946" s="17">
        <f t="shared" si="107"/>
        <v>45551</v>
      </c>
      <c r="S946" s="20"/>
      <c r="T946" s="68" t="str">
        <f>VLOOKUP(A946,'Calendar ID'!$A:$C,3,false)</f>
        <v>lilyy.nl@grapperagency.com</v>
      </c>
      <c r="U946" s="78" t="b">
        <v>0</v>
      </c>
      <c r="V946" s="68" t="str">
        <f>VLOOKUP($A946,'Calendar ID'!$A:$C,2,false)</f>
        <v>c_665764ca21c8e4b3814e25bf24bc7074fa55890dce5d4073abb0fdddc70649d4@group.calendar.google.com</v>
      </c>
      <c r="W946" s="71" t="b">
        <v>0</v>
      </c>
      <c r="X946" s="68" t="str">
        <f>VLOOKUP($A946,'Calendar ID'!$A:$C,2,false)</f>
        <v>c_665764ca21c8e4b3814e25bf24bc7074fa55890dce5d4073abb0fdddc70649d4@group.calendar.google.com</v>
      </c>
    </row>
    <row r="947" hidden="1">
      <c r="A947" s="16" t="s">
        <v>45</v>
      </c>
      <c r="B947" s="17">
        <v>45546.0</v>
      </c>
      <c r="C947" s="16" t="s">
        <v>944</v>
      </c>
      <c r="E947" s="17"/>
      <c r="G947" s="17"/>
      <c r="H947" s="10" t="s">
        <v>31</v>
      </c>
      <c r="J947" s="16" t="s">
        <v>266</v>
      </c>
      <c r="K947" s="23" t="s">
        <v>33</v>
      </c>
      <c r="L947" s="31" t="s">
        <v>56</v>
      </c>
      <c r="N947" s="16"/>
      <c r="O947" s="16"/>
      <c r="P947" s="16"/>
      <c r="Q947" s="17">
        <f t="shared" si="107"/>
        <v>45546</v>
      </c>
      <c r="S947" s="20"/>
      <c r="T947" s="68" t="str">
        <f>VLOOKUP(A947,'Calendar ID'!$A:$C,3,false)</f>
        <v>lilyy.nl@grapperagency.com</v>
      </c>
      <c r="U947" s="78" t="b">
        <v>0</v>
      </c>
      <c r="V947" s="68" t="str">
        <f>VLOOKUP($A947,'Calendar ID'!$A:$C,2,false)</f>
        <v>c_665764ca21c8e4b3814e25bf24bc7074fa55890dce5d4073abb0fdddc70649d4@group.calendar.google.com</v>
      </c>
      <c r="W947" s="71" t="b">
        <v>0</v>
      </c>
      <c r="X947" s="68" t="str">
        <f>VLOOKUP($A947,'Calendar ID'!$A:$C,2,false)</f>
        <v>c_665764ca21c8e4b3814e25bf24bc7074fa55890dce5d4073abb0fdddc70649d4@group.calendar.google.com</v>
      </c>
    </row>
    <row r="948" hidden="1">
      <c r="A948" s="16" t="s">
        <v>45</v>
      </c>
      <c r="B948" s="17">
        <v>45565.0</v>
      </c>
      <c r="C948" s="16" t="s">
        <v>729</v>
      </c>
      <c r="E948" s="17"/>
      <c r="G948" s="17"/>
      <c r="H948" s="10" t="s">
        <v>31</v>
      </c>
      <c r="J948" s="16" t="s">
        <v>266</v>
      </c>
      <c r="K948" s="23" t="s">
        <v>33</v>
      </c>
      <c r="L948" s="31" t="s">
        <v>56</v>
      </c>
      <c r="N948" s="16"/>
      <c r="O948" s="16"/>
      <c r="P948" s="16"/>
      <c r="Q948" s="17">
        <f t="shared" si="107"/>
        <v>45565</v>
      </c>
      <c r="S948" s="20"/>
      <c r="T948" s="68" t="str">
        <f>VLOOKUP(A948,'Calendar ID'!$A:$C,3,false)</f>
        <v>lilyy.nl@grapperagency.com</v>
      </c>
      <c r="U948" s="78" t="b">
        <v>0</v>
      </c>
      <c r="V948" s="68" t="str">
        <f>VLOOKUP($A948,'Calendar ID'!$A:$C,2,false)</f>
        <v>c_665764ca21c8e4b3814e25bf24bc7074fa55890dce5d4073abb0fdddc70649d4@group.calendar.google.com</v>
      </c>
      <c r="W948" s="71" t="b">
        <v>0</v>
      </c>
      <c r="X948" s="68" t="str">
        <f>VLOOKUP($A948,'Calendar ID'!$A:$C,2,false)</f>
        <v>c_665764ca21c8e4b3814e25bf24bc7074fa55890dce5d4073abb0fdddc70649d4@group.calendar.google.com</v>
      </c>
    </row>
    <row r="949" hidden="1">
      <c r="A949" s="16" t="s">
        <v>45</v>
      </c>
      <c r="B949" s="17">
        <v>45572.0</v>
      </c>
      <c r="C949" s="16" t="s">
        <v>226</v>
      </c>
      <c r="E949" s="17"/>
      <c r="G949" s="17"/>
      <c r="H949" s="10" t="s">
        <v>31</v>
      </c>
      <c r="J949" s="16" t="s">
        <v>266</v>
      </c>
      <c r="K949" s="23" t="s">
        <v>33</v>
      </c>
      <c r="L949" s="31" t="s">
        <v>56</v>
      </c>
      <c r="N949" s="16"/>
      <c r="O949" s="16"/>
      <c r="P949" s="16"/>
      <c r="Q949" s="17">
        <f t="shared" si="107"/>
        <v>45572</v>
      </c>
      <c r="S949" s="20"/>
      <c r="T949" s="68" t="str">
        <f>VLOOKUP(A949,'Calendar ID'!$A:$C,3,false)</f>
        <v>lilyy.nl@grapperagency.com</v>
      </c>
      <c r="U949" s="78" t="b">
        <v>0</v>
      </c>
      <c r="V949" s="68" t="str">
        <f>VLOOKUP($A949,'Calendar ID'!$A:$C,2,false)</f>
        <v>c_665764ca21c8e4b3814e25bf24bc7074fa55890dce5d4073abb0fdddc70649d4@group.calendar.google.com</v>
      </c>
      <c r="W949" s="71" t="b">
        <v>0</v>
      </c>
      <c r="X949" s="68" t="str">
        <f>VLOOKUP($A949,'Calendar ID'!$A:$C,2,false)</f>
        <v>c_665764ca21c8e4b3814e25bf24bc7074fa55890dce5d4073abb0fdddc70649d4@group.calendar.google.com</v>
      </c>
    </row>
    <row r="950" hidden="1">
      <c r="A950" s="10" t="s">
        <v>45</v>
      </c>
      <c r="B950" s="17">
        <v>45503.0</v>
      </c>
      <c r="C950" s="16" t="s">
        <v>191</v>
      </c>
      <c r="E950" s="17"/>
      <c r="G950" s="17"/>
      <c r="H950" s="10" t="s">
        <v>31</v>
      </c>
      <c r="J950" s="16" t="s">
        <v>97</v>
      </c>
      <c r="K950" s="23" t="s">
        <v>33</v>
      </c>
      <c r="L950" s="31" t="s">
        <v>56</v>
      </c>
      <c r="N950" s="16"/>
      <c r="O950" s="16"/>
      <c r="P950" s="16"/>
      <c r="Q950" s="17">
        <f t="shared" si="107"/>
        <v>45503</v>
      </c>
      <c r="S950" s="20"/>
      <c r="T950" s="68" t="str">
        <f>VLOOKUP(A950,'Calendar ID'!$A:$C,3,false)</f>
        <v>lilyy.nl@grapperagency.com</v>
      </c>
      <c r="U950" s="71" t="b">
        <v>0</v>
      </c>
      <c r="V950" s="68" t="str">
        <f>VLOOKUP($A950,'Calendar ID'!$A:$C,2,false)</f>
        <v>c_665764ca21c8e4b3814e25bf24bc7074fa55890dce5d4073abb0fdddc70649d4@group.calendar.google.com</v>
      </c>
      <c r="W950" s="69" t="b">
        <v>0</v>
      </c>
      <c r="X950" s="68" t="str">
        <f>VLOOKUP($A950,'Calendar ID'!$A:$C,2,false)</f>
        <v>c_665764ca21c8e4b3814e25bf24bc7074fa55890dce5d4073abb0fdddc70649d4@group.calendar.google.com</v>
      </c>
      <c r="Y950" s="20"/>
      <c r="Z950" s="20"/>
      <c r="AA950" s="20"/>
      <c r="AB950" s="20"/>
      <c r="AC950" s="20"/>
    </row>
    <row r="951" hidden="1">
      <c r="A951" s="16" t="s">
        <v>45</v>
      </c>
      <c r="B951" s="17">
        <v>45618.0</v>
      </c>
      <c r="C951" s="16" t="s">
        <v>757</v>
      </c>
      <c r="E951" s="17"/>
      <c r="G951" s="17"/>
      <c r="H951" s="10" t="s">
        <v>31</v>
      </c>
      <c r="J951" s="16" t="s">
        <v>43</v>
      </c>
      <c r="K951" s="23" t="s">
        <v>33</v>
      </c>
      <c r="L951" s="51">
        <v>300.0</v>
      </c>
      <c r="N951" s="16"/>
      <c r="O951" s="16"/>
      <c r="P951" s="16" t="s">
        <v>34</v>
      </c>
      <c r="Q951" s="17">
        <f t="shared" si="107"/>
        <v>45618</v>
      </c>
      <c r="R951" s="81">
        <f>L951*0.25</f>
        <v>75</v>
      </c>
      <c r="S951" s="20"/>
      <c r="T951" s="68" t="str">
        <f>VLOOKUP(A951,'Calendar ID'!$A:$C,3,false)</f>
        <v>lilyy.nl@grapperagency.com</v>
      </c>
      <c r="U951" s="78" t="b">
        <v>0</v>
      </c>
      <c r="V951" s="68" t="str">
        <f>VLOOKUP($A951,'Calendar ID'!$A:$C,2,false)</f>
        <v>c_665764ca21c8e4b3814e25bf24bc7074fa55890dce5d4073abb0fdddc70649d4@group.calendar.google.com</v>
      </c>
      <c r="W951" s="71" t="b">
        <v>0</v>
      </c>
      <c r="X951" s="68" t="str">
        <f>VLOOKUP($A951,'Calendar ID'!$A:$C,2,false)</f>
        <v>c_665764ca21c8e4b3814e25bf24bc7074fa55890dce5d4073abb0fdddc70649d4@group.calendar.google.com</v>
      </c>
    </row>
    <row r="952" hidden="1">
      <c r="A952" s="10" t="s">
        <v>45</v>
      </c>
      <c r="B952" s="17">
        <v>45625.0</v>
      </c>
      <c r="C952" s="16" t="s">
        <v>733</v>
      </c>
      <c r="E952" s="17"/>
      <c r="G952" s="17"/>
      <c r="H952" s="10" t="s">
        <v>31</v>
      </c>
      <c r="J952" s="16" t="s">
        <v>97</v>
      </c>
      <c r="K952" s="23" t="s">
        <v>33</v>
      </c>
      <c r="L952" s="31" t="s">
        <v>56</v>
      </c>
      <c r="N952" s="16"/>
      <c r="O952" s="16"/>
      <c r="P952" s="16"/>
      <c r="Q952" s="17">
        <f t="shared" si="107"/>
        <v>45625</v>
      </c>
      <c r="S952" s="20"/>
      <c r="T952" s="68" t="str">
        <f>VLOOKUP(A952,'Calendar ID'!$A:$C,3,false)</f>
        <v>lilyy.nl@grapperagency.com</v>
      </c>
      <c r="U952" s="71" t="b">
        <v>0</v>
      </c>
      <c r="V952" s="68" t="str">
        <f>VLOOKUP($A952,'Calendar ID'!$A:$C,2,false)</f>
        <v>c_665764ca21c8e4b3814e25bf24bc7074fa55890dce5d4073abb0fdddc70649d4@group.calendar.google.com</v>
      </c>
      <c r="W952" s="71" t="b">
        <v>0</v>
      </c>
      <c r="X952" s="68" t="str">
        <f>VLOOKUP($A952,'Calendar ID'!$A:$C,2,false)</f>
        <v>c_665764ca21c8e4b3814e25bf24bc7074fa55890dce5d4073abb0fdddc70649d4@group.calendar.google.com</v>
      </c>
    </row>
    <row r="953" hidden="1">
      <c r="A953" s="16" t="s">
        <v>53</v>
      </c>
      <c r="B953" s="17">
        <v>45386.0</v>
      </c>
      <c r="C953" s="16" t="s">
        <v>630</v>
      </c>
      <c r="F953" s="28">
        <v>45387.0</v>
      </c>
      <c r="G953" s="35">
        <v>45408.0</v>
      </c>
      <c r="H953" s="10" t="s">
        <v>31</v>
      </c>
      <c r="I953" s="16" t="s">
        <v>747</v>
      </c>
      <c r="J953" s="16" t="s">
        <v>43</v>
      </c>
      <c r="K953" s="16" t="s">
        <v>33</v>
      </c>
      <c r="L953" s="14" t="s">
        <v>56</v>
      </c>
      <c r="Q953" s="17">
        <f t="shared" si="107"/>
        <v>45386</v>
      </c>
      <c r="S953" s="20"/>
      <c r="T953" s="20"/>
      <c r="U953" s="20"/>
      <c r="V953" s="20"/>
      <c r="W953" s="20"/>
      <c r="X953" s="20"/>
      <c r="Y953" s="20"/>
      <c r="Z953" s="20"/>
      <c r="AA953" s="20"/>
      <c r="AB953" s="20"/>
      <c r="AC953" s="20"/>
    </row>
    <row r="954" hidden="1">
      <c r="A954" s="16" t="s">
        <v>53</v>
      </c>
      <c r="B954" s="17">
        <v>45454.0</v>
      </c>
      <c r="C954" s="29" t="s">
        <v>626</v>
      </c>
      <c r="E954" s="17"/>
      <c r="G954" s="58">
        <v>45470.0</v>
      </c>
      <c r="H954" s="16" t="s">
        <v>31</v>
      </c>
      <c r="I954" s="16" t="s">
        <v>945</v>
      </c>
      <c r="J954" s="16" t="s">
        <v>97</v>
      </c>
      <c r="K954" s="16" t="s">
        <v>33</v>
      </c>
      <c r="L954" s="31" t="s">
        <v>56</v>
      </c>
      <c r="N954" s="16"/>
      <c r="O954" s="16"/>
      <c r="P954" s="16"/>
      <c r="Q954" s="17">
        <f t="shared" si="107"/>
        <v>45454</v>
      </c>
      <c r="S954" s="20"/>
      <c r="T954" s="20" t="str">
        <f>VLOOKUP(A954,'Calendar ID'!$A:$C,3,false)</f>
        <v>linamokrane75@yahoo.fr</v>
      </c>
      <c r="U954" s="20" t="b">
        <v>0</v>
      </c>
      <c r="V954" s="20" t="str">
        <f>VLOOKUP($A954,'Calendar ID'!$A:$C,2,false)</f>
        <v>c_82544f5a034269c2d78a04494afd80a3940635f25bd2a7f23eb7c2af3d0dd46f@group.calendar.google.com</v>
      </c>
      <c r="W954" s="19" t="b">
        <v>0</v>
      </c>
      <c r="X954" s="20" t="str">
        <f>VLOOKUP($A954,'Calendar ID'!$A:$C,2,false)</f>
        <v>c_82544f5a034269c2d78a04494afd80a3940635f25bd2a7f23eb7c2af3d0dd46f@group.calendar.google.com</v>
      </c>
      <c r="Y954" s="20"/>
      <c r="Z954" s="20"/>
      <c r="AA954" s="20"/>
      <c r="AB954" s="20"/>
      <c r="AC954" s="20"/>
    </row>
    <row r="955" hidden="1">
      <c r="A955" s="16" t="s">
        <v>53</v>
      </c>
      <c r="B955" s="17">
        <v>45442.0</v>
      </c>
      <c r="C955" s="16" t="s">
        <v>679</v>
      </c>
      <c r="E955" s="17"/>
      <c r="F955" s="53">
        <v>45460.0</v>
      </c>
      <c r="G955" s="58">
        <v>45473.0</v>
      </c>
      <c r="H955" s="16" t="s">
        <v>31</v>
      </c>
      <c r="J955" s="16" t="s">
        <v>43</v>
      </c>
      <c r="K955" s="16" t="s">
        <v>33</v>
      </c>
      <c r="L955" s="31" t="s">
        <v>56</v>
      </c>
      <c r="N955" s="65" t="s">
        <v>946</v>
      </c>
      <c r="O955" s="16"/>
      <c r="P955" s="16"/>
      <c r="Q955" s="17">
        <f t="shared" si="107"/>
        <v>45442</v>
      </c>
      <c r="S955" s="20"/>
      <c r="T955" s="20" t="str">
        <f>VLOOKUP(A955,'Calendar ID'!$A:$C,3,false)</f>
        <v>linamokrane75@yahoo.fr</v>
      </c>
      <c r="U955" s="20" t="b">
        <v>0</v>
      </c>
      <c r="V955" s="20" t="str">
        <f>VLOOKUP($A955,'Calendar ID'!$A:$C,2,false)</f>
        <v>c_82544f5a034269c2d78a04494afd80a3940635f25bd2a7f23eb7c2af3d0dd46f@group.calendar.google.com</v>
      </c>
      <c r="W955" s="19" t="b">
        <v>1</v>
      </c>
      <c r="X955" s="19" t="s">
        <v>82</v>
      </c>
      <c r="Y955" s="20"/>
      <c r="Z955" s="20"/>
      <c r="AA955" s="20"/>
      <c r="AB955" s="20"/>
      <c r="AC955" s="20"/>
    </row>
    <row r="956" hidden="1">
      <c r="A956" s="23" t="s">
        <v>53</v>
      </c>
      <c r="B956" s="17">
        <v>45467.0</v>
      </c>
      <c r="C956" s="10" t="s">
        <v>403</v>
      </c>
      <c r="G956" s="61">
        <v>45480.0</v>
      </c>
      <c r="H956" s="16" t="s">
        <v>31</v>
      </c>
      <c r="J956" s="16" t="s">
        <v>97</v>
      </c>
      <c r="K956" s="16" t="s">
        <v>33</v>
      </c>
      <c r="L956" s="31" t="s">
        <v>56</v>
      </c>
      <c r="N956" s="16"/>
      <c r="O956" s="16"/>
      <c r="P956" s="16"/>
      <c r="Q956" s="17">
        <f t="shared" si="107"/>
        <v>45467</v>
      </c>
      <c r="S956" s="20"/>
      <c r="T956" s="20" t="str">
        <f>VLOOKUP(A956,'Calendar ID'!$A:$C,3,false)</f>
        <v>linamokrane75@yahoo.fr</v>
      </c>
      <c r="U956" s="19" t="b">
        <v>1</v>
      </c>
      <c r="V956" s="19" t="s">
        <v>82</v>
      </c>
      <c r="W956" s="19" t="b">
        <v>1</v>
      </c>
      <c r="X956" s="19" t="s">
        <v>82</v>
      </c>
      <c r="Y956" s="20"/>
      <c r="Z956" s="20"/>
      <c r="AA956" s="20"/>
      <c r="AB956" s="20"/>
      <c r="AC956" s="20"/>
    </row>
    <row r="957" hidden="1">
      <c r="A957" s="16" t="s">
        <v>53</v>
      </c>
      <c r="B957" s="17">
        <v>45425.0</v>
      </c>
      <c r="C957" s="16" t="s">
        <v>947</v>
      </c>
      <c r="E957" s="17"/>
      <c r="G957" s="10"/>
      <c r="H957" s="16" t="s">
        <v>31</v>
      </c>
      <c r="J957" s="16" t="s">
        <v>97</v>
      </c>
      <c r="K957" s="16" t="s">
        <v>33</v>
      </c>
      <c r="L957" s="31" t="s">
        <v>56</v>
      </c>
      <c r="N957" s="16"/>
      <c r="O957" s="16"/>
      <c r="P957" s="16"/>
      <c r="Q957" s="17">
        <f t="shared" si="107"/>
        <v>45425</v>
      </c>
      <c r="S957" s="20"/>
      <c r="T957" s="20" t="str">
        <f>VLOOKUP(A957,'Calendar ID'!$A:$C,3,false)</f>
        <v>linamokrane75@yahoo.fr</v>
      </c>
      <c r="U957" s="20" t="b">
        <v>0</v>
      </c>
      <c r="V957" s="20" t="str">
        <f>VLOOKUP($A957,'Calendar ID'!$A:$C,2,false)</f>
        <v>c_82544f5a034269c2d78a04494afd80a3940635f25bd2a7f23eb7c2af3d0dd46f@group.calendar.google.com</v>
      </c>
      <c r="W957" s="19" t="b">
        <v>0</v>
      </c>
      <c r="X957" s="20" t="str">
        <f>VLOOKUP($A957,'Calendar ID'!$A:$C,2,false)</f>
        <v>c_82544f5a034269c2d78a04494afd80a3940635f25bd2a7f23eb7c2af3d0dd46f@group.calendar.google.com</v>
      </c>
      <c r="Y957" s="20"/>
      <c r="Z957" s="20"/>
      <c r="AA957" s="20"/>
      <c r="AB957" s="20"/>
      <c r="AC957" s="20"/>
    </row>
    <row r="958" hidden="1">
      <c r="A958" s="7" t="s">
        <v>53</v>
      </c>
      <c r="B958" s="7"/>
      <c r="C958" s="29" t="s">
        <v>626</v>
      </c>
      <c r="D958" s="7"/>
      <c r="E958" s="7"/>
      <c r="F958" s="188">
        <v>45371.0</v>
      </c>
      <c r="G958" s="10"/>
      <c r="H958" s="7" t="s">
        <v>31</v>
      </c>
      <c r="I958" s="10" t="s">
        <v>948</v>
      </c>
      <c r="J958" s="7"/>
      <c r="K958" s="14"/>
      <c r="L958" s="16" t="s">
        <v>808</v>
      </c>
      <c r="Q958" s="17" t="str">
        <f t="shared" si="107"/>
        <v/>
      </c>
      <c r="R958" s="18"/>
      <c r="S958" s="20"/>
      <c r="T958" s="20"/>
      <c r="U958" s="20"/>
      <c r="V958" s="20"/>
      <c r="W958" s="20"/>
      <c r="X958" s="20"/>
      <c r="Y958" s="20"/>
      <c r="Z958" s="20"/>
      <c r="AA958" s="20"/>
      <c r="AB958" s="20"/>
      <c r="AC958" s="20"/>
    </row>
    <row r="959" hidden="1">
      <c r="A959" s="16" t="s">
        <v>136</v>
      </c>
      <c r="B959" s="17">
        <v>45490.0</v>
      </c>
      <c r="C959" s="16" t="s">
        <v>918</v>
      </c>
      <c r="E959" s="17"/>
      <c r="G959" s="72">
        <v>45508.0</v>
      </c>
      <c r="H959" s="10" t="s">
        <v>31</v>
      </c>
      <c r="J959" s="16" t="s">
        <v>97</v>
      </c>
      <c r="K959" s="23" t="s">
        <v>33</v>
      </c>
      <c r="L959" s="31" t="s">
        <v>56</v>
      </c>
      <c r="N959" s="55" t="s">
        <v>949</v>
      </c>
      <c r="O959" s="16"/>
      <c r="P959" s="16"/>
      <c r="Q959" s="17">
        <f t="shared" si="107"/>
        <v>45490</v>
      </c>
      <c r="S959" s="20"/>
      <c r="T959" s="68" t="str">
        <f>VLOOKUP(A959,'Calendar ID'!$A:$C,3,false)</f>
        <v>liserdg.pro@gmail.com </v>
      </c>
      <c r="U959" s="71" t="b">
        <v>0</v>
      </c>
      <c r="V959" s="68" t="str">
        <f>VLOOKUP($A959,'Calendar ID'!$A:$C,2,false)</f>
        <v>c_8d6793f7bb6abb58456593287891e1c91528d006316df4ef7bdb59fa0d40b64f@group.calendar.google.com</v>
      </c>
      <c r="W959" s="69" t="b">
        <v>1</v>
      </c>
      <c r="X959" s="70" t="s">
        <v>82</v>
      </c>
      <c r="Y959" s="20"/>
      <c r="Z959" s="20"/>
      <c r="AA959" s="20"/>
      <c r="AB959" s="20"/>
      <c r="AC959" s="20"/>
    </row>
    <row r="960" hidden="1">
      <c r="A960" s="23" t="s">
        <v>136</v>
      </c>
      <c r="B960" s="17">
        <v>45463.0</v>
      </c>
      <c r="C960" s="16" t="s">
        <v>888</v>
      </c>
      <c r="E960" s="17"/>
      <c r="F960" s="58">
        <v>45467.0</v>
      </c>
      <c r="G960" s="73">
        <v>45514.0</v>
      </c>
      <c r="H960" s="16" t="s">
        <v>31</v>
      </c>
      <c r="J960" s="16" t="s">
        <v>682</v>
      </c>
      <c r="K960" s="16" t="s">
        <v>33</v>
      </c>
      <c r="L960" s="31" t="s">
        <v>56</v>
      </c>
      <c r="N960" s="55" t="s">
        <v>950</v>
      </c>
      <c r="O960" s="16"/>
      <c r="P960" s="16"/>
      <c r="Q960" s="17">
        <f t="shared" si="107"/>
        <v>45463</v>
      </c>
      <c r="S960" s="20"/>
      <c r="T960" s="20" t="str">
        <f>VLOOKUP(A960,'Calendar ID'!$A:$C,3,false)</f>
        <v>liserdg.pro@gmail.com </v>
      </c>
      <c r="U960" s="20" t="b">
        <v>0</v>
      </c>
      <c r="V960" s="20" t="str">
        <f>VLOOKUP($A960,'Calendar ID'!$A:$C,2,false)</f>
        <v>c_8d6793f7bb6abb58456593287891e1c91528d006316df4ef7bdb59fa0d40b64f@group.calendar.google.com</v>
      </c>
      <c r="W960" s="19" t="b">
        <v>1</v>
      </c>
      <c r="X960" s="19" t="s">
        <v>82</v>
      </c>
      <c r="Y960" s="20"/>
      <c r="Z960" s="20"/>
      <c r="AA960" s="20"/>
      <c r="AB960" s="20"/>
      <c r="AC960" s="20"/>
    </row>
    <row r="961" hidden="1">
      <c r="A961" s="16" t="s">
        <v>136</v>
      </c>
      <c r="B961" s="17">
        <v>45503.0</v>
      </c>
      <c r="C961" s="16" t="s">
        <v>690</v>
      </c>
      <c r="E961" s="17"/>
      <c r="G961" s="17">
        <v>45522.0</v>
      </c>
      <c r="H961" s="10" t="s">
        <v>31</v>
      </c>
      <c r="I961" s="16" t="s">
        <v>158</v>
      </c>
      <c r="J961" s="16" t="s">
        <v>97</v>
      </c>
      <c r="K961" s="23" t="s">
        <v>33</v>
      </c>
      <c r="L961" s="31" t="s">
        <v>56</v>
      </c>
      <c r="N961" s="55" t="s">
        <v>951</v>
      </c>
      <c r="O961" s="16"/>
      <c r="P961" s="16"/>
      <c r="Q961" s="17">
        <f t="shared" si="107"/>
        <v>45503</v>
      </c>
      <c r="S961" s="20"/>
      <c r="T961" s="68" t="str">
        <f>VLOOKUP(A961,'Calendar ID'!$A:$C,3,false)</f>
        <v>liserdg.pro@gmail.com </v>
      </c>
      <c r="U961" s="69" t="b">
        <v>0</v>
      </c>
      <c r="V961" s="68" t="str">
        <f>VLOOKUP($A961,'Calendar ID'!$A:$C,2,false)</f>
        <v>c_8d6793f7bb6abb58456593287891e1c91528d006316df4ef7bdb59fa0d40b64f@group.calendar.google.com</v>
      </c>
      <c r="W961" s="69" t="b">
        <v>1</v>
      </c>
      <c r="X961" s="70" t="s">
        <v>82</v>
      </c>
      <c r="Y961" s="20"/>
      <c r="Z961" s="20"/>
      <c r="AA961" s="19" t="s">
        <v>158</v>
      </c>
      <c r="AB961" s="20"/>
      <c r="AC961" s="20"/>
    </row>
    <row r="962" hidden="1">
      <c r="A962" s="16" t="s">
        <v>136</v>
      </c>
      <c r="B962" s="17">
        <v>45523.0</v>
      </c>
      <c r="C962" s="29" t="s">
        <v>626</v>
      </c>
      <c r="E962" s="17"/>
      <c r="G962" s="17">
        <v>45536.0</v>
      </c>
      <c r="H962" s="10" t="s">
        <v>31</v>
      </c>
      <c r="I962" s="104"/>
      <c r="J962" s="16" t="s">
        <v>43</v>
      </c>
      <c r="K962" s="23" t="s">
        <v>33</v>
      </c>
      <c r="L962" s="31" t="s">
        <v>56</v>
      </c>
      <c r="N962" s="189" t="s">
        <v>952</v>
      </c>
      <c r="O962" s="16"/>
      <c r="P962" s="16"/>
      <c r="Q962" s="17">
        <f t="shared" si="107"/>
        <v>45523</v>
      </c>
      <c r="S962" s="17"/>
      <c r="T962" s="68" t="str">
        <f>VLOOKUP(A962,'Calendar ID'!$A:$C,3,false)</f>
        <v>liserdg.pro@gmail.com </v>
      </c>
      <c r="U962" s="78" t="b">
        <v>0</v>
      </c>
      <c r="V962" s="68" t="str">
        <f>VLOOKUP($A962,'Calendar ID'!$A:$C,2,false)</f>
        <v>c_8d6793f7bb6abb58456593287891e1c91528d006316df4ef7bdb59fa0d40b64f@group.calendar.google.com</v>
      </c>
      <c r="W962" s="69" t="b">
        <v>1</v>
      </c>
      <c r="X962" s="70" t="s">
        <v>82</v>
      </c>
      <c r="AA962" s="16"/>
    </row>
    <row r="963" hidden="1">
      <c r="A963" s="16" t="s">
        <v>89</v>
      </c>
      <c r="B963" s="17">
        <v>45625.0</v>
      </c>
      <c r="C963" s="16" t="s">
        <v>245</v>
      </c>
      <c r="D963" s="16" t="s">
        <v>302</v>
      </c>
      <c r="E963" s="17"/>
      <c r="G963" s="17"/>
      <c r="H963" s="10" t="s">
        <v>31</v>
      </c>
      <c r="J963" s="16" t="s">
        <v>43</v>
      </c>
      <c r="K963" s="23" t="s">
        <v>33</v>
      </c>
      <c r="L963" s="31">
        <v>200.0</v>
      </c>
      <c r="N963" s="16"/>
      <c r="O963" s="16"/>
      <c r="P963" s="23" t="s">
        <v>34</v>
      </c>
      <c r="Q963" s="17">
        <f t="shared" si="107"/>
        <v>45625</v>
      </c>
      <c r="R963" s="18">
        <f>L963*0.3</f>
        <v>60</v>
      </c>
      <c r="S963" s="20"/>
      <c r="T963" s="68" t="str">
        <f>VLOOKUP(A963,'Calendar ID'!$A:$C,3,false)</f>
        <v>lola140204@gmail.com</v>
      </c>
      <c r="U963" s="71" t="b">
        <v>0</v>
      </c>
      <c r="V963" s="68" t="str">
        <f>VLOOKUP($A963,'Calendar ID'!$A:$C,2,false)</f>
        <v>c_8f3f6ef786f2df9238426a478307dbddffb576ace587133cfa65ca553e2f967a@group.calendar.google.com</v>
      </c>
      <c r="W963" s="71" t="b">
        <v>0</v>
      </c>
      <c r="X963" s="68" t="str">
        <f>VLOOKUP($A963,'Calendar ID'!$A:$C,2,false)</f>
        <v>c_8f3f6ef786f2df9238426a478307dbddffb576ace587133cfa65ca553e2f967a@group.calendar.google.com</v>
      </c>
    </row>
    <row r="964" hidden="1">
      <c r="A964" s="16" t="s">
        <v>136</v>
      </c>
      <c r="B964" s="17">
        <v>45539.0</v>
      </c>
      <c r="C964" s="16" t="s">
        <v>206</v>
      </c>
      <c r="E964" s="17"/>
      <c r="F964" s="17">
        <v>45551.0</v>
      </c>
      <c r="G964" s="17">
        <v>45560.0</v>
      </c>
      <c r="H964" s="10" t="s">
        <v>31</v>
      </c>
      <c r="I964" s="16" t="s">
        <v>953</v>
      </c>
      <c r="J964" s="16" t="s">
        <v>43</v>
      </c>
      <c r="K964" s="23" t="s">
        <v>33</v>
      </c>
      <c r="L964" s="31" t="s">
        <v>56</v>
      </c>
      <c r="N964" s="55" t="s">
        <v>954</v>
      </c>
      <c r="O964" s="16"/>
      <c r="P964" s="16"/>
      <c r="Q964" s="17">
        <f t="shared" si="107"/>
        <v>45539</v>
      </c>
      <c r="S964" s="20"/>
      <c r="T964" s="68" t="str">
        <f>VLOOKUP(A964,'Calendar ID'!$A:$C,3,false)</f>
        <v>liserdg.pro@gmail.com </v>
      </c>
      <c r="U964" s="78" t="b">
        <v>0</v>
      </c>
      <c r="V964" s="68" t="str">
        <f>VLOOKUP($A964,'Calendar ID'!$A:$C,2,false)</f>
        <v>c_8d6793f7bb6abb58456593287891e1c91528d006316df4ef7bdb59fa0d40b64f@group.calendar.google.com</v>
      </c>
      <c r="W964" s="69" t="b">
        <v>1</v>
      </c>
      <c r="X964" s="70" t="s">
        <v>82</v>
      </c>
    </row>
    <row r="965" hidden="1">
      <c r="A965" s="16" t="s">
        <v>136</v>
      </c>
      <c r="B965" s="17">
        <v>45549.0</v>
      </c>
      <c r="C965" s="16" t="s">
        <v>628</v>
      </c>
      <c r="E965" s="17"/>
      <c r="G965" s="17">
        <v>45575.0</v>
      </c>
      <c r="H965" s="10" t="s">
        <v>31</v>
      </c>
      <c r="J965" s="16" t="s">
        <v>266</v>
      </c>
      <c r="K965" s="23" t="s">
        <v>33</v>
      </c>
      <c r="L965" s="31" t="s">
        <v>56</v>
      </c>
      <c r="N965" s="55" t="s">
        <v>955</v>
      </c>
      <c r="O965" s="16"/>
      <c r="P965" s="16"/>
      <c r="Q965" s="17">
        <f t="shared" si="107"/>
        <v>45549</v>
      </c>
      <c r="S965" s="20"/>
      <c r="T965" s="68" t="str">
        <f>VLOOKUP(A965,'Calendar ID'!$A:$C,3,false)</f>
        <v>liserdg.pro@gmail.com </v>
      </c>
      <c r="U965" s="78" t="b">
        <v>0</v>
      </c>
      <c r="V965" s="68" t="str">
        <f>VLOOKUP($A965,'Calendar ID'!$A:$C,2,false)</f>
        <v>c_8d6793f7bb6abb58456593287891e1c91528d006316df4ef7bdb59fa0d40b64f@group.calendar.google.com</v>
      </c>
      <c r="W965" s="71" t="b">
        <v>0</v>
      </c>
      <c r="X965" s="68" t="str">
        <f>VLOOKUP($A965,'Calendar ID'!$A:$C,2,false)</f>
        <v>c_8d6793f7bb6abb58456593287891e1c91528d006316df4ef7bdb59fa0d40b64f@group.calendar.google.com</v>
      </c>
    </row>
    <row r="966" hidden="1">
      <c r="A966" s="16" t="s">
        <v>136</v>
      </c>
      <c r="B966" s="17">
        <v>45576.0</v>
      </c>
      <c r="C966" s="16" t="s">
        <v>206</v>
      </c>
      <c r="E966" s="17"/>
      <c r="F966" s="82">
        <v>45581.0</v>
      </c>
      <c r="G966" s="17">
        <v>45597.0</v>
      </c>
      <c r="H966" s="10" t="s">
        <v>31</v>
      </c>
      <c r="J966" s="16" t="s">
        <v>43</v>
      </c>
      <c r="K966" s="23" t="s">
        <v>33</v>
      </c>
      <c r="L966" s="31" t="s">
        <v>56</v>
      </c>
      <c r="N966" s="55" t="s">
        <v>956</v>
      </c>
      <c r="O966" s="16"/>
      <c r="P966" s="16"/>
      <c r="Q966" s="17">
        <f t="shared" si="107"/>
        <v>45576</v>
      </c>
      <c r="S966" s="20"/>
      <c r="T966" s="68" t="str">
        <f>VLOOKUP(A966,'Calendar ID'!$A:$C,3,false)</f>
        <v>liserdg.pro@gmail.com </v>
      </c>
      <c r="U966" s="77" t="b">
        <v>0</v>
      </c>
      <c r="V966" s="68" t="str">
        <f>VLOOKUP($A966,'Calendar ID'!$A:$C,2,false)</f>
        <v>c_8d6793f7bb6abb58456593287891e1c91528d006316df4ef7bdb59fa0d40b64f@group.calendar.google.com</v>
      </c>
      <c r="W966" s="69" t="b">
        <v>1</v>
      </c>
      <c r="X966" s="70" t="s">
        <v>82</v>
      </c>
    </row>
    <row r="967" hidden="1">
      <c r="A967" s="16" t="s">
        <v>136</v>
      </c>
      <c r="B967" s="82">
        <v>45579.0</v>
      </c>
      <c r="C967" s="16" t="s">
        <v>634</v>
      </c>
      <c r="E967" s="17"/>
      <c r="F967" s="82">
        <v>45585.0</v>
      </c>
      <c r="G967" s="17">
        <v>45616.0</v>
      </c>
      <c r="H967" s="10" t="s">
        <v>31</v>
      </c>
      <c r="J967" s="16" t="s">
        <v>97</v>
      </c>
      <c r="K967" s="23" t="s">
        <v>33</v>
      </c>
      <c r="L967" s="31" t="s">
        <v>56</v>
      </c>
      <c r="N967" s="16"/>
      <c r="O967" s="16"/>
      <c r="P967" s="16"/>
      <c r="Q967" s="17">
        <f t="shared" si="107"/>
        <v>45579</v>
      </c>
      <c r="S967" s="20"/>
      <c r="T967" s="68" t="str">
        <f>VLOOKUP(A967,'Calendar ID'!$A:$C,3,false)</f>
        <v>liserdg.pro@gmail.com </v>
      </c>
      <c r="U967" s="78" t="b">
        <v>0</v>
      </c>
      <c r="V967" s="68" t="str">
        <f>VLOOKUP($A967,'Calendar ID'!$A:$C,2,false)</f>
        <v>c_8d6793f7bb6abb58456593287891e1c91528d006316df4ef7bdb59fa0d40b64f@group.calendar.google.com</v>
      </c>
      <c r="W967" s="69" t="b">
        <v>1</v>
      </c>
      <c r="X967" s="70" t="s">
        <v>82</v>
      </c>
    </row>
    <row r="968" hidden="1">
      <c r="A968" s="16" t="s">
        <v>136</v>
      </c>
      <c r="B968" s="17">
        <v>45609.0</v>
      </c>
      <c r="C968" s="16" t="s">
        <v>206</v>
      </c>
      <c r="E968" s="17"/>
      <c r="F968" s="82">
        <v>45611.0</v>
      </c>
      <c r="G968" s="17">
        <v>45622.0</v>
      </c>
      <c r="H968" s="10" t="s">
        <v>31</v>
      </c>
      <c r="J968" s="16" t="s">
        <v>43</v>
      </c>
      <c r="K968" s="16" t="s">
        <v>33</v>
      </c>
      <c r="L968" s="31" t="s">
        <v>56</v>
      </c>
      <c r="N968" s="65" t="s">
        <v>957</v>
      </c>
      <c r="O968" s="16"/>
      <c r="P968" s="16"/>
      <c r="Q968" s="17">
        <f t="shared" si="107"/>
        <v>45609</v>
      </c>
      <c r="S968" s="20"/>
      <c r="T968" s="68" t="str">
        <f>VLOOKUP(A968,'Calendar ID'!$A:$C,3,false)</f>
        <v>liserdg.pro@gmail.com </v>
      </c>
      <c r="U968" s="77" t="b">
        <v>0</v>
      </c>
      <c r="V968" s="68" t="str">
        <f>VLOOKUP($A968,'Calendar ID'!$A:$C,2,false)</f>
        <v>c_8d6793f7bb6abb58456593287891e1c91528d006316df4ef7bdb59fa0d40b64f@group.calendar.google.com</v>
      </c>
      <c r="W968" s="77" t="b">
        <v>1</v>
      </c>
      <c r="X968" s="70" t="s">
        <v>82</v>
      </c>
    </row>
    <row r="969" hidden="1">
      <c r="A969" s="23" t="s">
        <v>136</v>
      </c>
      <c r="B969" s="11">
        <v>45511.0</v>
      </c>
      <c r="C969" s="16" t="s">
        <v>140</v>
      </c>
      <c r="E969" s="17"/>
      <c r="G969" s="17"/>
      <c r="H969" s="10" t="s">
        <v>31</v>
      </c>
      <c r="I969" s="16" t="s">
        <v>775</v>
      </c>
      <c r="J969" s="16" t="s">
        <v>97</v>
      </c>
      <c r="K969" s="23" t="s">
        <v>33</v>
      </c>
      <c r="L969" s="31" t="s">
        <v>56</v>
      </c>
      <c r="N969" s="16"/>
      <c r="O969" s="16"/>
      <c r="P969" s="16"/>
      <c r="Q969" s="17">
        <f t="shared" si="107"/>
        <v>45511</v>
      </c>
      <c r="S969" s="20"/>
      <c r="T969" s="68" t="str">
        <f>VLOOKUP(A969,'Calendar ID'!$A:$C,3,false)</f>
        <v>liserdg.pro@gmail.com </v>
      </c>
      <c r="U969" s="78" t="b">
        <v>0</v>
      </c>
      <c r="V969" s="68" t="str">
        <f>VLOOKUP($A969,'Calendar ID'!$A:$C,2,false)</f>
        <v>c_8d6793f7bb6abb58456593287891e1c91528d006316df4ef7bdb59fa0d40b64f@group.calendar.google.com</v>
      </c>
      <c r="W969" s="71" t="b">
        <v>0</v>
      </c>
      <c r="X969" s="68" t="str">
        <f>VLOOKUP($A969,'Calendar ID'!$A:$C,2,false)</f>
        <v>c_8d6793f7bb6abb58456593287891e1c91528d006316df4ef7bdb59fa0d40b64f@group.calendar.google.com</v>
      </c>
      <c r="AA969" s="16"/>
    </row>
    <row r="970" hidden="1">
      <c r="A970" s="16" t="s">
        <v>136</v>
      </c>
      <c r="B970" s="11">
        <v>45511.0</v>
      </c>
      <c r="C970" s="16" t="s">
        <v>724</v>
      </c>
      <c r="E970" s="17"/>
      <c r="G970" s="17"/>
      <c r="H970" s="10" t="s">
        <v>31</v>
      </c>
      <c r="J970" s="16" t="s">
        <v>97</v>
      </c>
      <c r="K970" s="23" t="s">
        <v>33</v>
      </c>
      <c r="L970" s="31" t="s">
        <v>56</v>
      </c>
      <c r="N970" s="55" t="s">
        <v>958</v>
      </c>
      <c r="O970" s="16"/>
      <c r="P970" s="16"/>
      <c r="Q970" s="17">
        <f t="shared" si="107"/>
        <v>45511</v>
      </c>
      <c r="S970" s="20"/>
      <c r="T970" s="68" t="str">
        <f>VLOOKUP(A970,'Calendar ID'!$A:$C,3,false)</f>
        <v>liserdg.pro@gmail.com </v>
      </c>
      <c r="U970" s="78" t="b">
        <v>0</v>
      </c>
      <c r="V970" s="68" t="str">
        <f>VLOOKUP($A970,'Calendar ID'!$A:$C,2,false)</f>
        <v>c_8d6793f7bb6abb58456593287891e1c91528d006316df4ef7bdb59fa0d40b64f@group.calendar.google.com</v>
      </c>
      <c r="W970" s="71" t="b">
        <v>0</v>
      </c>
      <c r="X970" s="68" t="str">
        <f>VLOOKUP($A970,'Calendar ID'!$A:$C,2,false)</f>
        <v>c_8d6793f7bb6abb58456593287891e1c91528d006316df4ef7bdb59fa0d40b64f@group.calendar.google.com</v>
      </c>
      <c r="AA970" s="16" t="s">
        <v>158</v>
      </c>
    </row>
    <row r="971" hidden="1">
      <c r="A971" s="16" t="s">
        <v>136</v>
      </c>
      <c r="B971" s="17">
        <v>45454.0</v>
      </c>
      <c r="C971" s="16" t="s">
        <v>287</v>
      </c>
      <c r="E971" s="17"/>
      <c r="G971" s="17"/>
      <c r="H971" s="16" t="s">
        <v>31</v>
      </c>
      <c r="J971" s="16" t="s">
        <v>97</v>
      </c>
      <c r="K971" s="16" t="s">
        <v>33</v>
      </c>
      <c r="L971" s="31" t="s">
        <v>56</v>
      </c>
      <c r="N971" s="55" t="s">
        <v>959</v>
      </c>
      <c r="O971" s="16"/>
      <c r="P971" s="16"/>
      <c r="Q971" s="17">
        <f t="shared" si="107"/>
        <v>45454</v>
      </c>
      <c r="S971" s="20"/>
      <c r="T971" s="20" t="str">
        <f>VLOOKUP(A971,'Calendar ID'!$A:$C,3,false)</f>
        <v>liserdg.pro@gmail.com </v>
      </c>
      <c r="U971" s="20" t="b">
        <v>0</v>
      </c>
      <c r="V971" s="20" t="str">
        <f>VLOOKUP($A971,'Calendar ID'!$A:$C,2,false)</f>
        <v>c_8d6793f7bb6abb58456593287891e1c91528d006316df4ef7bdb59fa0d40b64f@group.calendar.google.com</v>
      </c>
      <c r="W971" s="19" t="b">
        <v>0</v>
      </c>
      <c r="X971" s="20" t="str">
        <f>VLOOKUP($A971,'Calendar ID'!$A:$C,2,false)</f>
        <v>c_8d6793f7bb6abb58456593287891e1c91528d006316df4ef7bdb59fa0d40b64f@group.calendar.google.com</v>
      </c>
      <c r="Y971" s="20"/>
      <c r="Z971" s="20"/>
      <c r="AA971" s="20"/>
      <c r="AB971" s="20"/>
      <c r="AC971" s="20"/>
    </row>
    <row r="972" hidden="1">
      <c r="A972" s="16" t="s">
        <v>136</v>
      </c>
      <c r="B972" s="17">
        <v>45548.0</v>
      </c>
      <c r="C972" s="16" t="s">
        <v>226</v>
      </c>
      <c r="E972" s="17"/>
      <c r="G972" s="17"/>
      <c r="H972" s="10" t="s">
        <v>31</v>
      </c>
      <c r="J972" s="16" t="s">
        <v>266</v>
      </c>
      <c r="K972" s="23" t="s">
        <v>33</v>
      </c>
      <c r="L972" s="31" t="s">
        <v>56</v>
      </c>
      <c r="N972" s="65" t="s">
        <v>960</v>
      </c>
      <c r="O972" s="16"/>
      <c r="P972" s="16"/>
      <c r="Q972" s="17">
        <f t="shared" si="107"/>
        <v>45548</v>
      </c>
      <c r="S972" s="20"/>
      <c r="T972" s="68" t="str">
        <f>VLOOKUP(A972,'Calendar ID'!$A:$C,3,false)</f>
        <v>liserdg.pro@gmail.com </v>
      </c>
      <c r="U972" s="78" t="b">
        <v>0</v>
      </c>
      <c r="V972" s="68" t="str">
        <f>VLOOKUP($A972,'Calendar ID'!$A:$C,2,false)</f>
        <v>c_8d6793f7bb6abb58456593287891e1c91528d006316df4ef7bdb59fa0d40b64f@group.calendar.google.com</v>
      </c>
      <c r="W972" s="71" t="b">
        <v>0</v>
      </c>
      <c r="X972" s="68" t="str">
        <f>VLOOKUP($A972,'Calendar ID'!$A:$C,2,false)</f>
        <v>c_8d6793f7bb6abb58456593287891e1c91528d006316df4ef7bdb59fa0d40b64f@group.calendar.google.com</v>
      </c>
    </row>
    <row r="973" hidden="1">
      <c r="A973" s="16" t="s">
        <v>136</v>
      </c>
      <c r="B973" s="17">
        <v>45572.0</v>
      </c>
      <c r="C973" s="16" t="s">
        <v>226</v>
      </c>
      <c r="E973" s="17"/>
      <c r="G973" s="17"/>
      <c r="H973" s="10" t="s">
        <v>31</v>
      </c>
      <c r="J973" s="16" t="s">
        <v>266</v>
      </c>
      <c r="K973" s="23" t="s">
        <v>33</v>
      </c>
      <c r="L973" s="31" t="s">
        <v>56</v>
      </c>
      <c r="N973" s="16"/>
      <c r="O973" s="16"/>
      <c r="P973" s="16"/>
      <c r="Q973" s="17">
        <f t="shared" si="107"/>
        <v>45572</v>
      </c>
      <c r="S973" s="20"/>
      <c r="T973" s="68" t="str">
        <f>VLOOKUP(A973,'Calendar ID'!$A:$C,3,false)</f>
        <v>liserdg.pro@gmail.com </v>
      </c>
      <c r="U973" s="78" t="b">
        <v>0</v>
      </c>
      <c r="V973" s="68" t="str">
        <f>VLOOKUP($A973,'Calendar ID'!$A:$C,2,false)</f>
        <v>c_8d6793f7bb6abb58456593287891e1c91528d006316df4ef7bdb59fa0d40b64f@group.calendar.google.com</v>
      </c>
      <c r="W973" s="71" t="b">
        <v>0</v>
      </c>
      <c r="X973" s="68" t="str">
        <f>VLOOKUP($A973,'Calendar ID'!$A:$C,2,false)</f>
        <v>c_8d6793f7bb6abb58456593287891e1c91528d006316df4ef7bdb59fa0d40b64f@group.calendar.google.com</v>
      </c>
    </row>
    <row r="974" hidden="1">
      <c r="A974" s="23" t="s">
        <v>89</v>
      </c>
      <c r="B974" s="17">
        <v>45463.0</v>
      </c>
      <c r="C974" s="16" t="s">
        <v>680</v>
      </c>
      <c r="E974" s="17"/>
      <c r="F974" s="58">
        <v>45467.0</v>
      </c>
      <c r="G974" s="61">
        <v>45480.0</v>
      </c>
      <c r="H974" s="16" t="s">
        <v>31</v>
      </c>
      <c r="J974" s="16" t="s">
        <v>682</v>
      </c>
      <c r="K974" s="16" t="s">
        <v>33</v>
      </c>
      <c r="L974" s="31" t="s">
        <v>56</v>
      </c>
      <c r="N974" s="65" t="s">
        <v>961</v>
      </c>
      <c r="O974" s="16"/>
      <c r="P974" s="16"/>
      <c r="Q974" s="17">
        <f t="shared" si="107"/>
        <v>45463</v>
      </c>
      <c r="S974" s="20"/>
      <c r="T974" s="20" t="str">
        <f>VLOOKUP(A974,'Calendar ID'!$A:$C,3,false)</f>
        <v>lola140204@gmail.com</v>
      </c>
      <c r="U974" s="20" t="b">
        <v>0</v>
      </c>
      <c r="V974" s="20" t="str">
        <f>VLOOKUP($A974,'Calendar ID'!$A:$C,2,false)</f>
        <v>c_8f3f6ef786f2df9238426a478307dbddffb576ace587133cfa65ca553e2f967a@group.calendar.google.com</v>
      </c>
      <c r="W974" s="19" t="b">
        <v>1</v>
      </c>
      <c r="X974" s="19" t="s">
        <v>82</v>
      </c>
      <c r="Y974" s="20"/>
      <c r="Z974" s="20"/>
      <c r="AA974" s="20"/>
      <c r="AB974" s="20"/>
      <c r="AC974" s="20"/>
    </row>
    <row r="975" hidden="1">
      <c r="A975" s="16" t="s">
        <v>89</v>
      </c>
      <c r="B975" s="17">
        <v>45503.0</v>
      </c>
      <c r="C975" s="16" t="s">
        <v>690</v>
      </c>
      <c r="E975" s="17"/>
      <c r="G975" s="17">
        <v>45522.0</v>
      </c>
      <c r="H975" s="10" t="s">
        <v>31</v>
      </c>
      <c r="I975" s="16" t="s">
        <v>807</v>
      </c>
      <c r="J975" s="16" t="s">
        <v>97</v>
      </c>
      <c r="K975" s="23" t="s">
        <v>33</v>
      </c>
      <c r="L975" s="31" t="s">
        <v>56</v>
      </c>
      <c r="N975" s="16"/>
      <c r="O975" s="16"/>
      <c r="P975" s="16"/>
      <c r="Q975" s="17">
        <f t="shared" si="107"/>
        <v>45503</v>
      </c>
      <c r="S975" s="20"/>
      <c r="T975" s="68" t="str">
        <f>VLOOKUP(A975,'Calendar ID'!$A:$C,3,false)</f>
        <v>lola140204@gmail.com</v>
      </c>
      <c r="U975" s="71" t="b">
        <v>0</v>
      </c>
      <c r="V975" s="68" t="str">
        <f>VLOOKUP($A975,'Calendar ID'!$A:$C,2,false)</f>
        <v>c_8f3f6ef786f2df9238426a478307dbddffb576ace587133cfa65ca553e2f967a@group.calendar.google.com</v>
      </c>
      <c r="W975" s="69" t="b">
        <v>0</v>
      </c>
      <c r="X975" s="68" t="str">
        <f>VLOOKUP($A975,'Calendar ID'!$A:$C,2,false)</f>
        <v>c_8f3f6ef786f2df9238426a478307dbddffb576ace587133cfa65ca553e2f967a@group.calendar.google.com</v>
      </c>
      <c r="Y975" s="20"/>
      <c r="Z975" s="20"/>
      <c r="AA975" s="19" t="s">
        <v>807</v>
      </c>
      <c r="AB975" s="20"/>
      <c r="AC975" s="20"/>
    </row>
    <row r="976" hidden="1">
      <c r="A976" s="16" t="s">
        <v>89</v>
      </c>
      <c r="B976" s="17">
        <v>45525.0</v>
      </c>
      <c r="C976" s="16" t="s">
        <v>175</v>
      </c>
      <c r="E976" s="17"/>
      <c r="F976" s="17">
        <v>45537.0</v>
      </c>
      <c r="G976" s="17">
        <v>45557.0</v>
      </c>
      <c r="H976" s="10" t="s">
        <v>31</v>
      </c>
      <c r="J976" s="16" t="s">
        <v>43</v>
      </c>
      <c r="K976" s="23" t="s">
        <v>33</v>
      </c>
      <c r="L976" s="31" t="s">
        <v>56</v>
      </c>
      <c r="N976" s="65" t="s">
        <v>962</v>
      </c>
      <c r="O976" s="16"/>
      <c r="P976" s="16"/>
      <c r="Q976" s="17">
        <f t="shared" si="107"/>
        <v>45525</v>
      </c>
      <c r="S976" s="20"/>
      <c r="T976" s="68" t="str">
        <f>VLOOKUP(A976,'Calendar ID'!$A:$C,3,false)</f>
        <v>lola140204@gmail.com</v>
      </c>
      <c r="U976" s="78" t="b">
        <v>0</v>
      </c>
      <c r="V976" s="68" t="str">
        <f>VLOOKUP($A976,'Calendar ID'!$A:$C,2,false)</f>
        <v>c_8f3f6ef786f2df9238426a478307dbddffb576ace587133cfa65ca553e2f967a@group.calendar.google.com</v>
      </c>
      <c r="W976" s="69" t="b">
        <v>1</v>
      </c>
      <c r="X976" s="70" t="s">
        <v>82</v>
      </c>
      <c r="AA976" s="16"/>
    </row>
    <row r="977" hidden="1">
      <c r="A977" s="10" t="s">
        <v>89</v>
      </c>
      <c r="B977" s="11">
        <v>45527.0</v>
      </c>
      <c r="C977" s="23" t="s">
        <v>901</v>
      </c>
      <c r="D977" s="7"/>
      <c r="E977" s="26"/>
      <c r="F977" s="54">
        <v>45549.0</v>
      </c>
      <c r="G977" s="54">
        <v>45557.0</v>
      </c>
      <c r="H977" s="10" t="s">
        <v>31</v>
      </c>
      <c r="I977" s="23" t="s">
        <v>641</v>
      </c>
      <c r="J977" s="23" t="s">
        <v>97</v>
      </c>
      <c r="K977" s="23" t="s">
        <v>33</v>
      </c>
      <c r="L977" s="14" t="s">
        <v>56</v>
      </c>
      <c r="M977" s="7"/>
      <c r="N977" s="175" t="s">
        <v>963</v>
      </c>
      <c r="O977" s="23"/>
      <c r="P977" s="23"/>
      <c r="Q977" s="17">
        <f t="shared" si="107"/>
        <v>45527</v>
      </c>
      <c r="R977" s="7"/>
      <c r="S977" s="68"/>
      <c r="T977" s="68" t="str">
        <f>VLOOKUP(A977,'Calendar ID'!$A:$C,3,false)</f>
        <v>lola140204@gmail.com</v>
      </c>
      <c r="U977" s="78" t="b">
        <v>0</v>
      </c>
      <c r="V977" s="68" t="str">
        <f>VLOOKUP($A977,'Calendar ID'!$A:$C,2,false)</f>
        <v>c_8f3f6ef786f2df9238426a478307dbddffb576ace587133cfa65ca553e2f967a@group.calendar.google.com</v>
      </c>
      <c r="W977" s="69" t="b">
        <v>1</v>
      </c>
      <c r="X977" s="70" t="s">
        <v>82</v>
      </c>
      <c r="Y977" s="7"/>
      <c r="Z977" s="7"/>
      <c r="AA977" s="7"/>
      <c r="AB977" s="7"/>
      <c r="AC977" s="7"/>
    </row>
    <row r="978" hidden="1">
      <c r="A978" s="16" t="s">
        <v>89</v>
      </c>
      <c r="B978" s="54">
        <v>45552.0</v>
      </c>
      <c r="C978" s="23" t="s">
        <v>869</v>
      </c>
      <c r="D978" s="7"/>
      <c r="E978" s="26"/>
      <c r="F978" s="11"/>
      <c r="G978" s="11">
        <v>45575.0</v>
      </c>
      <c r="H978" s="10" t="s">
        <v>31</v>
      </c>
      <c r="I978" s="7"/>
      <c r="J978" s="23" t="s">
        <v>43</v>
      </c>
      <c r="K978" s="23" t="s">
        <v>33</v>
      </c>
      <c r="L978" s="14" t="s">
        <v>56</v>
      </c>
      <c r="M978" s="7"/>
      <c r="N978" s="23"/>
      <c r="O978" s="23"/>
      <c r="P978" s="23"/>
      <c r="Q978" s="17">
        <f t="shared" si="107"/>
        <v>45552</v>
      </c>
      <c r="R978" s="7"/>
      <c r="S978" s="68"/>
      <c r="T978" s="68" t="str">
        <f>VLOOKUP(A978,'Calendar ID'!$A:$C,3,false)</f>
        <v>lola140204@gmail.com</v>
      </c>
      <c r="U978" s="78" t="b">
        <v>0</v>
      </c>
      <c r="V978" s="68" t="str">
        <f>VLOOKUP($A978,'Calendar ID'!$A:$C,2,false)</f>
        <v>c_8f3f6ef786f2df9238426a478307dbddffb576ace587133cfa65ca553e2f967a@group.calendar.google.com</v>
      </c>
      <c r="W978" s="69" t="b">
        <v>1</v>
      </c>
      <c r="X978" s="70" t="s">
        <v>82</v>
      </c>
      <c r="Y978" s="7"/>
      <c r="Z978" s="7"/>
      <c r="AA978" s="7"/>
      <c r="AB978" s="7"/>
      <c r="AC978" s="7"/>
    </row>
    <row r="979" hidden="1">
      <c r="A979" s="10" t="s">
        <v>89</v>
      </c>
      <c r="B979" s="11">
        <v>45565.0</v>
      </c>
      <c r="C979" s="23" t="s">
        <v>630</v>
      </c>
      <c r="D979" s="23" t="s">
        <v>704</v>
      </c>
      <c r="E979" s="26"/>
      <c r="F979" s="11">
        <v>45566.0</v>
      </c>
      <c r="G979" s="11">
        <v>45587.0</v>
      </c>
      <c r="H979" s="10" t="s">
        <v>31</v>
      </c>
      <c r="I979" s="7"/>
      <c r="J979" s="23" t="s">
        <v>43</v>
      </c>
      <c r="K979" s="23" t="s">
        <v>33</v>
      </c>
      <c r="L979" s="14" t="s">
        <v>56</v>
      </c>
      <c r="M979" s="7"/>
      <c r="N979" s="152" t="s">
        <v>964</v>
      </c>
      <c r="O979" s="23"/>
      <c r="P979" s="23"/>
      <c r="Q979" s="17">
        <f t="shared" si="107"/>
        <v>45565</v>
      </c>
      <c r="R979" s="7"/>
      <c r="S979" s="68"/>
      <c r="T979" s="68" t="str">
        <f>VLOOKUP(A979,'Calendar ID'!$A:$C,3,false)</f>
        <v>lola140204@gmail.com</v>
      </c>
      <c r="U979" s="78" t="b">
        <v>0</v>
      </c>
      <c r="V979" s="68" t="str">
        <f>VLOOKUP($A979,'Calendar ID'!$A:$C,2,false)</f>
        <v>c_8f3f6ef786f2df9238426a478307dbddffb576ace587133cfa65ca553e2f967a@group.calendar.google.com</v>
      </c>
      <c r="W979" s="69" t="b">
        <v>1</v>
      </c>
      <c r="X979" s="70" t="s">
        <v>82</v>
      </c>
      <c r="Y979" s="7"/>
      <c r="Z979" s="7"/>
      <c r="AA979" s="7"/>
      <c r="AB979" s="7"/>
      <c r="AC979" s="7"/>
    </row>
    <row r="980" hidden="1">
      <c r="A980" s="16" t="s">
        <v>89</v>
      </c>
      <c r="B980" s="17">
        <v>45574.0</v>
      </c>
      <c r="C980" s="16" t="s">
        <v>256</v>
      </c>
      <c r="D980" s="16" t="s">
        <v>965</v>
      </c>
      <c r="E980" s="17"/>
      <c r="F980" s="82">
        <v>45575.0</v>
      </c>
      <c r="G980" s="82">
        <v>45596.0</v>
      </c>
      <c r="H980" s="10" t="s">
        <v>31</v>
      </c>
      <c r="J980" s="16" t="s">
        <v>593</v>
      </c>
      <c r="K980" s="23" t="s">
        <v>33</v>
      </c>
      <c r="L980" s="31" t="s">
        <v>56</v>
      </c>
      <c r="N980" s="16"/>
      <c r="O980" s="16"/>
      <c r="P980" s="16"/>
      <c r="Q980" s="17">
        <f t="shared" si="107"/>
        <v>45574</v>
      </c>
      <c r="S980" s="20"/>
      <c r="T980" s="68" t="str">
        <f>VLOOKUP(A980,'Calendar ID'!$A:$C,3,false)</f>
        <v>lola140204@gmail.com</v>
      </c>
      <c r="U980" s="78" t="b">
        <v>0</v>
      </c>
      <c r="V980" s="68" t="str">
        <f>VLOOKUP($A980,'Calendar ID'!$A:$C,2,false)</f>
        <v>c_8f3f6ef786f2df9238426a478307dbddffb576ace587133cfa65ca553e2f967a@group.calendar.google.com</v>
      </c>
      <c r="W980" s="69" t="b">
        <v>1</v>
      </c>
      <c r="X980" s="70" t="s">
        <v>82</v>
      </c>
    </row>
    <row r="981" hidden="1">
      <c r="A981" s="16" t="s">
        <v>89</v>
      </c>
      <c r="B981" s="17">
        <v>45596.0</v>
      </c>
      <c r="C981" s="16" t="s">
        <v>966</v>
      </c>
      <c r="E981" s="162"/>
      <c r="F981" s="17">
        <v>45567.0</v>
      </c>
      <c r="G981" s="17">
        <v>45619.0</v>
      </c>
      <c r="H981" s="10" t="s">
        <v>31</v>
      </c>
      <c r="J981" s="16" t="s">
        <v>593</v>
      </c>
      <c r="K981" s="23" t="s">
        <v>33</v>
      </c>
      <c r="L981" s="31" t="s">
        <v>56</v>
      </c>
      <c r="N981" s="65" t="s">
        <v>967</v>
      </c>
      <c r="O981" s="16"/>
      <c r="P981" s="16"/>
      <c r="Q981" s="17">
        <f t="shared" si="107"/>
        <v>45596</v>
      </c>
      <c r="S981" s="20"/>
      <c r="T981" s="20"/>
      <c r="U981" s="71" t="b">
        <v>0</v>
      </c>
      <c r="V981" s="68" t="str">
        <f>VLOOKUP($A981,'Calendar ID'!$A:$C,2,false)</f>
        <v>c_8f3f6ef786f2df9238426a478307dbddffb576ace587133cfa65ca553e2f967a@group.calendar.google.com</v>
      </c>
      <c r="W981" s="69" t="b">
        <v>1</v>
      </c>
      <c r="X981" s="68" t="str">
        <f>VLOOKUP($A981,'Calendar ID'!$A:$C,2,false)</f>
        <v>c_8f3f6ef786f2df9238426a478307dbddffb576ace587133cfa65ca553e2f967a@group.calendar.google.com</v>
      </c>
    </row>
    <row r="982" hidden="1">
      <c r="A982" s="16" t="s">
        <v>89</v>
      </c>
      <c r="B982" s="17">
        <v>45601.0</v>
      </c>
      <c r="C982" s="16" t="s">
        <v>825</v>
      </c>
      <c r="E982" s="17"/>
      <c r="F982" s="17">
        <v>45602.0</v>
      </c>
      <c r="G982" s="17">
        <v>45623.0</v>
      </c>
      <c r="H982" s="10" t="s">
        <v>31</v>
      </c>
      <c r="J982" s="16" t="s">
        <v>593</v>
      </c>
      <c r="K982" s="23" t="s">
        <v>33</v>
      </c>
      <c r="L982" s="31" t="s">
        <v>56</v>
      </c>
      <c r="N982" s="16"/>
      <c r="O982" s="16"/>
      <c r="P982" s="16"/>
      <c r="Q982" s="17">
        <f t="shared" si="107"/>
        <v>45601</v>
      </c>
      <c r="S982" s="20"/>
      <c r="T982" s="68" t="str">
        <f>VLOOKUP(A982,'Calendar ID'!$A:$C,3,false)</f>
        <v>lola140204@gmail.com</v>
      </c>
      <c r="U982" s="77" t="b">
        <v>0</v>
      </c>
      <c r="V982" s="68" t="str">
        <f>VLOOKUP($A982,'Calendar ID'!$A:$C,2,false)</f>
        <v>c_8f3f6ef786f2df9238426a478307dbddffb576ace587133cfa65ca553e2f967a@group.calendar.google.com</v>
      </c>
      <c r="W982" s="77" t="b">
        <v>1</v>
      </c>
      <c r="X982" s="70" t="s">
        <v>82</v>
      </c>
    </row>
    <row r="983" hidden="1">
      <c r="A983" s="16" t="s">
        <v>89</v>
      </c>
      <c r="B983" s="17">
        <v>45629.0</v>
      </c>
      <c r="C983" s="16" t="s">
        <v>651</v>
      </c>
      <c r="E983" s="17"/>
      <c r="F983" s="17">
        <v>45632.0</v>
      </c>
      <c r="G983" s="17">
        <v>45651.0</v>
      </c>
      <c r="H983" s="10" t="s">
        <v>31</v>
      </c>
      <c r="J983" s="16" t="s">
        <v>593</v>
      </c>
      <c r="K983" s="23" t="s">
        <v>33</v>
      </c>
      <c r="L983" s="31" t="s">
        <v>56</v>
      </c>
      <c r="N983" s="16"/>
      <c r="O983" s="16"/>
      <c r="P983" s="16"/>
      <c r="Q983" s="17">
        <f t="shared" si="107"/>
        <v>45629</v>
      </c>
      <c r="S983" s="20"/>
      <c r="T983" s="68" t="str">
        <f>VLOOKUP(A983,'Calendar ID'!$A:$C,3,false)</f>
        <v>lola140204@gmail.com</v>
      </c>
      <c r="U983" s="71" t="b">
        <v>0</v>
      </c>
      <c r="V983" s="68" t="str">
        <f>VLOOKUP($A983,'Calendar ID'!$A:$C,2,false)</f>
        <v>c_8f3f6ef786f2df9238426a478307dbddffb576ace587133cfa65ca553e2f967a@group.calendar.google.com</v>
      </c>
      <c r="W983" s="69" t="b">
        <v>1</v>
      </c>
      <c r="X983" s="70" t="s">
        <v>82</v>
      </c>
    </row>
    <row r="984" hidden="1">
      <c r="A984" s="16" t="s">
        <v>89</v>
      </c>
      <c r="B984" s="17">
        <v>45636.0</v>
      </c>
      <c r="C984" s="16" t="s">
        <v>927</v>
      </c>
      <c r="E984" s="17"/>
      <c r="F984" s="95">
        <v>45297.0</v>
      </c>
      <c r="G984" s="96">
        <v>45668.0</v>
      </c>
      <c r="H984" s="10" t="s">
        <v>31</v>
      </c>
      <c r="J984" s="16" t="s">
        <v>43</v>
      </c>
      <c r="K984" s="23" t="s">
        <v>33</v>
      </c>
      <c r="L984" s="31" t="s">
        <v>56</v>
      </c>
      <c r="N984" s="16"/>
      <c r="O984" s="16"/>
      <c r="P984" s="16"/>
      <c r="Q984" s="17">
        <f t="shared" si="107"/>
        <v>45636</v>
      </c>
      <c r="S984" s="20"/>
      <c r="T984" s="68" t="str">
        <f>VLOOKUP(A984,'Calendar ID'!$A:$C,3,false)</f>
        <v>lola140204@gmail.com</v>
      </c>
      <c r="U984" s="77" t="b">
        <v>0</v>
      </c>
      <c r="V984" s="68" t="str">
        <f>VLOOKUP($A984,'Calendar ID'!$A:$C,2,false)</f>
        <v>c_8f3f6ef786f2df9238426a478307dbddffb576ace587133cfa65ca553e2f967a@group.calendar.google.com</v>
      </c>
      <c r="W984" s="77" t="b">
        <v>1</v>
      </c>
      <c r="X984" s="70" t="s">
        <v>82</v>
      </c>
    </row>
    <row r="985" hidden="1">
      <c r="A985" s="160" t="s">
        <v>89</v>
      </c>
      <c r="B985" s="17">
        <v>45711.0</v>
      </c>
      <c r="C985" s="16" t="s">
        <v>640</v>
      </c>
      <c r="E985" s="17"/>
      <c r="F985" s="107">
        <v>45715.0</v>
      </c>
      <c r="G985" s="122">
        <v>45736.0</v>
      </c>
      <c r="H985" s="10" t="s">
        <v>31</v>
      </c>
      <c r="J985" s="16" t="s">
        <v>641</v>
      </c>
      <c r="K985" s="16" t="s">
        <v>33</v>
      </c>
      <c r="L985" s="31" t="s">
        <v>56</v>
      </c>
      <c r="N985" s="16"/>
      <c r="O985" s="16"/>
      <c r="P985" s="16"/>
      <c r="Q985" s="17">
        <f t="shared" si="107"/>
        <v>45711</v>
      </c>
      <c r="S985" s="20"/>
      <c r="T985" s="68" t="str">
        <f>VLOOKUP(A985,'Calendar ID'!$A:$C,3,false)</f>
        <v>lola140204@gmail.com</v>
      </c>
      <c r="U985" s="71" t="b">
        <v>0</v>
      </c>
      <c r="V985" s="68" t="str">
        <f>VLOOKUP($A985,'Calendar ID'!$A:$C,2,false)</f>
        <v>c_8f3f6ef786f2df9238426a478307dbddffb576ace587133cfa65ca553e2f967a@group.calendar.google.com</v>
      </c>
      <c r="W985" s="69" t="b">
        <v>1</v>
      </c>
      <c r="X985" s="70" t="s">
        <v>82</v>
      </c>
    </row>
    <row r="986" hidden="1">
      <c r="A986" s="16" t="s">
        <v>89</v>
      </c>
      <c r="B986" s="17">
        <v>45695.0</v>
      </c>
      <c r="C986" s="16" t="s">
        <v>652</v>
      </c>
      <c r="E986" s="163"/>
      <c r="F986" s="94">
        <v>45722.0</v>
      </c>
      <c r="G986" s="122">
        <v>45737.0</v>
      </c>
      <c r="H986" s="10" t="s">
        <v>31</v>
      </c>
      <c r="I986" s="16" t="s">
        <v>653</v>
      </c>
      <c r="J986" s="16" t="s">
        <v>43</v>
      </c>
      <c r="K986" s="16" t="s">
        <v>33</v>
      </c>
      <c r="L986" s="31" t="s">
        <v>56</v>
      </c>
      <c r="N986" s="16"/>
      <c r="O986" s="16"/>
      <c r="P986" s="16"/>
      <c r="Q986" s="17">
        <f t="shared" si="107"/>
        <v>45695</v>
      </c>
      <c r="S986" s="20"/>
      <c r="T986" s="68" t="str">
        <f>VLOOKUP(A986,'Calendar ID'!$A:$C,3,false)</f>
        <v>lola140204@gmail.com</v>
      </c>
      <c r="U986" s="69" t="b">
        <v>0</v>
      </c>
      <c r="V986" s="68" t="str">
        <f>VLOOKUP($A986,'Calendar ID'!$A:$C,2,false)</f>
        <v>c_8f3f6ef786f2df9238426a478307dbddffb576ace587133cfa65ca553e2f967a@group.calendar.google.com</v>
      </c>
      <c r="W986" s="69" t="b">
        <v>1</v>
      </c>
      <c r="X986" s="70" t="s">
        <v>82</v>
      </c>
    </row>
    <row r="987" hidden="1">
      <c r="A987" s="16" t="s">
        <v>89</v>
      </c>
      <c r="B987" s="17">
        <v>45433.0</v>
      </c>
      <c r="C987" s="16" t="s">
        <v>410</v>
      </c>
      <c r="D987" s="16" t="s">
        <v>802</v>
      </c>
      <c r="E987" s="17"/>
      <c r="G987" s="17"/>
      <c r="H987" s="16" t="s">
        <v>31</v>
      </c>
      <c r="J987" s="16" t="s">
        <v>97</v>
      </c>
      <c r="K987" s="16" t="s">
        <v>33</v>
      </c>
      <c r="L987" s="31" t="s">
        <v>56</v>
      </c>
      <c r="N987" s="16"/>
      <c r="O987" s="16"/>
      <c r="P987" s="16"/>
      <c r="Q987" s="17">
        <f t="shared" si="107"/>
        <v>45433</v>
      </c>
      <c r="S987" s="20"/>
      <c r="T987" s="20" t="str">
        <f>VLOOKUP(A987,'Calendar ID'!$A:$C,3,false)</f>
        <v>lola140204@gmail.com</v>
      </c>
      <c r="U987" s="20" t="b">
        <v>0</v>
      </c>
      <c r="V987" s="20" t="str">
        <f>VLOOKUP($A987,'Calendar ID'!$A:$C,2,false)</f>
        <v>c_8f3f6ef786f2df9238426a478307dbddffb576ace587133cfa65ca553e2f967a@group.calendar.google.com</v>
      </c>
      <c r="W987" s="19" t="b">
        <v>0</v>
      </c>
      <c r="X987" s="20" t="str">
        <f>VLOOKUP($A987,'Calendar ID'!$A:$C,2,false)</f>
        <v>c_8f3f6ef786f2df9238426a478307dbddffb576ace587133cfa65ca553e2f967a@group.calendar.google.com</v>
      </c>
      <c r="Y987" s="20"/>
      <c r="Z987" s="20"/>
      <c r="AA987" s="20"/>
      <c r="AB987" s="20"/>
      <c r="AC987" s="20"/>
    </row>
    <row r="988" hidden="1">
      <c r="A988" s="160" t="s">
        <v>89</v>
      </c>
      <c r="B988" s="17">
        <v>45455.0</v>
      </c>
      <c r="C988" s="7" t="s">
        <v>901</v>
      </c>
      <c r="G988" s="10"/>
      <c r="H988" s="16" t="s">
        <v>31</v>
      </c>
      <c r="J988" s="16" t="s">
        <v>97</v>
      </c>
      <c r="K988" s="16" t="s">
        <v>33</v>
      </c>
      <c r="L988" s="14" t="s">
        <v>56</v>
      </c>
      <c r="Q988" s="17">
        <f t="shared" si="107"/>
        <v>45455</v>
      </c>
      <c r="S988" s="20"/>
      <c r="T988" s="20" t="str">
        <f>VLOOKUP(A988,'Calendar ID'!$A:$C,3,false)</f>
        <v>lola140204@gmail.com</v>
      </c>
      <c r="U988" s="20" t="b">
        <v>0</v>
      </c>
      <c r="V988" s="20" t="str">
        <f>VLOOKUP($A988,'Calendar ID'!$A:$C,2,false)</f>
        <v>c_8f3f6ef786f2df9238426a478307dbddffb576ace587133cfa65ca553e2f967a@group.calendar.google.com</v>
      </c>
      <c r="W988" s="19" t="b">
        <v>0</v>
      </c>
      <c r="X988" s="20" t="str">
        <f>VLOOKUP($A988,'Calendar ID'!$A:$C,2,false)</f>
        <v>c_8f3f6ef786f2df9238426a478307dbddffb576ace587133cfa65ca553e2f967a@group.calendar.google.com</v>
      </c>
      <c r="Y988" s="20"/>
      <c r="Z988" s="20"/>
      <c r="AA988" s="20"/>
      <c r="AB988" s="20"/>
      <c r="AC988" s="20"/>
    </row>
    <row r="989" hidden="1">
      <c r="A989" s="16" t="s">
        <v>89</v>
      </c>
      <c r="B989" s="17">
        <v>45488.0</v>
      </c>
      <c r="C989" s="16" t="s">
        <v>121</v>
      </c>
      <c r="E989" s="17"/>
      <c r="G989" s="17"/>
      <c r="H989" s="10" t="s">
        <v>31</v>
      </c>
      <c r="J989" s="16" t="s">
        <v>97</v>
      </c>
      <c r="K989" s="23" t="s">
        <v>33</v>
      </c>
      <c r="L989" s="31" t="s">
        <v>56</v>
      </c>
      <c r="N989" s="16"/>
      <c r="O989" s="16"/>
      <c r="P989" s="16"/>
      <c r="Q989" s="17">
        <f t="shared" si="107"/>
        <v>45488</v>
      </c>
      <c r="S989" s="20"/>
      <c r="T989" s="68" t="str">
        <f>VLOOKUP(A989,'Calendar ID'!$A:$C,3,false)</f>
        <v>lola140204@gmail.com</v>
      </c>
      <c r="U989" s="71" t="b">
        <v>0</v>
      </c>
      <c r="V989" s="68" t="str">
        <f>VLOOKUP($A989,'Calendar ID'!$A:$C,2,false)</f>
        <v>c_8f3f6ef786f2df9238426a478307dbddffb576ace587133cfa65ca553e2f967a@group.calendar.google.com</v>
      </c>
      <c r="W989" s="71" t="b">
        <v>0</v>
      </c>
      <c r="X989" s="68" t="str">
        <f>VLOOKUP($A989,'Calendar ID'!$A:$C,2,false)</f>
        <v>c_8f3f6ef786f2df9238426a478307dbddffb576ace587133cfa65ca553e2f967a@group.calendar.google.com</v>
      </c>
      <c r="Y989" s="20"/>
      <c r="Z989" s="20"/>
      <c r="AA989" s="20"/>
      <c r="AB989" s="20"/>
      <c r="AC989" s="20"/>
    </row>
    <row r="990" hidden="1">
      <c r="A990" s="16" t="s">
        <v>89</v>
      </c>
      <c r="B990" s="17">
        <v>45454.0</v>
      </c>
      <c r="C990" s="16" t="s">
        <v>287</v>
      </c>
      <c r="E990" s="17"/>
      <c r="G990" s="17"/>
      <c r="H990" s="16" t="s">
        <v>31</v>
      </c>
      <c r="J990" s="16" t="s">
        <v>97</v>
      </c>
      <c r="K990" s="16" t="s">
        <v>33</v>
      </c>
      <c r="L990" s="31" t="s">
        <v>56</v>
      </c>
      <c r="N990" s="16"/>
      <c r="O990" s="16"/>
      <c r="P990" s="16"/>
      <c r="Q990" s="17">
        <f t="shared" si="107"/>
        <v>45454</v>
      </c>
      <c r="S990" s="20"/>
      <c r="T990" s="20" t="str">
        <f>VLOOKUP(A990,'Calendar ID'!$A:$C,3,false)</f>
        <v>lola140204@gmail.com</v>
      </c>
      <c r="U990" s="20" t="b">
        <v>0</v>
      </c>
      <c r="V990" s="20" t="str">
        <f>VLOOKUP($A990,'Calendar ID'!$A:$C,2,false)</f>
        <v>c_8f3f6ef786f2df9238426a478307dbddffb576ace587133cfa65ca553e2f967a@group.calendar.google.com</v>
      </c>
      <c r="W990" s="19" t="b">
        <v>0</v>
      </c>
      <c r="X990" s="20" t="str">
        <f>VLOOKUP($A990,'Calendar ID'!$A:$C,2,false)</f>
        <v>c_8f3f6ef786f2df9238426a478307dbddffb576ace587133cfa65ca553e2f967a@group.calendar.google.com</v>
      </c>
      <c r="Y990" s="20"/>
      <c r="Z990" s="20"/>
      <c r="AA990" s="20"/>
      <c r="AB990" s="20"/>
      <c r="AC990" s="20"/>
    </row>
    <row r="991" hidden="1">
      <c r="A991" s="16" t="s">
        <v>89</v>
      </c>
      <c r="B991" s="17">
        <v>45548.0</v>
      </c>
      <c r="C991" s="16" t="s">
        <v>226</v>
      </c>
      <c r="E991" s="17"/>
      <c r="G991" s="17"/>
      <c r="H991" s="10" t="s">
        <v>31</v>
      </c>
      <c r="J991" s="16" t="s">
        <v>266</v>
      </c>
      <c r="K991" s="23" t="s">
        <v>33</v>
      </c>
      <c r="L991" s="31" t="s">
        <v>56</v>
      </c>
      <c r="N991" s="16"/>
      <c r="O991" s="16"/>
      <c r="P991" s="16"/>
      <c r="Q991" s="17">
        <f t="shared" si="107"/>
        <v>45548</v>
      </c>
      <c r="S991" s="20"/>
      <c r="T991" s="68" t="str">
        <f>VLOOKUP(A991,'Calendar ID'!$A:$C,3,false)</f>
        <v>lola140204@gmail.com</v>
      </c>
      <c r="U991" s="78" t="b">
        <v>0</v>
      </c>
      <c r="V991" s="68" t="str">
        <f>VLOOKUP($A991,'Calendar ID'!$A:$C,2,false)</f>
        <v>c_8f3f6ef786f2df9238426a478307dbddffb576ace587133cfa65ca553e2f967a@group.calendar.google.com</v>
      </c>
      <c r="W991" s="71" t="b">
        <v>0</v>
      </c>
      <c r="X991" s="68" t="str">
        <f>VLOOKUP($A991,'Calendar ID'!$A:$C,2,false)</f>
        <v>c_8f3f6ef786f2df9238426a478307dbddffb576ace587133cfa65ca553e2f967a@group.calendar.google.com</v>
      </c>
    </row>
    <row r="992" hidden="1">
      <c r="A992" s="16" t="s">
        <v>89</v>
      </c>
      <c r="B992" s="17">
        <v>45559.0</v>
      </c>
      <c r="C992" s="16" t="s">
        <v>968</v>
      </c>
      <c r="E992" s="17"/>
      <c r="G992" s="17"/>
      <c r="H992" s="10" t="s">
        <v>31</v>
      </c>
      <c r="J992" s="16" t="s">
        <v>266</v>
      </c>
      <c r="K992" s="23" t="s">
        <v>33</v>
      </c>
      <c r="L992" s="31" t="s">
        <v>56</v>
      </c>
      <c r="N992" s="16"/>
      <c r="O992" s="16"/>
      <c r="P992" s="16"/>
      <c r="Q992" s="17">
        <f t="shared" si="107"/>
        <v>45559</v>
      </c>
      <c r="S992" s="20"/>
      <c r="T992" s="68" t="str">
        <f>VLOOKUP(A992,'Calendar ID'!$A:$C,3,false)</f>
        <v>lola140204@gmail.com</v>
      </c>
      <c r="U992" s="78" t="b">
        <v>0</v>
      </c>
      <c r="V992" s="68" t="str">
        <f>VLOOKUP($A992,'Calendar ID'!$A:$C,2,false)</f>
        <v>c_8f3f6ef786f2df9238426a478307dbddffb576ace587133cfa65ca553e2f967a@group.calendar.google.com</v>
      </c>
      <c r="W992" s="71" t="b">
        <v>0</v>
      </c>
      <c r="X992" s="68" t="str">
        <f>VLOOKUP($A992,'Calendar ID'!$A:$C,2,false)</f>
        <v>c_8f3f6ef786f2df9238426a478307dbddffb576ace587133cfa65ca553e2f967a@group.calendar.google.com</v>
      </c>
    </row>
    <row r="993" hidden="1">
      <c r="A993" s="16" t="s">
        <v>89</v>
      </c>
      <c r="B993" s="17">
        <v>45566.0</v>
      </c>
      <c r="C993" s="16" t="s">
        <v>968</v>
      </c>
      <c r="E993" s="17"/>
      <c r="G993" s="17"/>
      <c r="H993" s="10" t="s">
        <v>31</v>
      </c>
      <c r="J993" s="16" t="s">
        <v>43</v>
      </c>
      <c r="K993" s="23" t="s">
        <v>33</v>
      </c>
      <c r="L993" s="31" t="s">
        <v>56</v>
      </c>
      <c r="N993" s="16"/>
      <c r="O993" s="16"/>
      <c r="P993" s="16"/>
      <c r="Q993" s="17">
        <f t="shared" si="107"/>
        <v>45566</v>
      </c>
      <c r="S993" s="20"/>
      <c r="T993" s="68" t="str">
        <f>VLOOKUP(A993,'Calendar ID'!$A:$C,3,false)</f>
        <v>lola140204@gmail.com</v>
      </c>
      <c r="U993" s="78" t="b">
        <v>0</v>
      </c>
      <c r="V993" s="68" t="str">
        <f>VLOOKUP($A993,'Calendar ID'!$A:$C,2,false)</f>
        <v>c_8f3f6ef786f2df9238426a478307dbddffb576ace587133cfa65ca553e2f967a@group.calendar.google.com</v>
      </c>
      <c r="W993" s="71" t="b">
        <v>0</v>
      </c>
      <c r="X993" s="68" t="str">
        <f>VLOOKUP($A993,'Calendar ID'!$A:$C,2,false)</f>
        <v>c_8f3f6ef786f2df9238426a478307dbddffb576ace587133cfa65ca553e2f967a@group.calendar.google.com</v>
      </c>
    </row>
    <row r="994" hidden="1">
      <c r="A994" s="16" t="s">
        <v>89</v>
      </c>
      <c r="B994" s="17">
        <v>45572.0</v>
      </c>
      <c r="C994" s="16" t="s">
        <v>226</v>
      </c>
      <c r="E994" s="17"/>
      <c r="G994" s="17"/>
      <c r="H994" s="10" t="s">
        <v>31</v>
      </c>
      <c r="J994" s="16" t="s">
        <v>266</v>
      </c>
      <c r="K994" s="23" t="s">
        <v>33</v>
      </c>
      <c r="L994" s="31" t="s">
        <v>56</v>
      </c>
      <c r="N994" s="16"/>
      <c r="O994" s="16"/>
      <c r="P994" s="16"/>
      <c r="Q994" s="17">
        <f t="shared" si="107"/>
        <v>45572</v>
      </c>
      <c r="S994" s="20"/>
      <c r="T994" s="68" t="str">
        <f>VLOOKUP(A994,'Calendar ID'!$A:$C,3,false)</f>
        <v>lola140204@gmail.com</v>
      </c>
      <c r="U994" s="78" t="b">
        <v>0</v>
      </c>
      <c r="V994" s="68" t="str">
        <f>VLOOKUP($A994,'Calendar ID'!$A:$C,2,false)</f>
        <v>c_8f3f6ef786f2df9238426a478307dbddffb576ace587133cfa65ca553e2f967a@group.calendar.google.com</v>
      </c>
      <c r="W994" s="71" t="b">
        <v>0</v>
      </c>
      <c r="X994" s="68" t="str">
        <f>VLOOKUP($A994,'Calendar ID'!$A:$C,2,false)</f>
        <v>c_8f3f6ef786f2df9238426a478307dbddffb576ace587133cfa65ca553e2f967a@group.calendar.google.com</v>
      </c>
    </row>
    <row r="995" hidden="1">
      <c r="A995" s="16" t="s">
        <v>89</v>
      </c>
      <c r="B995" s="17">
        <v>45476.0</v>
      </c>
      <c r="C995" s="16" t="s">
        <v>191</v>
      </c>
      <c r="E995" s="162"/>
      <c r="G995" s="17"/>
      <c r="H995" s="10" t="s">
        <v>31</v>
      </c>
      <c r="J995" s="16" t="s">
        <v>266</v>
      </c>
      <c r="K995" s="23" t="s">
        <v>33</v>
      </c>
      <c r="L995" s="31" t="s">
        <v>56</v>
      </c>
      <c r="N995" s="16"/>
      <c r="O995" s="16"/>
      <c r="P995" s="16"/>
      <c r="Q995" s="17">
        <f t="shared" si="107"/>
        <v>45476</v>
      </c>
      <c r="S995" s="20"/>
      <c r="T995" s="68" t="str">
        <f>VLOOKUP(A995,'Calendar ID'!$A:$C,3,false)</f>
        <v>lola140204@gmail.com</v>
      </c>
      <c r="U995" s="71" t="b">
        <v>0</v>
      </c>
      <c r="V995" s="68" t="str">
        <f>VLOOKUP($A995,'Calendar ID'!$A:$C,2,false)</f>
        <v>c_8f3f6ef786f2df9238426a478307dbddffb576ace587133cfa65ca553e2f967a@group.calendar.google.com</v>
      </c>
      <c r="W995" s="71" t="b">
        <v>0</v>
      </c>
      <c r="X995" s="68" t="str">
        <f>VLOOKUP($A995,'Calendar ID'!$A:$C,2,false)</f>
        <v>c_8f3f6ef786f2df9238426a478307dbddffb576ace587133cfa65ca553e2f967a@group.calendar.google.com</v>
      </c>
      <c r="Y995" s="20"/>
      <c r="Z995" s="20"/>
      <c r="AA995" s="20"/>
      <c r="AB995" s="20"/>
      <c r="AC995" s="20"/>
    </row>
    <row r="996" hidden="1">
      <c r="A996" s="16" t="s">
        <v>89</v>
      </c>
      <c r="B996" s="17">
        <v>45666.0</v>
      </c>
      <c r="C996" s="16" t="s">
        <v>101</v>
      </c>
      <c r="D996" s="16" t="s">
        <v>969</v>
      </c>
      <c r="E996" s="17"/>
      <c r="G996" s="17"/>
      <c r="H996" s="10" t="s">
        <v>31</v>
      </c>
      <c r="J996" s="16" t="s">
        <v>97</v>
      </c>
      <c r="K996" s="23" t="s">
        <v>33</v>
      </c>
      <c r="L996" s="31" t="s">
        <v>56</v>
      </c>
      <c r="N996" s="16"/>
      <c r="O996" s="16"/>
      <c r="P996" s="16"/>
      <c r="Q996" s="17">
        <f t="shared" si="107"/>
        <v>45666</v>
      </c>
      <c r="S996" s="20"/>
      <c r="T996" s="68" t="str">
        <f>VLOOKUP(A996,'Calendar ID'!$A:$C,3,false)</f>
        <v>lola140204@gmail.com</v>
      </c>
      <c r="U996" s="69" t="b">
        <v>0</v>
      </c>
      <c r="V996" s="68" t="str">
        <f>VLOOKUP($A996,'Calendar ID'!$A:$C,2,false)</f>
        <v>c_8f3f6ef786f2df9238426a478307dbddffb576ace587133cfa65ca553e2f967a@group.calendar.google.com</v>
      </c>
      <c r="W996" s="71" t="b">
        <v>0</v>
      </c>
      <c r="X996" s="68" t="str">
        <f>VLOOKUP($A996,'Calendar ID'!$A:$C,2,false)</f>
        <v>c_8f3f6ef786f2df9238426a478307dbddffb576ace587133cfa65ca553e2f967a@group.calendar.google.com</v>
      </c>
    </row>
    <row r="997" hidden="1">
      <c r="A997" s="128" t="s">
        <v>89</v>
      </c>
      <c r="B997" s="17">
        <v>45759.0</v>
      </c>
      <c r="C997" s="16" t="s">
        <v>781</v>
      </c>
      <c r="E997" s="17"/>
      <c r="F997" s="17"/>
      <c r="G997" s="17"/>
      <c r="H997" s="10" t="s">
        <v>31</v>
      </c>
      <c r="J997" s="16" t="s">
        <v>43</v>
      </c>
      <c r="K997" s="16" t="s">
        <v>33</v>
      </c>
      <c r="L997" s="31" t="s">
        <v>56</v>
      </c>
      <c r="N997" s="16"/>
      <c r="O997" s="16"/>
      <c r="P997" s="23"/>
      <c r="Q997" s="17">
        <f t="shared" si="107"/>
        <v>45759</v>
      </c>
      <c r="R997" s="15"/>
      <c r="S997" s="20"/>
      <c r="T997" s="68" t="str">
        <f>VLOOKUP(A997,'Calendar ID'!$A:$C,3,false)</f>
        <v>lola140204@gmail.com</v>
      </c>
      <c r="U997" s="71" t="b">
        <v>0</v>
      </c>
      <c r="V997" s="68" t="str">
        <f>VLOOKUP($A997,'Calendar ID'!$A:$C,2,false)</f>
        <v>c_8f3f6ef786f2df9238426a478307dbddffb576ace587133cfa65ca553e2f967a@group.calendar.google.com</v>
      </c>
      <c r="W997" s="71" t="b">
        <v>0</v>
      </c>
      <c r="X997" s="68" t="str">
        <f>VLOOKUP($A997,'Calendar ID'!$A:$C,2,false)</f>
        <v>c_8f3f6ef786f2df9238426a478307dbddffb576ace587133cfa65ca553e2f967a@group.calendar.google.com</v>
      </c>
    </row>
    <row r="998" hidden="1">
      <c r="A998" s="128" t="s">
        <v>402</v>
      </c>
      <c r="B998" s="17">
        <v>45759.0</v>
      </c>
      <c r="C998" s="16" t="s">
        <v>781</v>
      </c>
      <c r="E998" s="17"/>
      <c r="F998" s="17"/>
      <c r="G998" s="17"/>
      <c r="H998" s="10" t="s">
        <v>31</v>
      </c>
      <c r="J998" s="16" t="s">
        <v>43</v>
      </c>
      <c r="K998" s="16" t="s">
        <v>33</v>
      </c>
      <c r="L998" s="31" t="s">
        <v>56</v>
      </c>
      <c r="N998" s="16"/>
      <c r="O998" s="16"/>
      <c r="P998" s="23"/>
      <c r="Q998" s="17">
        <f t="shared" si="107"/>
        <v>45759</v>
      </c>
      <c r="R998" s="15"/>
      <c r="S998" s="20"/>
      <c r="T998" s="68" t="str">
        <f>VLOOKUP(A998,'Calendar ID'!$A:$C,3,false)</f>
        <v>stzmarine6@gmail.com</v>
      </c>
      <c r="U998" s="71" t="b">
        <v>0</v>
      </c>
      <c r="V998" s="68" t="str">
        <f>VLOOKUP($A998,'Calendar ID'!$A:$C,2,false)</f>
        <v>c_c2a91e309d1b6dc37cabc837fe79ebdcdbabcaff13a6376ec109ab3d73862812@group.calendar.google.com</v>
      </c>
      <c r="W998" s="71" t="b">
        <v>0</v>
      </c>
      <c r="X998" s="68" t="str">
        <f>VLOOKUP($A998,'Calendar ID'!$A:$C,2,false)</f>
        <v>c_c2a91e309d1b6dc37cabc837fe79ebdcdbabcaff13a6376ec109ab3d73862812@group.calendar.google.com</v>
      </c>
    </row>
    <row r="999" hidden="1">
      <c r="A999" s="16" t="s">
        <v>970</v>
      </c>
      <c r="B999" s="17">
        <v>45337.0</v>
      </c>
      <c r="C999" s="16" t="s">
        <v>971</v>
      </c>
      <c r="F999" s="17"/>
      <c r="G999" s="86">
        <v>45337.0</v>
      </c>
      <c r="H999" s="7" t="s">
        <v>31</v>
      </c>
      <c r="J999" s="16" t="s">
        <v>83</v>
      </c>
      <c r="K999" s="16" t="s">
        <v>33</v>
      </c>
      <c r="L999" s="31">
        <v>250.0</v>
      </c>
      <c r="N999" s="16"/>
      <c r="O999" s="16"/>
      <c r="P999" s="16" t="s">
        <v>34</v>
      </c>
      <c r="Q999" s="17">
        <f t="shared" si="107"/>
        <v>45337</v>
      </c>
      <c r="R999" s="39">
        <v>37.5</v>
      </c>
      <c r="S999" s="19" t="b">
        <v>1</v>
      </c>
      <c r="T999" s="20"/>
      <c r="U999" s="20"/>
      <c r="V999" s="20"/>
      <c r="W999" s="20"/>
      <c r="X999" s="20"/>
      <c r="Y999" s="16"/>
      <c r="Z999" s="16"/>
      <c r="AA999" s="16"/>
      <c r="AB999" s="16"/>
      <c r="AC999" s="16"/>
    </row>
    <row r="1000" hidden="1">
      <c r="A1000" s="16" t="s">
        <v>39</v>
      </c>
      <c r="B1000" s="17">
        <v>45386.0</v>
      </c>
      <c r="C1000" s="16" t="s">
        <v>630</v>
      </c>
      <c r="E1000" s="8"/>
      <c r="F1000" s="28">
        <v>45387.0</v>
      </c>
      <c r="G1000" s="35">
        <v>45408.0</v>
      </c>
      <c r="H1000" s="10" t="s">
        <v>31</v>
      </c>
      <c r="I1000" s="16" t="s">
        <v>747</v>
      </c>
      <c r="J1000" s="16" t="s">
        <v>43</v>
      </c>
      <c r="K1000" s="16" t="s">
        <v>33</v>
      </c>
      <c r="L1000" s="14" t="s">
        <v>56</v>
      </c>
      <c r="Q1000" s="17">
        <f t="shared" si="107"/>
        <v>45386</v>
      </c>
      <c r="S1000" s="20"/>
      <c r="T1000" s="20"/>
      <c r="U1000" s="20"/>
      <c r="V1000" s="20"/>
      <c r="W1000" s="20"/>
      <c r="X1000" s="20"/>
      <c r="Y1000" s="20"/>
      <c r="Z1000" s="20"/>
      <c r="AA1000" s="20"/>
      <c r="AB1000" s="20"/>
      <c r="AC1000" s="20"/>
    </row>
    <row r="1001" hidden="1">
      <c r="A1001" s="16" t="s">
        <v>39</v>
      </c>
      <c r="B1001" s="17">
        <v>45390.0</v>
      </c>
      <c r="C1001" s="16" t="s">
        <v>67</v>
      </c>
      <c r="F1001" s="17"/>
      <c r="G1001" s="36">
        <v>45411.0</v>
      </c>
      <c r="H1001" s="10" t="s">
        <v>31</v>
      </c>
      <c r="K1001" s="16" t="s">
        <v>972</v>
      </c>
      <c r="L1001" s="14" t="s">
        <v>56</v>
      </c>
      <c r="Q1001" s="17">
        <f t="shared" si="107"/>
        <v>45390</v>
      </c>
      <c r="S1001" s="20"/>
      <c r="T1001" s="20"/>
      <c r="U1001" s="20"/>
      <c r="V1001" s="20"/>
      <c r="W1001" s="20"/>
      <c r="X1001" s="20"/>
      <c r="Y1001" s="20"/>
      <c r="Z1001" s="20"/>
      <c r="AA1001" s="20"/>
      <c r="AB1001" s="20"/>
      <c r="AC1001" s="20"/>
    </row>
    <row r="1002" hidden="1">
      <c r="A1002" s="16" t="s">
        <v>39</v>
      </c>
      <c r="B1002" s="17">
        <v>45423.0</v>
      </c>
      <c r="C1002" s="16" t="s">
        <v>973</v>
      </c>
      <c r="E1002" s="17"/>
      <c r="G1002" s="43">
        <v>45427.0</v>
      </c>
      <c r="H1002" s="16" t="s">
        <v>31</v>
      </c>
      <c r="J1002" s="16" t="s">
        <v>97</v>
      </c>
      <c r="K1002" s="16" t="s">
        <v>973</v>
      </c>
      <c r="L1002" s="31">
        <v>500.0</v>
      </c>
      <c r="N1002" s="16"/>
      <c r="O1002" s="16"/>
      <c r="P1002" s="16" t="s">
        <v>34</v>
      </c>
      <c r="Q1002" s="17">
        <f t="shared" si="107"/>
        <v>45423</v>
      </c>
      <c r="R1002" s="18">
        <f>L1002*0.2</f>
        <v>100</v>
      </c>
      <c r="S1002" s="19" t="b">
        <v>1</v>
      </c>
      <c r="T1002" s="20"/>
      <c r="U1002" s="20"/>
      <c r="V1002" s="20"/>
      <c r="W1002" s="20"/>
      <c r="X1002" s="20"/>
      <c r="Y1002" s="16"/>
      <c r="Z1002" s="16"/>
      <c r="AA1002" s="16"/>
      <c r="AB1002" s="16"/>
      <c r="AC1002" s="16"/>
    </row>
    <row r="1003" hidden="1">
      <c r="A1003" s="16" t="s">
        <v>39</v>
      </c>
      <c r="B1003" s="17">
        <v>45404.0</v>
      </c>
      <c r="C1003" s="29" t="s">
        <v>667</v>
      </c>
      <c r="E1003" s="17"/>
      <c r="F1003" s="17"/>
      <c r="G1003" s="48">
        <v>45440.0</v>
      </c>
      <c r="H1003" s="16" t="s">
        <v>31</v>
      </c>
      <c r="I1003" s="55" t="s">
        <v>668</v>
      </c>
      <c r="J1003" s="16" t="s">
        <v>43</v>
      </c>
      <c r="K1003" s="14" t="s">
        <v>33</v>
      </c>
      <c r="L1003" s="31" t="s">
        <v>56</v>
      </c>
      <c r="N1003" s="55" t="s">
        <v>974</v>
      </c>
      <c r="O1003" s="16"/>
      <c r="P1003" s="16"/>
      <c r="Q1003" s="17">
        <f t="shared" si="107"/>
        <v>45404</v>
      </c>
      <c r="S1003" s="20"/>
      <c r="T1003" s="20"/>
      <c r="U1003" s="20"/>
      <c r="V1003" s="20"/>
      <c r="W1003" s="20"/>
      <c r="X1003" s="20"/>
      <c r="Y1003" s="20"/>
      <c r="Z1003" s="20"/>
      <c r="AA1003" s="20"/>
      <c r="AB1003" s="20"/>
      <c r="AC1003" s="20"/>
    </row>
    <row r="1004" hidden="1">
      <c r="A1004" s="16" t="s">
        <v>39</v>
      </c>
      <c r="B1004" s="17">
        <v>45425.0</v>
      </c>
      <c r="C1004" s="16" t="s">
        <v>735</v>
      </c>
      <c r="E1004" s="17"/>
      <c r="G1004" s="139">
        <v>45448.0</v>
      </c>
      <c r="H1004" s="16" t="s">
        <v>31</v>
      </c>
      <c r="I1004" s="16" t="s">
        <v>670</v>
      </c>
      <c r="J1004" s="16" t="s">
        <v>659</v>
      </c>
      <c r="K1004" s="16" t="s">
        <v>33</v>
      </c>
      <c r="L1004" s="31" t="s">
        <v>56</v>
      </c>
      <c r="N1004" s="55" t="s">
        <v>975</v>
      </c>
      <c r="O1004" s="16"/>
      <c r="P1004" s="16"/>
      <c r="Q1004" s="17">
        <f t="shared" si="107"/>
        <v>45425</v>
      </c>
      <c r="S1004" s="20"/>
      <c r="T1004" s="20"/>
      <c r="U1004" s="20"/>
      <c r="V1004" s="20"/>
      <c r="W1004" s="20"/>
      <c r="X1004" s="20"/>
      <c r="Y1004" s="20"/>
      <c r="Z1004" s="20"/>
      <c r="AA1004" s="20"/>
      <c r="AB1004" s="20"/>
      <c r="AC1004" s="20"/>
    </row>
    <row r="1005" hidden="1">
      <c r="A1005" s="16" t="s">
        <v>39</v>
      </c>
      <c r="B1005" s="17">
        <v>45408.0</v>
      </c>
      <c r="C1005" s="16" t="s">
        <v>54</v>
      </c>
      <c r="E1005" s="17"/>
      <c r="F1005" s="52">
        <v>45457.0</v>
      </c>
      <c r="G1005" s="52">
        <v>45457.0</v>
      </c>
      <c r="H1005" s="16" t="s">
        <v>31</v>
      </c>
      <c r="J1005" s="16" t="s">
        <v>43</v>
      </c>
      <c r="K1005" s="14" t="s">
        <v>33</v>
      </c>
      <c r="L1005" s="31" t="s">
        <v>56</v>
      </c>
      <c r="N1005" s="16"/>
      <c r="O1005" s="16"/>
      <c r="P1005" s="16"/>
      <c r="Q1005" s="17">
        <f t="shared" si="107"/>
        <v>45408</v>
      </c>
      <c r="S1005" s="20"/>
      <c r="T1005" s="20" t="str">
        <f>VLOOKUP(A1005,'Calendar ID'!$A$2:$C$15,3)</f>
        <v>lola140204@gmail.com</v>
      </c>
      <c r="U1005" s="20" t="b">
        <v>0</v>
      </c>
      <c r="V1005" s="20" t="str">
        <f>VLOOKUP(A1005,'Calendar ID'!$A$2:$C$15,2)</f>
        <v>c_8f3f6ef786f2df9238426a478307dbddffb576ace587133cfa65ca553e2f967a@group.calendar.google.com</v>
      </c>
      <c r="W1005" s="19" t="b">
        <v>1</v>
      </c>
      <c r="X1005" s="19" t="s">
        <v>82</v>
      </c>
      <c r="Y1005" s="20"/>
      <c r="Z1005" s="20"/>
      <c r="AA1005" s="20"/>
      <c r="AB1005" s="20"/>
      <c r="AC1005" s="20"/>
    </row>
    <row r="1006" hidden="1">
      <c r="A1006" s="16" t="s">
        <v>39</v>
      </c>
      <c r="B1006" s="17">
        <v>45446.0</v>
      </c>
      <c r="C1006" s="16" t="s">
        <v>645</v>
      </c>
      <c r="E1006" s="17"/>
      <c r="G1006" s="53">
        <v>45466.0</v>
      </c>
      <c r="H1006" s="16" t="s">
        <v>31</v>
      </c>
      <c r="I1006" s="16" t="s">
        <v>670</v>
      </c>
      <c r="J1006" s="16" t="s">
        <v>97</v>
      </c>
      <c r="K1006" s="16" t="s">
        <v>33</v>
      </c>
      <c r="L1006" s="31" t="s">
        <v>56</v>
      </c>
      <c r="N1006" s="16"/>
      <c r="O1006" s="16"/>
      <c r="P1006" s="16"/>
      <c r="Q1006" s="17">
        <f t="shared" si="107"/>
        <v>45446</v>
      </c>
      <c r="S1006" s="20"/>
      <c r="T1006" s="20"/>
      <c r="U1006" s="20"/>
      <c r="V1006" s="20"/>
      <c r="W1006" s="20"/>
      <c r="X1006" s="20"/>
      <c r="Y1006" s="20"/>
      <c r="Z1006" s="20"/>
      <c r="AA1006" s="20"/>
      <c r="AB1006" s="20"/>
      <c r="AC1006" s="20"/>
    </row>
    <row r="1007" hidden="1">
      <c r="A1007" s="16" t="s">
        <v>39</v>
      </c>
      <c r="B1007" s="17">
        <v>45442.0</v>
      </c>
      <c r="C1007" s="16" t="s">
        <v>679</v>
      </c>
      <c r="E1007" s="17"/>
      <c r="F1007" s="53">
        <v>45460.0</v>
      </c>
      <c r="G1007" s="58">
        <v>45473.0</v>
      </c>
      <c r="H1007" s="16" t="s">
        <v>31</v>
      </c>
      <c r="J1007" s="16" t="s">
        <v>43</v>
      </c>
      <c r="K1007" s="16" t="s">
        <v>33</v>
      </c>
      <c r="L1007" s="31" t="s">
        <v>56</v>
      </c>
      <c r="N1007" s="65" t="s">
        <v>976</v>
      </c>
      <c r="O1007" s="16"/>
      <c r="P1007" s="16"/>
      <c r="Q1007" s="17">
        <f t="shared" si="107"/>
        <v>45442</v>
      </c>
      <c r="S1007" s="20"/>
      <c r="T1007" s="20" t="str">
        <f>VLOOKUP(A1007,'Calendar ID'!$A:$C,3,false)</f>
        <v>#N/A</v>
      </c>
      <c r="U1007" s="20" t="b">
        <v>0</v>
      </c>
      <c r="V1007" s="20" t="str">
        <f>VLOOKUP($A1007,'Calendar ID'!$A:$C,2,false)</f>
        <v>#N/A</v>
      </c>
      <c r="W1007" s="19" t="b">
        <v>1</v>
      </c>
      <c r="X1007" s="19" t="s">
        <v>82</v>
      </c>
      <c r="Y1007" s="20"/>
      <c r="Z1007" s="20"/>
      <c r="AA1007" s="20"/>
      <c r="AB1007" s="20"/>
      <c r="AC1007" s="20"/>
    </row>
    <row r="1008" hidden="1">
      <c r="A1008" s="23" t="s">
        <v>39</v>
      </c>
      <c r="B1008" s="17">
        <v>45463.0</v>
      </c>
      <c r="C1008" s="16" t="s">
        <v>680</v>
      </c>
      <c r="E1008" s="17"/>
      <c r="F1008" s="58">
        <v>45467.0</v>
      </c>
      <c r="G1008" s="61">
        <v>45476.0</v>
      </c>
      <c r="H1008" s="16" t="s">
        <v>31</v>
      </c>
      <c r="I1008" s="55" t="s">
        <v>977</v>
      </c>
      <c r="J1008" s="16" t="s">
        <v>682</v>
      </c>
      <c r="K1008" s="16" t="s">
        <v>33</v>
      </c>
      <c r="L1008" s="31" t="s">
        <v>56</v>
      </c>
      <c r="N1008" s="55" t="s">
        <v>977</v>
      </c>
      <c r="O1008" s="16"/>
      <c r="P1008" s="16"/>
      <c r="Q1008" s="17">
        <f t="shared" si="107"/>
        <v>45463</v>
      </c>
      <c r="S1008" s="20"/>
      <c r="T1008" s="20" t="str">
        <f>VLOOKUP(A1008,'Calendar ID'!$A:$C,3,false)</f>
        <v>#N/A</v>
      </c>
      <c r="U1008" s="20" t="b">
        <v>0</v>
      </c>
      <c r="V1008" s="20" t="str">
        <f>VLOOKUP($A1008,'Calendar ID'!$A:$C,2,false)</f>
        <v>#N/A</v>
      </c>
      <c r="W1008" s="19" t="b">
        <v>1</v>
      </c>
      <c r="X1008" s="19" t="s">
        <v>82</v>
      </c>
      <c r="Y1008" s="20"/>
      <c r="Z1008" s="20"/>
      <c r="AA1008" s="20"/>
      <c r="AB1008" s="20"/>
      <c r="AC1008" s="20"/>
    </row>
    <row r="1009">
      <c r="A1009" s="16" t="s">
        <v>45</v>
      </c>
      <c r="B1009" s="17">
        <v>45827.0</v>
      </c>
      <c r="C1009" s="16" t="s">
        <v>575</v>
      </c>
      <c r="D1009" s="153" t="s">
        <v>604</v>
      </c>
      <c r="E1009" s="72">
        <v>45867.0</v>
      </c>
      <c r="F1009" s="17"/>
      <c r="G1009" s="17"/>
      <c r="H1009" s="10"/>
      <c r="I1009" s="16" t="s">
        <v>180</v>
      </c>
      <c r="J1009" s="16" t="s">
        <v>43</v>
      </c>
      <c r="K1009" s="23" t="s">
        <v>33</v>
      </c>
      <c r="L1009" s="31">
        <v>300.0</v>
      </c>
      <c r="N1009" s="16"/>
      <c r="O1009" s="16"/>
      <c r="P1009" s="16" t="s">
        <v>34</v>
      </c>
      <c r="Q1009" s="17">
        <f t="shared" si="107"/>
        <v>45827</v>
      </c>
      <c r="R1009" s="18">
        <f>L1009*0.3</f>
        <v>90</v>
      </c>
      <c r="S1009" s="20"/>
      <c r="T1009" s="68"/>
      <c r="U1009" s="77"/>
      <c r="V1009" s="68"/>
      <c r="W1009" s="71"/>
      <c r="X1009" s="20"/>
    </row>
    <row r="1010" hidden="1">
      <c r="A1010" s="16" t="s">
        <v>39</v>
      </c>
      <c r="B1010" s="17">
        <v>45442.0</v>
      </c>
      <c r="C1010" s="16" t="s">
        <v>683</v>
      </c>
      <c r="E1010" s="17"/>
      <c r="F1010" s="53">
        <v>45463.0</v>
      </c>
      <c r="G1010" s="67">
        <v>45488.0</v>
      </c>
      <c r="H1010" s="16" t="s">
        <v>31</v>
      </c>
      <c r="J1010" s="16" t="s">
        <v>43</v>
      </c>
      <c r="K1010" s="16" t="s">
        <v>33</v>
      </c>
      <c r="L1010" s="31" t="s">
        <v>56</v>
      </c>
      <c r="N1010" s="65" t="s">
        <v>978</v>
      </c>
      <c r="O1010" s="16"/>
      <c r="P1010" s="16"/>
      <c r="Q1010" s="17">
        <f t="shared" si="107"/>
        <v>45442</v>
      </c>
      <c r="S1010" s="20"/>
      <c r="T1010" s="20" t="str">
        <f>VLOOKUP(A1010,'Calendar ID'!$A:$C,3,false)</f>
        <v>#N/A</v>
      </c>
      <c r="U1010" s="20" t="b">
        <v>0</v>
      </c>
      <c r="V1010" s="20" t="str">
        <f>VLOOKUP($A1010,'Calendar ID'!$A:$C,2,false)</f>
        <v>#N/A</v>
      </c>
      <c r="W1010" s="19" t="b">
        <v>0</v>
      </c>
      <c r="X1010" s="20" t="str">
        <f>VLOOKUP($A1010,'Calendar ID'!$A:$C,2,false)</f>
        <v>#N/A</v>
      </c>
      <c r="Y1010" s="20"/>
      <c r="Z1010" s="20"/>
      <c r="AA1010" s="20"/>
      <c r="AB1010" s="20"/>
      <c r="AC1010" s="20"/>
    </row>
    <row r="1011" hidden="1">
      <c r="A1011" s="10" t="s">
        <v>39</v>
      </c>
      <c r="B1011" s="11">
        <v>45454.0</v>
      </c>
      <c r="C1011" s="16" t="s">
        <v>174</v>
      </c>
      <c r="D1011" s="16" t="s">
        <v>685</v>
      </c>
      <c r="E1011" s="26"/>
      <c r="F1011" s="156">
        <v>45481.0</v>
      </c>
      <c r="G1011" s="164">
        <v>45501.0</v>
      </c>
      <c r="H1011" s="10" t="s">
        <v>31</v>
      </c>
      <c r="I1011" s="7"/>
      <c r="J1011" s="23" t="s">
        <v>43</v>
      </c>
      <c r="K1011" s="23" t="s">
        <v>33</v>
      </c>
      <c r="L1011" s="14" t="s">
        <v>56</v>
      </c>
      <c r="M1011" s="7"/>
      <c r="N1011" s="175" t="s">
        <v>979</v>
      </c>
      <c r="O1011" s="23"/>
      <c r="P1011" s="23"/>
      <c r="Q1011" s="17">
        <f t="shared" si="107"/>
        <v>45454</v>
      </c>
      <c r="R1011" s="7"/>
      <c r="S1011" s="68"/>
      <c r="T1011" s="68" t="str">
        <f>VLOOKUP(A1011,'Calendar ID'!$A:$C,3,false)</f>
        <v>#N/A</v>
      </c>
      <c r="U1011" s="71" t="b">
        <v>0</v>
      </c>
      <c r="V1011" s="68" t="str">
        <f>VLOOKUP($A1011,'Calendar ID'!$A:$C,2,false)</f>
        <v>#N/A</v>
      </c>
      <c r="W1011" s="69" t="b">
        <v>1</v>
      </c>
      <c r="X1011" s="19" t="s">
        <v>82</v>
      </c>
      <c r="Y1011" s="68"/>
      <c r="Z1011" s="68"/>
      <c r="AA1011" s="68"/>
      <c r="AB1011" s="68"/>
      <c r="AC1011" s="68"/>
    </row>
    <row r="1012" hidden="1">
      <c r="A1012" s="16" t="s">
        <v>39</v>
      </c>
      <c r="B1012" s="17">
        <v>45506.0</v>
      </c>
      <c r="C1012" s="16" t="s">
        <v>980</v>
      </c>
      <c r="E1012" s="17"/>
      <c r="G1012" s="17">
        <v>45520.0</v>
      </c>
      <c r="H1012" s="10" t="s">
        <v>31</v>
      </c>
      <c r="J1012" s="23" t="s">
        <v>97</v>
      </c>
      <c r="K1012" s="23" t="s">
        <v>33</v>
      </c>
      <c r="L1012" s="14" t="s">
        <v>56</v>
      </c>
      <c r="N1012" s="16"/>
      <c r="O1012" s="16"/>
      <c r="P1012" s="16"/>
      <c r="Q1012" s="17">
        <f t="shared" si="107"/>
        <v>45506</v>
      </c>
      <c r="S1012" s="20"/>
      <c r="T1012" s="68" t="str">
        <f>VLOOKUP(A1012,'Calendar ID'!$A:$C,3,false)</f>
        <v>#N/A</v>
      </c>
      <c r="U1012" s="71" t="b">
        <v>0</v>
      </c>
      <c r="V1012" s="68" t="str">
        <f>VLOOKUP($A1012,'Calendar ID'!$A:$C,2,false)</f>
        <v>#N/A</v>
      </c>
      <c r="W1012" s="69" t="b">
        <v>1</v>
      </c>
      <c r="X1012" s="70" t="s">
        <v>82</v>
      </c>
      <c r="Y1012" s="20"/>
      <c r="Z1012" s="20"/>
      <c r="AA1012" s="20"/>
      <c r="AB1012" s="20"/>
      <c r="AC1012" s="20"/>
    </row>
    <row r="1013" hidden="1">
      <c r="A1013" s="16" t="s">
        <v>39</v>
      </c>
      <c r="B1013" s="17">
        <v>45503.0</v>
      </c>
      <c r="C1013" s="16" t="s">
        <v>690</v>
      </c>
      <c r="E1013" s="17"/>
      <c r="G1013" s="17">
        <v>45522.0</v>
      </c>
      <c r="H1013" s="10" t="s">
        <v>31</v>
      </c>
      <c r="I1013" s="16" t="s">
        <v>158</v>
      </c>
      <c r="J1013" s="16" t="s">
        <v>97</v>
      </c>
      <c r="K1013" s="23" t="s">
        <v>33</v>
      </c>
      <c r="L1013" s="31" t="s">
        <v>56</v>
      </c>
      <c r="N1013" s="55" t="s">
        <v>981</v>
      </c>
      <c r="O1013" s="16"/>
      <c r="P1013" s="16"/>
      <c r="Q1013" s="17">
        <f t="shared" si="107"/>
        <v>45503</v>
      </c>
      <c r="S1013" s="20"/>
      <c r="T1013" s="68" t="str">
        <f>VLOOKUP(A1013,'Calendar ID'!$A:$C,3,false)</f>
        <v>#N/A</v>
      </c>
      <c r="U1013" s="71" t="b">
        <v>0</v>
      </c>
      <c r="V1013" s="68" t="str">
        <f>VLOOKUP($A1013,'Calendar ID'!$A:$C,2,false)</f>
        <v>#N/A</v>
      </c>
      <c r="W1013" s="69" t="b">
        <v>0</v>
      </c>
      <c r="X1013" s="68" t="str">
        <f>VLOOKUP($A1013,'Calendar ID'!$A:$C,2,false)</f>
        <v>#N/A</v>
      </c>
      <c r="Y1013" s="20"/>
      <c r="Z1013" s="20"/>
      <c r="AA1013" s="20"/>
      <c r="AB1013" s="20"/>
      <c r="AC1013" s="20"/>
    </row>
    <row r="1014" hidden="1">
      <c r="A1014" s="16" t="s">
        <v>39</v>
      </c>
      <c r="B1014" s="17">
        <v>45524.0</v>
      </c>
      <c r="C1014" s="16" t="s">
        <v>678</v>
      </c>
      <c r="E1014" s="17"/>
      <c r="F1014" s="17">
        <v>45530.0</v>
      </c>
      <c r="G1014" s="17">
        <v>45554.0</v>
      </c>
      <c r="H1014" s="10" t="s">
        <v>31</v>
      </c>
      <c r="J1014" s="16" t="s">
        <v>43</v>
      </c>
      <c r="K1014" s="23" t="s">
        <v>33</v>
      </c>
      <c r="L1014" s="31" t="s">
        <v>56</v>
      </c>
      <c r="N1014" s="65" t="s">
        <v>982</v>
      </c>
      <c r="O1014" s="16"/>
      <c r="P1014" s="16"/>
      <c r="Q1014" s="17">
        <f t="shared" si="107"/>
        <v>45524</v>
      </c>
      <c r="S1014" s="20"/>
      <c r="T1014" s="68" t="str">
        <f>VLOOKUP(A1014,'Calendar ID'!$A:$C,3,false)</f>
        <v>#N/A</v>
      </c>
      <c r="U1014" s="78" t="b">
        <v>0</v>
      </c>
      <c r="V1014" s="68" t="str">
        <f>VLOOKUP($A1014,'Calendar ID'!$A:$C,2,false)</f>
        <v>#N/A</v>
      </c>
      <c r="W1014" s="69" t="b">
        <v>1</v>
      </c>
      <c r="X1014" s="70" t="s">
        <v>82</v>
      </c>
      <c r="AA1014" s="16"/>
    </row>
    <row r="1015" hidden="1">
      <c r="A1015" s="16" t="s">
        <v>39</v>
      </c>
      <c r="B1015" s="17">
        <v>45530.0</v>
      </c>
      <c r="C1015" s="16" t="s">
        <v>819</v>
      </c>
      <c r="D1015" s="16" t="s">
        <v>641</v>
      </c>
      <c r="E1015" s="17"/>
      <c r="F1015" s="17">
        <v>45533.0</v>
      </c>
      <c r="G1015" s="17">
        <v>45554.0</v>
      </c>
      <c r="H1015" s="10" t="s">
        <v>31</v>
      </c>
      <c r="J1015" s="16" t="s">
        <v>43</v>
      </c>
      <c r="K1015" s="23" t="s">
        <v>33</v>
      </c>
      <c r="L1015" s="31" t="s">
        <v>56</v>
      </c>
      <c r="N1015" s="55" t="s">
        <v>983</v>
      </c>
      <c r="O1015" s="16"/>
      <c r="P1015" s="16"/>
      <c r="Q1015" s="17">
        <f t="shared" si="107"/>
        <v>45530</v>
      </c>
      <c r="S1015" s="20"/>
      <c r="T1015" s="68" t="str">
        <f>VLOOKUP(A1015,'Calendar ID'!$A:$C,3,false)</f>
        <v>#N/A</v>
      </c>
      <c r="U1015" s="78" t="b">
        <v>0</v>
      </c>
      <c r="V1015" s="68" t="str">
        <f>VLOOKUP($A1015,'Calendar ID'!$A:$C,2,false)</f>
        <v>#N/A</v>
      </c>
      <c r="W1015" s="69" t="b">
        <v>1</v>
      </c>
      <c r="X1015" s="70" t="s">
        <v>82</v>
      </c>
    </row>
    <row r="1016" hidden="1">
      <c r="A1016" s="16" t="s">
        <v>39</v>
      </c>
      <c r="B1016" s="17">
        <v>45525.0</v>
      </c>
      <c r="C1016" s="16" t="s">
        <v>175</v>
      </c>
      <c r="E1016" s="17"/>
      <c r="F1016" s="17">
        <v>45537.0</v>
      </c>
      <c r="G1016" s="17">
        <v>45557.0</v>
      </c>
      <c r="H1016" s="10" t="s">
        <v>31</v>
      </c>
      <c r="J1016" s="16" t="s">
        <v>43</v>
      </c>
      <c r="K1016" s="23" t="s">
        <v>33</v>
      </c>
      <c r="L1016" s="31" t="s">
        <v>56</v>
      </c>
      <c r="N1016" s="65" t="s">
        <v>984</v>
      </c>
      <c r="O1016" s="16"/>
      <c r="P1016" s="16"/>
      <c r="Q1016" s="17">
        <f t="shared" si="107"/>
        <v>45525</v>
      </c>
      <c r="S1016" s="20"/>
      <c r="T1016" s="68" t="str">
        <f>VLOOKUP(A1016,'Calendar ID'!$A:$C,3,false)</f>
        <v>#N/A</v>
      </c>
      <c r="U1016" s="78" t="b">
        <v>0</v>
      </c>
      <c r="V1016" s="68" t="str">
        <f>VLOOKUP($A1016,'Calendar ID'!$A:$C,2,false)</f>
        <v>#N/A</v>
      </c>
      <c r="W1016" s="69" t="b">
        <v>1</v>
      </c>
      <c r="X1016" s="70" t="s">
        <v>82</v>
      </c>
      <c r="AA1016" s="16"/>
    </row>
    <row r="1017" hidden="1">
      <c r="A1017" s="16" t="s">
        <v>39</v>
      </c>
      <c r="B1017" s="17">
        <v>45474.0</v>
      </c>
      <c r="C1017" s="16" t="s">
        <v>694</v>
      </c>
      <c r="E1017" s="17"/>
      <c r="F1017" s="17">
        <v>45547.0</v>
      </c>
      <c r="G1017" s="17">
        <f>F1017+15</f>
        <v>45562</v>
      </c>
      <c r="H1017" s="10" t="s">
        <v>31</v>
      </c>
      <c r="J1017" s="16" t="s">
        <v>97</v>
      </c>
      <c r="K1017" s="16" t="s">
        <v>33</v>
      </c>
      <c r="L1017" s="31" t="s">
        <v>56</v>
      </c>
      <c r="N1017" s="16"/>
      <c r="O1017" s="16"/>
      <c r="P1017" s="16"/>
      <c r="Q1017" s="17">
        <f t="shared" si="107"/>
        <v>45474</v>
      </c>
      <c r="S1017" s="20"/>
      <c r="T1017" s="68" t="str">
        <f>VLOOKUP(A1017,'Calendar ID'!$A:$C,3,false)</f>
        <v>#N/A</v>
      </c>
      <c r="U1017" s="71" t="b">
        <v>0</v>
      </c>
      <c r="V1017" s="68" t="str">
        <f>VLOOKUP($A1017,'Calendar ID'!$A:$C,2,false)</f>
        <v>#N/A</v>
      </c>
      <c r="W1017" s="69" t="b">
        <v>1</v>
      </c>
      <c r="X1017" s="70" t="s">
        <v>82</v>
      </c>
    </row>
    <row r="1018" hidden="1">
      <c r="A1018" s="16" t="s">
        <v>39</v>
      </c>
      <c r="B1018" s="17">
        <v>45530.0</v>
      </c>
      <c r="C1018" s="16" t="s">
        <v>220</v>
      </c>
      <c r="D1018" s="16" t="s">
        <v>696</v>
      </c>
      <c r="E1018" s="17"/>
      <c r="F1018" s="165">
        <v>45558.0</v>
      </c>
      <c r="G1018" s="17">
        <v>45571.0</v>
      </c>
      <c r="H1018" s="10" t="s">
        <v>31</v>
      </c>
      <c r="J1018" s="16" t="s">
        <v>43</v>
      </c>
      <c r="K1018" s="23" t="s">
        <v>33</v>
      </c>
      <c r="L1018" s="31" t="s">
        <v>56</v>
      </c>
      <c r="N1018" s="65" t="s">
        <v>985</v>
      </c>
      <c r="O1018" s="16"/>
      <c r="P1018" s="16"/>
      <c r="Q1018" s="17">
        <f t="shared" si="107"/>
        <v>45530</v>
      </c>
      <c r="S1018" s="20"/>
      <c r="T1018" s="68" t="str">
        <f>VLOOKUP(A1018,'Calendar ID'!$A:$C,3,false)</f>
        <v>#N/A</v>
      </c>
      <c r="U1018" s="78" t="b">
        <v>0</v>
      </c>
      <c r="V1018" s="68" t="str">
        <f>VLOOKUP($A1018,'Calendar ID'!$A:$C,2,false)</f>
        <v>#N/A</v>
      </c>
      <c r="W1018" s="69" t="b">
        <v>1</v>
      </c>
      <c r="X1018" s="70" t="s">
        <v>82</v>
      </c>
      <c r="AA1018" s="16"/>
    </row>
    <row r="1019" hidden="1">
      <c r="A1019" s="16" t="s">
        <v>39</v>
      </c>
      <c r="B1019" s="82">
        <v>45579.0</v>
      </c>
      <c r="C1019" s="16" t="s">
        <v>630</v>
      </c>
      <c r="D1019" s="16" t="s">
        <v>631</v>
      </c>
      <c r="E1019" s="17"/>
      <c r="F1019" s="82">
        <v>45581.0</v>
      </c>
      <c r="G1019" s="82">
        <v>45595.0</v>
      </c>
      <c r="H1019" s="10" t="s">
        <v>31</v>
      </c>
      <c r="J1019" s="16" t="s">
        <v>43</v>
      </c>
      <c r="K1019" s="23" t="s">
        <v>33</v>
      </c>
      <c r="L1019" s="31" t="s">
        <v>56</v>
      </c>
      <c r="N1019" s="55" t="s">
        <v>986</v>
      </c>
      <c r="O1019" s="16"/>
      <c r="P1019" s="16"/>
      <c r="Q1019" s="17">
        <f t="shared" si="107"/>
        <v>45579</v>
      </c>
      <c r="S1019" s="20"/>
      <c r="T1019" s="68" t="str">
        <f>VLOOKUP(A1019,'Calendar ID'!$A:$C,3,false)</f>
        <v>#N/A</v>
      </c>
      <c r="U1019" s="78" t="b">
        <v>0</v>
      </c>
      <c r="V1019" s="68" t="str">
        <f>VLOOKUP($A1019,'Calendar ID'!$A:$C,2,false)</f>
        <v>#N/A</v>
      </c>
      <c r="W1019" s="69" t="b">
        <v>1</v>
      </c>
      <c r="X1019" s="70" t="s">
        <v>82</v>
      </c>
    </row>
    <row r="1020" hidden="1">
      <c r="A1020" s="16" t="s">
        <v>39</v>
      </c>
      <c r="B1020" s="17">
        <v>45574.0</v>
      </c>
      <c r="C1020" s="16" t="s">
        <v>256</v>
      </c>
      <c r="D1020" s="16" t="s">
        <v>965</v>
      </c>
      <c r="E1020" s="17"/>
      <c r="F1020" s="82">
        <v>45575.0</v>
      </c>
      <c r="G1020" s="82">
        <v>45596.0</v>
      </c>
      <c r="H1020" s="10" t="s">
        <v>31</v>
      </c>
      <c r="J1020" s="16" t="s">
        <v>266</v>
      </c>
      <c r="K1020" s="23" t="s">
        <v>33</v>
      </c>
      <c r="L1020" s="31" t="s">
        <v>56</v>
      </c>
      <c r="N1020" s="65" t="s">
        <v>987</v>
      </c>
      <c r="O1020" s="16"/>
      <c r="P1020" s="16"/>
      <c r="Q1020" s="17">
        <f t="shared" si="107"/>
        <v>45574</v>
      </c>
      <c r="S1020" s="20"/>
      <c r="T1020" s="68" t="str">
        <f>VLOOKUP(A1020,'Calendar ID'!$A:$C,3,false)</f>
        <v>#N/A</v>
      </c>
      <c r="U1020" s="78" t="b">
        <v>0</v>
      </c>
      <c r="V1020" s="68" t="str">
        <f>VLOOKUP($A1020,'Calendar ID'!$A:$C,2,false)</f>
        <v>#N/A</v>
      </c>
      <c r="W1020" s="69" t="b">
        <v>1</v>
      </c>
      <c r="X1020" s="70" t="s">
        <v>82</v>
      </c>
    </row>
    <row r="1021" hidden="1">
      <c r="A1021" s="16" t="s">
        <v>39</v>
      </c>
      <c r="B1021" s="17">
        <v>45371.0</v>
      </c>
      <c r="C1021" s="7" t="s">
        <v>901</v>
      </c>
      <c r="F1021" s="122">
        <v>45008.0</v>
      </c>
      <c r="G1021" s="10"/>
      <c r="H1021" s="10" t="s">
        <v>31</v>
      </c>
      <c r="I1021" s="16" t="s">
        <v>988</v>
      </c>
      <c r="J1021" s="7" t="s">
        <v>97</v>
      </c>
      <c r="K1021" s="16" t="s">
        <v>33</v>
      </c>
      <c r="L1021" s="14" t="s">
        <v>56</v>
      </c>
      <c r="N1021" s="7"/>
      <c r="O1021" s="7"/>
      <c r="P1021" s="7"/>
      <c r="Q1021" s="17">
        <f t="shared" si="107"/>
        <v>45371</v>
      </c>
      <c r="S1021" s="20"/>
      <c r="T1021" s="20"/>
      <c r="U1021" s="20"/>
      <c r="V1021" s="20"/>
      <c r="W1021" s="20"/>
      <c r="X1021" s="20"/>
      <c r="Y1021" s="20"/>
      <c r="Z1021" s="20"/>
      <c r="AA1021" s="20"/>
      <c r="AB1021" s="20"/>
      <c r="AC1021" s="20"/>
    </row>
    <row r="1022" hidden="1">
      <c r="A1022" s="160" t="s">
        <v>39</v>
      </c>
      <c r="B1022" s="17">
        <v>45386.0</v>
      </c>
      <c r="C1022" s="16" t="s">
        <v>410</v>
      </c>
      <c r="H1022" s="10" t="s">
        <v>31</v>
      </c>
      <c r="I1022" s="55" t="s">
        <v>989</v>
      </c>
      <c r="J1022" s="16" t="s">
        <v>767</v>
      </c>
      <c r="K1022" s="16" t="s">
        <v>33</v>
      </c>
      <c r="L1022" s="14" t="s">
        <v>56</v>
      </c>
      <c r="Q1022" s="17">
        <f t="shared" si="107"/>
        <v>45386</v>
      </c>
      <c r="S1022" s="20"/>
      <c r="T1022" s="20"/>
      <c r="U1022" s="20"/>
      <c r="V1022" s="20"/>
      <c r="W1022" s="20"/>
      <c r="X1022" s="20"/>
      <c r="Y1022" s="20"/>
      <c r="Z1022" s="20"/>
      <c r="AA1022" s="20"/>
      <c r="AB1022" s="20"/>
      <c r="AC1022" s="20"/>
    </row>
    <row r="1023" hidden="1">
      <c r="A1023" s="16" t="s">
        <v>39</v>
      </c>
      <c r="B1023" s="17">
        <v>45390.0</v>
      </c>
      <c r="C1023" s="16" t="s">
        <v>720</v>
      </c>
      <c r="H1023" s="16" t="s">
        <v>31</v>
      </c>
      <c r="I1023" s="16" t="s">
        <v>990</v>
      </c>
      <c r="K1023" s="16" t="s">
        <v>972</v>
      </c>
      <c r="L1023" s="14" t="s">
        <v>56</v>
      </c>
      <c r="Q1023" s="17">
        <f t="shared" si="107"/>
        <v>45390</v>
      </c>
      <c r="S1023" s="20"/>
      <c r="T1023" s="20"/>
      <c r="U1023" s="20"/>
      <c r="V1023" s="20"/>
      <c r="W1023" s="20"/>
      <c r="X1023" s="20"/>
      <c r="Y1023" s="20"/>
      <c r="Z1023" s="20"/>
      <c r="AA1023" s="20"/>
      <c r="AB1023" s="20"/>
      <c r="AC1023" s="20"/>
    </row>
    <row r="1024" hidden="1">
      <c r="A1024" s="16" t="s">
        <v>39</v>
      </c>
      <c r="B1024" s="17">
        <v>45394.0</v>
      </c>
      <c r="C1024" s="16" t="s">
        <v>738</v>
      </c>
      <c r="H1024" s="10" t="s">
        <v>31</v>
      </c>
      <c r="J1024" s="16" t="s">
        <v>97</v>
      </c>
      <c r="K1024" s="16" t="s">
        <v>33</v>
      </c>
      <c r="L1024" s="16" t="s">
        <v>56</v>
      </c>
      <c r="Q1024" s="17">
        <f t="shared" si="107"/>
        <v>45394</v>
      </c>
      <c r="S1024" s="20"/>
      <c r="T1024" s="20"/>
      <c r="U1024" s="20"/>
      <c r="V1024" s="20"/>
      <c r="W1024" s="20"/>
      <c r="X1024" s="20"/>
      <c r="Y1024" s="20"/>
      <c r="Z1024" s="20"/>
      <c r="AA1024" s="20"/>
      <c r="AB1024" s="20"/>
      <c r="AC1024" s="20"/>
    </row>
    <row r="1025" hidden="1">
      <c r="A1025" s="16" t="s">
        <v>39</v>
      </c>
      <c r="B1025" s="17">
        <v>45414.0</v>
      </c>
      <c r="C1025" s="16" t="s">
        <v>991</v>
      </c>
      <c r="E1025" s="17"/>
      <c r="H1025" s="16" t="s">
        <v>31</v>
      </c>
      <c r="J1025" s="16" t="s">
        <v>43</v>
      </c>
      <c r="K1025" s="16" t="s">
        <v>33</v>
      </c>
      <c r="L1025" s="31" t="s">
        <v>56</v>
      </c>
      <c r="N1025" s="16"/>
      <c r="Q1025" s="17">
        <f t="shared" si="107"/>
        <v>45414</v>
      </c>
      <c r="S1025" s="20"/>
      <c r="T1025" s="20" t="str">
        <f>VLOOKUP(A1025,'Calendar ID'!$A$2:$C$15,3)</f>
        <v>lola140204@gmail.com</v>
      </c>
      <c r="U1025" s="20" t="b">
        <v>0</v>
      </c>
      <c r="V1025" s="20" t="str">
        <f>VLOOKUP(A1025,'Calendar ID'!$A$2:$C$15,2)</f>
        <v>c_8f3f6ef786f2df9238426a478307dbddffb576ace587133cfa65ca553e2f967a@group.calendar.google.com</v>
      </c>
      <c r="W1025" s="19" t="b">
        <v>0</v>
      </c>
      <c r="X1025" s="20" t="str">
        <f>VLOOKUP(A1025,'Calendar ID'!$A$2:$C$15,2)</f>
        <v>c_8f3f6ef786f2df9238426a478307dbddffb576ace587133cfa65ca553e2f967a@group.calendar.google.com</v>
      </c>
      <c r="Y1025" s="20"/>
      <c r="Z1025" s="20"/>
      <c r="AA1025" s="20"/>
      <c r="AB1025" s="20"/>
      <c r="AC1025" s="20"/>
    </row>
    <row r="1026" hidden="1">
      <c r="A1026" s="16" t="s">
        <v>39</v>
      </c>
      <c r="B1026" s="17">
        <v>45429.0</v>
      </c>
      <c r="C1026" s="7" t="s">
        <v>901</v>
      </c>
      <c r="E1026" s="17"/>
      <c r="G1026" s="17"/>
      <c r="H1026" s="16" t="s">
        <v>31</v>
      </c>
      <c r="J1026" s="16" t="s">
        <v>859</v>
      </c>
      <c r="K1026" s="16" t="s">
        <v>33</v>
      </c>
      <c r="L1026" s="31" t="s">
        <v>56</v>
      </c>
      <c r="N1026" s="16"/>
      <c r="Q1026" s="17">
        <f t="shared" si="107"/>
        <v>45429</v>
      </c>
      <c r="S1026" s="20"/>
      <c r="T1026" s="20"/>
      <c r="U1026" s="20"/>
      <c r="V1026" s="20" t="str">
        <f>VLOOKUP(A1026,'Calendar ID'!$A$2:$C$15,2)</f>
        <v>c_8f3f6ef786f2df9238426a478307dbddffb576ace587133cfa65ca553e2f967a@group.calendar.google.com</v>
      </c>
      <c r="W1026" s="20"/>
      <c r="X1026" s="20" t="str">
        <f>VLOOKUP(A1026,'Calendar ID'!$A$2:$C$15,2)</f>
        <v>c_8f3f6ef786f2df9238426a478307dbddffb576ace587133cfa65ca553e2f967a@group.calendar.google.com</v>
      </c>
      <c r="Y1026" s="20"/>
      <c r="Z1026" s="20"/>
      <c r="AA1026" s="20"/>
      <c r="AB1026" s="20"/>
      <c r="AC1026" s="20"/>
    </row>
    <row r="1027" hidden="1">
      <c r="A1027" s="16" t="s">
        <v>39</v>
      </c>
      <c r="B1027" s="17">
        <v>45433.0</v>
      </c>
      <c r="C1027" s="16" t="s">
        <v>410</v>
      </c>
      <c r="E1027" s="17"/>
      <c r="G1027" s="17"/>
      <c r="H1027" s="16" t="s">
        <v>31</v>
      </c>
      <c r="J1027" s="16" t="s">
        <v>97</v>
      </c>
      <c r="K1027" s="16" t="s">
        <v>33</v>
      </c>
      <c r="L1027" s="31" t="s">
        <v>56</v>
      </c>
      <c r="N1027" s="55" t="s">
        <v>992</v>
      </c>
      <c r="O1027" s="16"/>
      <c r="P1027" s="16"/>
      <c r="Q1027" s="17">
        <f t="shared" si="107"/>
        <v>45433</v>
      </c>
      <c r="S1027" s="20"/>
      <c r="T1027" s="20"/>
      <c r="U1027" s="20"/>
      <c r="V1027" s="20"/>
      <c r="W1027" s="20"/>
      <c r="X1027" s="20"/>
      <c r="Y1027" s="20"/>
      <c r="Z1027" s="20"/>
      <c r="AA1027" s="20"/>
      <c r="AB1027" s="20"/>
      <c r="AC1027" s="20"/>
    </row>
    <row r="1028" hidden="1">
      <c r="A1028" s="16" t="s">
        <v>39</v>
      </c>
      <c r="B1028" s="17">
        <v>45489.0</v>
      </c>
      <c r="C1028" s="16" t="s">
        <v>226</v>
      </c>
      <c r="E1028" s="17"/>
      <c r="G1028" s="17"/>
      <c r="H1028" s="10" t="s">
        <v>31</v>
      </c>
      <c r="J1028" s="16" t="s">
        <v>97</v>
      </c>
      <c r="K1028" s="23" t="s">
        <v>33</v>
      </c>
      <c r="L1028" s="31" t="s">
        <v>56</v>
      </c>
      <c r="N1028" s="55" t="s">
        <v>993</v>
      </c>
      <c r="O1028" s="16"/>
      <c r="P1028" s="16"/>
      <c r="Q1028" s="17">
        <f t="shared" si="107"/>
        <v>45489</v>
      </c>
      <c r="S1028" s="20"/>
      <c r="T1028" s="68" t="str">
        <f>VLOOKUP(A1028,'Calendar ID'!$A:$C,3,false)</f>
        <v>#N/A</v>
      </c>
      <c r="U1028" s="71" t="b">
        <v>0</v>
      </c>
      <c r="V1028" s="68" t="str">
        <f>VLOOKUP($A1028,'Calendar ID'!$A:$C,2,false)</f>
        <v>#N/A</v>
      </c>
      <c r="W1028" s="71" t="b">
        <v>0</v>
      </c>
      <c r="X1028" s="68" t="str">
        <f>VLOOKUP($A1028,'Calendar ID'!$A:$C,2,false)</f>
        <v>#N/A</v>
      </c>
      <c r="Y1028" s="20"/>
      <c r="Z1028" s="20"/>
      <c r="AA1028" s="20"/>
      <c r="AB1028" s="20"/>
      <c r="AC1028" s="20"/>
    </row>
    <row r="1029" hidden="1">
      <c r="A1029" s="160" t="s">
        <v>39</v>
      </c>
      <c r="B1029" s="17">
        <v>45407.0</v>
      </c>
      <c r="C1029" s="16" t="s">
        <v>287</v>
      </c>
      <c r="E1029" s="17"/>
      <c r="G1029" s="10"/>
      <c r="H1029" s="16" t="s">
        <v>31</v>
      </c>
      <c r="J1029" s="16" t="s">
        <v>97</v>
      </c>
      <c r="K1029" s="14" t="s">
        <v>33</v>
      </c>
      <c r="L1029" s="31" t="s">
        <v>56</v>
      </c>
      <c r="N1029" s="65" t="s">
        <v>994</v>
      </c>
      <c r="O1029" s="16"/>
      <c r="P1029" s="16"/>
      <c r="Q1029" s="17">
        <f t="shared" si="107"/>
        <v>45407</v>
      </c>
      <c r="S1029" s="20"/>
      <c r="T1029" s="20"/>
      <c r="U1029" s="20"/>
      <c r="V1029" s="20"/>
      <c r="W1029" s="20"/>
      <c r="X1029" s="20"/>
      <c r="Y1029" s="20"/>
      <c r="Z1029" s="20"/>
      <c r="AA1029" s="20"/>
      <c r="AB1029" s="20"/>
      <c r="AC1029" s="20"/>
    </row>
    <row r="1030" hidden="1">
      <c r="A1030" s="16" t="s">
        <v>39</v>
      </c>
      <c r="B1030" s="11">
        <v>45511.0</v>
      </c>
      <c r="C1030" s="16" t="s">
        <v>724</v>
      </c>
      <c r="E1030" s="17"/>
      <c r="G1030" s="17"/>
      <c r="H1030" s="10" t="s">
        <v>31</v>
      </c>
      <c r="J1030" s="16" t="s">
        <v>97</v>
      </c>
      <c r="K1030" s="23" t="s">
        <v>33</v>
      </c>
      <c r="L1030" s="31" t="s">
        <v>56</v>
      </c>
      <c r="N1030" s="55" t="s">
        <v>995</v>
      </c>
      <c r="O1030" s="16"/>
      <c r="P1030" s="16"/>
      <c r="Q1030" s="17">
        <f t="shared" si="107"/>
        <v>45511</v>
      </c>
      <c r="S1030" s="20"/>
      <c r="T1030" s="68" t="str">
        <f>VLOOKUP(A1030,'Calendar ID'!$A:$C,3,false)</f>
        <v>#N/A</v>
      </c>
      <c r="U1030" s="78" t="b">
        <v>0</v>
      </c>
      <c r="V1030" s="68" t="str">
        <f>VLOOKUP($A1030,'Calendar ID'!$A:$C,2,false)</f>
        <v>#N/A</v>
      </c>
      <c r="W1030" s="71" t="b">
        <v>0</v>
      </c>
      <c r="X1030" s="68" t="str">
        <f>VLOOKUP($A1030,'Calendar ID'!$A:$C,2,false)</f>
        <v>#N/A</v>
      </c>
      <c r="AA1030" s="29"/>
    </row>
    <row r="1031" hidden="1">
      <c r="A1031" s="16" t="s">
        <v>39</v>
      </c>
      <c r="B1031" s="11">
        <v>45511.0</v>
      </c>
      <c r="C1031" s="16" t="s">
        <v>140</v>
      </c>
      <c r="E1031" s="17"/>
      <c r="G1031" s="17"/>
      <c r="H1031" s="10" t="s">
        <v>31</v>
      </c>
      <c r="I1031" s="16" t="s">
        <v>775</v>
      </c>
      <c r="J1031" s="16" t="s">
        <v>97</v>
      </c>
      <c r="K1031" s="23" t="s">
        <v>33</v>
      </c>
      <c r="L1031" s="31" t="s">
        <v>56</v>
      </c>
      <c r="N1031" s="16"/>
      <c r="O1031" s="16"/>
      <c r="P1031" s="16"/>
      <c r="Q1031" s="17">
        <f t="shared" si="107"/>
        <v>45511</v>
      </c>
      <c r="S1031" s="20"/>
      <c r="T1031" s="68" t="str">
        <f>VLOOKUP(A1031,'Calendar ID'!$A:$C,3,false)</f>
        <v>#N/A</v>
      </c>
      <c r="U1031" s="78" t="b">
        <v>0</v>
      </c>
      <c r="V1031" s="68" t="str">
        <f>VLOOKUP($A1031,'Calendar ID'!$A:$C,2,false)</f>
        <v>#N/A</v>
      </c>
      <c r="W1031" s="71" t="b">
        <v>0</v>
      </c>
      <c r="X1031" s="68" t="str">
        <f>VLOOKUP($A1031,'Calendar ID'!$A:$C,2,false)</f>
        <v>#N/A</v>
      </c>
      <c r="AA1031" s="16" t="s">
        <v>846</v>
      </c>
    </row>
    <row r="1032" hidden="1">
      <c r="A1032" s="16" t="s">
        <v>39</v>
      </c>
      <c r="B1032" s="17">
        <v>45482.0</v>
      </c>
      <c r="C1032" s="16" t="s">
        <v>174</v>
      </c>
      <c r="E1032" s="17"/>
      <c r="F1032" s="17"/>
      <c r="G1032" s="17"/>
      <c r="H1032" s="10" t="s">
        <v>31</v>
      </c>
      <c r="J1032" s="7" t="s">
        <v>43</v>
      </c>
      <c r="K1032" s="23" t="s">
        <v>33</v>
      </c>
      <c r="L1032" s="31">
        <v>100.0</v>
      </c>
      <c r="N1032" s="16"/>
      <c r="O1032" s="16"/>
      <c r="P1032" s="23" t="s">
        <v>34</v>
      </c>
      <c r="Q1032" s="17">
        <f t="shared" si="107"/>
        <v>45482</v>
      </c>
      <c r="R1032" s="15">
        <f t="shared" ref="R1032:R1034" si="112">L1032*0.2</f>
        <v>20</v>
      </c>
      <c r="S1032" s="20"/>
      <c r="T1032" s="68" t="str">
        <f>VLOOKUP(A1032,'Calendar ID'!$A:$C,3,false)</f>
        <v>#N/A</v>
      </c>
      <c r="U1032" s="71" t="b">
        <v>0</v>
      </c>
      <c r="V1032" s="68" t="str">
        <f>VLOOKUP($A1032,'Calendar ID'!$A:$C,2,false)</f>
        <v>#N/A</v>
      </c>
      <c r="W1032" s="71" t="b">
        <v>0</v>
      </c>
      <c r="X1032" s="68" t="str">
        <f>VLOOKUP($A1032,'Calendar ID'!$A:$C,2,false)</f>
        <v>#N/A</v>
      </c>
      <c r="Y1032" s="16"/>
      <c r="Z1032" s="16"/>
      <c r="AA1032" s="16"/>
      <c r="AB1032" s="16"/>
      <c r="AC1032" s="16"/>
    </row>
    <row r="1033" hidden="1">
      <c r="A1033" s="23" t="s">
        <v>39</v>
      </c>
      <c r="B1033" s="11">
        <v>45510.0</v>
      </c>
      <c r="C1033" s="16" t="s">
        <v>174</v>
      </c>
      <c r="D1033" s="7"/>
      <c r="E1033" s="26"/>
      <c r="F1033" s="7"/>
      <c r="G1033" s="26"/>
      <c r="H1033" s="10" t="s">
        <v>31</v>
      </c>
      <c r="I1033" s="7"/>
      <c r="J1033" s="7" t="s">
        <v>943</v>
      </c>
      <c r="K1033" s="23" t="s">
        <v>33</v>
      </c>
      <c r="L1033" s="15">
        <v>100.0</v>
      </c>
      <c r="M1033" s="7"/>
      <c r="N1033" s="23"/>
      <c r="O1033" s="23"/>
      <c r="P1033" s="23" t="s">
        <v>34</v>
      </c>
      <c r="Q1033" s="17">
        <f t="shared" si="107"/>
        <v>45510</v>
      </c>
      <c r="R1033" s="15">
        <f t="shared" si="112"/>
        <v>20</v>
      </c>
      <c r="S1033" s="68"/>
      <c r="T1033" s="68" t="str">
        <f>VLOOKUP(A1033,'Calendar ID'!$A:$C,3,false)</f>
        <v>#N/A</v>
      </c>
      <c r="U1033" s="78" t="b">
        <v>0</v>
      </c>
      <c r="V1033" s="68" t="str">
        <f>VLOOKUP($A1033,'Calendar ID'!$A:$C,2,false)</f>
        <v>#N/A</v>
      </c>
      <c r="W1033" s="71" t="b">
        <v>0</v>
      </c>
      <c r="X1033" s="68" t="str">
        <f>VLOOKUP($A1033,'Calendar ID'!$A:$C,2,false)</f>
        <v>#N/A</v>
      </c>
      <c r="Y1033" s="7"/>
      <c r="Z1033" s="7"/>
      <c r="AA1033" s="7"/>
      <c r="AB1033" s="7"/>
      <c r="AC1033" s="7"/>
    </row>
    <row r="1034" hidden="1">
      <c r="A1034" s="16" t="s">
        <v>39</v>
      </c>
      <c r="B1034" s="11">
        <v>45511.0</v>
      </c>
      <c r="C1034" s="16" t="s">
        <v>630</v>
      </c>
      <c r="E1034" s="17"/>
      <c r="G1034" s="17"/>
      <c r="H1034" s="10" t="s">
        <v>31</v>
      </c>
      <c r="J1034" s="7" t="s">
        <v>943</v>
      </c>
      <c r="K1034" s="23" t="s">
        <v>33</v>
      </c>
      <c r="L1034" s="93">
        <v>200.0</v>
      </c>
      <c r="N1034" s="16"/>
      <c r="O1034" s="16"/>
      <c r="P1034" s="23" t="s">
        <v>34</v>
      </c>
      <c r="Q1034" s="17">
        <f t="shared" si="107"/>
        <v>45511</v>
      </c>
      <c r="R1034" s="15">
        <f t="shared" si="112"/>
        <v>40</v>
      </c>
      <c r="S1034" s="20"/>
      <c r="T1034" s="68" t="str">
        <f>VLOOKUP(A1034,'Calendar ID'!$A:$C,3,false)</f>
        <v>#N/A</v>
      </c>
      <c r="U1034" s="78" t="b">
        <v>0</v>
      </c>
      <c r="V1034" s="68" t="str">
        <f>VLOOKUP($A1034,'Calendar ID'!$A:$C,2,false)</f>
        <v>#N/A</v>
      </c>
      <c r="W1034" s="71" t="b">
        <v>0</v>
      </c>
      <c r="X1034" s="68" t="str">
        <f>VLOOKUP($A1034,'Calendar ID'!$A:$C,2,false)</f>
        <v>#N/A</v>
      </c>
      <c r="AA1034" s="16"/>
    </row>
    <row r="1035" hidden="1">
      <c r="A1035" s="16" t="s">
        <v>39</v>
      </c>
      <c r="B1035" s="17">
        <v>45539.0</v>
      </c>
      <c r="C1035" s="16" t="s">
        <v>173</v>
      </c>
      <c r="E1035" s="17"/>
      <c r="G1035" s="17"/>
      <c r="H1035" s="10" t="s">
        <v>31</v>
      </c>
      <c r="J1035" s="16" t="s">
        <v>266</v>
      </c>
      <c r="K1035" s="23" t="s">
        <v>33</v>
      </c>
      <c r="L1035" s="31" t="s">
        <v>56</v>
      </c>
      <c r="N1035" s="16"/>
      <c r="O1035" s="16"/>
      <c r="P1035" s="16"/>
      <c r="Q1035" s="17">
        <f t="shared" si="107"/>
        <v>45539</v>
      </c>
      <c r="S1035" s="20"/>
      <c r="T1035" s="68" t="str">
        <f>VLOOKUP(A1035,'Calendar ID'!$A:$C,3,false)</f>
        <v>#N/A</v>
      </c>
      <c r="U1035" s="78" t="b">
        <v>0</v>
      </c>
      <c r="V1035" s="68" t="str">
        <f>VLOOKUP($A1035,'Calendar ID'!$A:$C,2,false)</f>
        <v>#N/A</v>
      </c>
      <c r="W1035" s="71" t="b">
        <v>0</v>
      </c>
      <c r="X1035" s="68" t="str">
        <f>VLOOKUP($A1035,'Calendar ID'!$A:$C,2,false)</f>
        <v>#N/A</v>
      </c>
    </row>
    <row r="1036" hidden="1">
      <c r="A1036" s="16" t="s">
        <v>39</v>
      </c>
      <c r="B1036" s="17">
        <v>45545.0</v>
      </c>
      <c r="C1036" s="16" t="s">
        <v>996</v>
      </c>
      <c r="E1036" s="17"/>
      <c r="G1036" s="17"/>
      <c r="H1036" s="10" t="s">
        <v>31</v>
      </c>
      <c r="J1036" s="16" t="s">
        <v>266</v>
      </c>
      <c r="K1036" s="23" t="s">
        <v>33</v>
      </c>
      <c r="L1036" s="31" t="s">
        <v>56</v>
      </c>
      <c r="N1036" s="16"/>
      <c r="O1036" s="16"/>
      <c r="P1036" s="16"/>
      <c r="Q1036" s="17">
        <f t="shared" si="107"/>
        <v>45545</v>
      </c>
      <c r="S1036" s="20"/>
      <c r="T1036" s="68" t="str">
        <f>VLOOKUP(A1036,'Calendar ID'!$A:$C,3,false)</f>
        <v>#N/A</v>
      </c>
      <c r="U1036" s="78" t="b">
        <v>0</v>
      </c>
      <c r="V1036" s="68" t="str">
        <f>VLOOKUP($A1036,'Calendar ID'!$A:$C,2,false)</f>
        <v>#N/A</v>
      </c>
      <c r="W1036" s="71" t="b">
        <v>0</v>
      </c>
      <c r="X1036" s="68" t="str">
        <f>VLOOKUP($A1036,'Calendar ID'!$A:$C,2,false)</f>
        <v>#N/A</v>
      </c>
    </row>
    <row r="1037" hidden="1">
      <c r="A1037" s="16" t="s">
        <v>39</v>
      </c>
      <c r="B1037" s="17">
        <v>45564.0</v>
      </c>
      <c r="C1037" s="16" t="s">
        <v>997</v>
      </c>
      <c r="E1037" s="17"/>
      <c r="G1037" s="17"/>
      <c r="H1037" s="10" t="s">
        <v>31</v>
      </c>
      <c r="J1037" s="16" t="s">
        <v>266</v>
      </c>
      <c r="K1037" s="23" t="s">
        <v>33</v>
      </c>
      <c r="L1037" s="31" t="s">
        <v>56</v>
      </c>
      <c r="N1037" s="16"/>
      <c r="O1037" s="16"/>
      <c r="P1037" s="16"/>
      <c r="Q1037" s="17">
        <f t="shared" si="107"/>
        <v>45564</v>
      </c>
      <c r="S1037" s="20"/>
      <c r="T1037" s="68" t="str">
        <f>VLOOKUP(A1037,'Calendar ID'!$A:$C,3,false)</f>
        <v>#N/A</v>
      </c>
      <c r="U1037" s="78" t="b">
        <v>0</v>
      </c>
      <c r="V1037" s="68" t="str">
        <f>VLOOKUP($A1037,'Calendar ID'!$A:$C,2,false)</f>
        <v>#N/A</v>
      </c>
      <c r="W1037" s="71" t="b">
        <v>0</v>
      </c>
      <c r="X1037" s="68" t="str">
        <f>VLOOKUP($A1037,'Calendar ID'!$A:$C,2,false)</f>
        <v>#N/A</v>
      </c>
    </row>
    <row r="1038" hidden="1">
      <c r="A1038" s="16" t="s">
        <v>39</v>
      </c>
      <c r="B1038" s="17">
        <v>45572.0</v>
      </c>
      <c r="C1038" s="16" t="s">
        <v>226</v>
      </c>
      <c r="E1038" s="17"/>
      <c r="G1038" s="17"/>
      <c r="H1038" s="10" t="s">
        <v>31</v>
      </c>
      <c r="J1038" s="16" t="s">
        <v>266</v>
      </c>
      <c r="K1038" s="23" t="s">
        <v>33</v>
      </c>
      <c r="L1038" s="31" t="s">
        <v>56</v>
      </c>
      <c r="N1038" s="16"/>
      <c r="O1038" s="16"/>
      <c r="P1038" s="16"/>
      <c r="Q1038" s="17">
        <f t="shared" si="107"/>
        <v>45572</v>
      </c>
      <c r="S1038" s="20"/>
      <c r="T1038" s="68" t="str">
        <f>VLOOKUP(A1038,'Calendar ID'!$A:$C,3,false)</f>
        <v>#N/A</v>
      </c>
      <c r="U1038" s="78" t="b">
        <v>0</v>
      </c>
      <c r="V1038" s="68" t="str">
        <f>VLOOKUP($A1038,'Calendar ID'!$A:$C,2,false)</f>
        <v>#N/A</v>
      </c>
      <c r="W1038" s="71" t="b">
        <v>0</v>
      </c>
      <c r="X1038" s="68" t="str">
        <f>VLOOKUP($A1038,'Calendar ID'!$A:$C,2,false)</f>
        <v>#N/A</v>
      </c>
    </row>
    <row r="1039" hidden="1">
      <c r="A1039" s="23" t="s">
        <v>39</v>
      </c>
      <c r="B1039" s="17">
        <v>45503.0</v>
      </c>
      <c r="C1039" s="16" t="s">
        <v>191</v>
      </c>
      <c r="E1039" s="17"/>
      <c r="G1039" s="17"/>
      <c r="H1039" s="10" t="s">
        <v>31</v>
      </c>
      <c r="J1039" s="16" t="s">
        <v>97</v>
      </c>
      <c r="K1039" s="23" t="s">
        <v>33</v>
      </c>
      <c r="L1039" s="31" t="s">
        <v>56</v>
      </c>
      <c r="N1039" s="16"/>
      <c r="O1039" s="16"/>
      <c r="P1039" s="16"/>
      <c r="Q1039" s="17">
        <f t="shared" si="107"/>
        <v>45503</v>
      </c>
      <c r="S1039" s="20"/>
      <c r="T1039" s="68" t="str">
        <f>VLOOKUP(A1039,'Calendar ID'!$A:$C,3,false)</f>
        <v>#N/A</v>
      </c>
      <c r="U1039" s="71" t="b">
        <v>0</v>
      </c>
      <c r="V1039" s="68" t="str">
        <f>VLOOKUP($A1039,'Calendar ID'!$A:$C,2,false)</f>
        <v>#N/A</v>
      </c>
      <c r="W1039" s="69" t="b">
        <v>0</v>
      </c>
      <c r="X1039" s="68" t="str">
        <f>VLOOKUP($A1039,'Calendar ID'!$A:$C,2,false)</f>
        <v>#N/A</v>
      </c>
      <c r="Y1039" s="20"/>
      <c r="Z1039" s="20"/>
      <c r="AA1039" s="20"/>
      <c r="AB1039" s="20"/>
      <c r="AC1039" s="20"/>
    </row>
    <row r="1040" hidden="1">
      <c r="A1040" s="7" t="s">
        <v>39</v>
      </c>
      <c r="B1040" s="7"/>
      <c r="C1040" s="7" t="s">
        <v>901</v>
      </c>
      <c r="D1040" s="7" t="s">
        <v>734</v>
      </c>
      <c r="E1040" s="7"/>
      <c r="F1040" s="177">
        <v>45352.0</v>
      </c>
      <c r="H1040" s="7" t="s">
        <v>31</v>
      </c>
      <c r="I1040" s="167"/>
      <c r="J1040" s="7" t="s">
        <v>97</v>
      </c>
      <c r="K1040" s="7" t="s">
        <v>33</v>
      </c>
      <c r="L1040" s="7" t="s">
        <v>56</v>
      </c>
      <c r="Q1040" s="17" t="str">
        <f t="shared" si="107"/>
        <v/>
      </c>
      <c r="S1040" s="20"/>
      <c r="T1040" s="20"/>
      <c r="U1040" s="20"/>
      <c r="V1040" s="20"/>
      <c r="W1040" s="20"/>
      <c r="X1040" s="20"/>
      <c r="Y1040" s="20"/>
      <c r="Z1040" s="20"/>
      <c r="AA1040" s="20"/>
      <c r="AB1040" s="20"/>
      <c r="AC1040" s="20"/>
    </row>
    <row r="1041" hidden="1">
      <c r="A1041" s="16" t="s">
        <v>213</v>
      </c>
      <c r="B1041" s="17">
        <v>45551.0</v>
      </c>
      <c r="C1041" s="16" t="s">
        <v>998</v>
      </c>
      <c r="E1041" s="17"/>
      <c r="G1041" s="17"/>
      <c r="H1041" s="10" t="s">
        <v>31</v>
      </c>
      <c r="I1041" s="16" t="s">
        <v>999</v>
      </c>
      <c r="J1041" s="16" t="s">
        <v>266</v>
      </c>
      <c r="K1041" s="23" t="s">
        <v>33</v>
      </c>
      <c r="L1041" s="31" t="s">
        <v>56</v>
      </c>
      <c r="N1041" s="16"/>
      <c r="O1041" s="16"/>
      <c r="P1041" s="16"/>
      <c r="Q1041" s="17">
        <f t="shared" si="107"/>
        <v>45551</v>
      </c>
      <c r="S1041" s="20"/>
      <c r="T1041" s="68" t="str">
        <f>VLOOKUP(A1041,'Calendar ID'!$A:$C,3,false)</f>
        <v>anaiswry@yahoo.fr</v>
      </c>
      <c r="U1041" s="78" t="b">
        <v>0</v>
      </c>
      <c r="V1041" s="68" t="str">
        <f>VLOOKUP($A1041,'Calendar ID'!$A:$C,2,false)</f>
        <v>c_2754856c5047affc6767bb85fb787591389bf7d14d3afd368efdff9979492ab5@group.calendar.google.com</v>
      </c>
      <c r="W1041" s="71" t="b">
        <v>0</v>
      </c>
      <c r="X1041" s="68" t="str">
        <f>VLOOKUP($A1041,'Calendar ID'!$A:$C,2,false)</f>
        <v>c_2754856c5047affc6767bb85fb787591389bf7d14d3afd368efdff9979492ab5@group.calendar.google.com</v>
      </c>
    </row>
    <row r="1042" hidden="1">
      <c r="A1042" s="16" t="s">
        <v>1000</v>
      </c>
      <c r="B1042" s="17">
        <v>45436.0</v>
      </c>
      <c r="C1042" s="16" t="s">
        <v>68</v>
      </c>
      <c r="E1042" s="17"/>
      <c r="G1042" s="17"/>
      <c r="H1042" s="16" t="s">
        <v>31</v>
      </c>
      <c r="J1042" s="16" t="s">
        <v>1001</v>
      </c>
      <c r="K1042" s="16" t="s">
        <v>33</v>
      </c>
      <c r="L1042" s="31">
        <v>235.0</v>
      </c>
      <c r="N1042" s="16"/>
      <c r="O1042" s="16"/>
      <c r="P1042" s="16" t="s">
        <v>34</v>
      </c>
      <c r="Q1042" s="17">
        <f t="shared" si="107"/>
        <v>45436</v>
      </c>
      <c r="R1042" s="31">
        <v>235.0</v>
      </c>
      <c r="S1042" s="19" t="b">
        <v>0</v>
      </c>
      <c r="T1042" s="20"/>
      <c r="U1042" s="20"/>
      <c r="V1042" s="20"/>
      <c r="W1042" s="20"/>
      <c r="X1042" s="20"/>
      <c r="Y1042" s="16"/>
      <c r="Z1042" s="16"/>
      <c r="AA1042" s="16"/>
      <c r="AB1042" s="16"/>
      <c r="AC1042" s="16"/>
    </row>
    <row r="1043" hidden="1">
      <c r="A1043" s="128" t="s">
        <v>283</v>
      </c>
      <c r="B1043" s="17">
        <v>45761.0</v>
      </c>
      <c r="C1043" s="16" t="s">
        <v>408</v>
      </c>
      <c r="E1043" s="17"/>
      <c r="F1043" s="17"/>
      <c r="G1043" s="17"/>
      <c r="H1043" s="10" t="s">
        <v>31</v>
      </c>
      <c r="I1043" s="16" t="s">
        <v>1002</v>
      </c>
      <c r="J1043" s="16" t="s">
        <v>43</v>
      </c>
      <c r="K1043" s="16" t="s">
        <v>33</v>
      </c>
      <c r="L1043" s="31" t="s">
        <v>56</v>
      </c>
      <c r="N1043" s="16"/>
      <c r="O1043" s="16"/>
      <c r="P1043" s="23"/>
      <c r="Q1043" s="17">
        <f t="shared" si="107"/>
        <v>45761</v>
      </c>
      <c r="R1043" s="15"/>
      <c r="S1043" s="20"/>
      <c r="T1043" s="68"/>
      <c r="U1043" s="77"/>
      <c r="V1043" s="68"/>
      <c r="W1043" s="71"/>
      <c r="X1043" s="20"/>
    </row>
    <row r="1044" hidden="1">
      <c r="A1044" s="16" t="s">
        <v>113</v>
      </c>
      <c r="B1044" s="17">
        <v>45442.0</v>
      </c>
      <c r="C1044" s="16" t="s">
        <v>679</v>
      </c>
      <c r="E1044" s="17"/>
      <c r="F1044" s="53">
        <v>45460.0</v>
      </c>
      <c r="G1044" s="58">
        <v>45473.0</v>
      </c>
      <c r="H1044" s="16" t="s">
        <v>31</v>
      </c>
      <c r="J1044" s="16" t="s">
        <v>43</v>
      </c>
      <c r="K1044" s="16" t="s">
        <v>33</v>
      </c>
      <c r="L1044" s="31" t="s">
        <v>56</v>
      </c>
      <c r="N1044" s="16"/>
      <c r="O1044" s="16"/>
      <c r="P1044" s="16"/>
      <c r="Q1044" s="17">
        <f t="shared" si="107"/>
        <v>45442</v>
      </c>
      <c r="S1044" s="20"/>
      <c r="T1044" s="20" t="str">
        <f>VLOOKUP(A1044,'Calendar ID'!$A:$C,3,false)</f>
        <v>lovelyMytb@gmail.com </v>
      </c>
      <c r="U1044" s="20" t="b">
        <v>0</v>
      </c>
      <c r="V1044" s="20" t="str">
        <f>VLOOKUP($A1044,'Calendar ID'!$A:$C,2,false)</f>
        <v>c_68f94d9ebfae6399f09ec01b19d2012d5d2b7c5efbd47328c79c373cbeec7a5b@group.calendar.google.com</v>
      </c>
      <c r="W1044" s="19" t="b">
        <v>1</v>
      </c>
      <c r="X1044" s="19" t="s">
        <v>82</v>
      </c>
      <c r="Y1044" s="20"/>
      <c r="Z1044" s="20"/>
      <c r="AA1044" s="20"/>
      <c r="AB1044" s="20"/>
      <c r="AC1044" s="20"/>
    </row>
    <row r="1045" hidden="1">
      <c r="A1045" s="190" t="s">
        <v>113</v>
      </c>
      <c r="B1045" s="17">
        <v>45463.0</v>
      </c>
      <c r="C1045" s="16" t="s">
        <v>1003</v>
      </c>
      <c r="E1045" s="17"/>
      <c r="F1045" s="58">
        <v>45467.0</v>
      </c>
      <c r="G1045" s="61">
        <v>45476.0</v>
      </c>
      <c r="H1045" s="16" t="s">
        <v>31</v>
      </c>
      <c r="I1045" s="55" t="s">
        <v>1004</v>
      </c>
      <c r="J1045" s="16" t="s">
        <v>682</v>
      </c>
      <c r="K1045" s="16" t="s">
        <v>33</v>
      </c>
      <c r="L1045" s="31" t="s">
        <v>56</v>
      </c>
      <c r="N1045" s="55" t="s">
        <v>1004</v>
      </c>
      <c r="O1045" s="16"/>
      <c r="P1045" s="16"/>
      <c r="Q1045" s="17">
        <f t="shared" si="107"/>
        <v>45463</v>
      </c>
      <c r="S1045" s="20"/>
      <c r="T1045" s="20" t="str">
        <f>VLOOKUP(A1045,'Calendar ID'!$A:$C,3,false)</f>
        <v>lovelyMytb@gmail.com </v>
      </c>
      <c r="U1045" s="20" t="b">
        <v>0</v>
      </c>
      <c r="V1045" s="20" t="str">
        <f>VLOOKUP($A1045,'Calendar ID'!$A:$C,2,false)</f>
        <v>c_68f94d9ebfae6399f09ec01b19d2012d5d2b7c5efbd47328c79c373cbeec7a5b@group.calendar.google.com</v>
      </c>
      <c r="W1045" s="19" t="b">
        <v>1</v>
      </c>
      <c r="X1045" s="19" t="s">
        <v>82</v>
      </c>
      <c r="Y1045" s="20"/>
      <c r="Z1045" s="20"/>
      <c r="AA1045" s="20"/>
      <c r="AB1045" s="20"/>
      <c r="AC1045" s="20"/>
    </row>
    <row r="1046" hidden="1">
      <c r="A1046" s="16" t="s">
        <v>113</v>
      </c>
      <c r="B1046" s="17">
        <v>45484.0</v>
      </c>
      <c r="C1046" s="16" t="s">
        <v>68</v>
      </c>
      <c r="G1046" s="66">
        <v>45500.0</v>
      </c>
      <c r="H1046" s="10" t="s">
        <v>31</v>
      </c>
      <c r="J1046" s="7" t="s">
        <v>43</v>
      </c>
      <c r="K1046" s="23" t="s">
        <v>33</v>
      </c>
      <c r="L1046" s="31">
        <v>200.0</v>
      </c>
      <c r="N1046" s="16"/>
      <c r="O1046" s="16"/>
      <c r="P1046" s="23" t="s">
        <v>34</v>
      </c>
      <c r="Q1046" s="17">
        <f t="shared" si="107"/>
        <v>45484</v>
      </c>
      <c r="R1046" s="18">
        <f>L1046*0.3</f>
        <v>60</v>
      </c>
      <c r="S1046" s="20"/>
      <c r="T1046" s="68" t="str">
        <f>VLOOKUP(A1046,'Calendar ID'!$A:$C,3,false)</f>
        <v>lovelyMytb@gmail.com </v>
      </c>
      <c r="U1046" s="69" t="b">
        <v>1</v>
      </c>
      <c r="V1046" s="70" t="s">
        <v>82</v>
      </c>
      <c r="W1046" s="69" t="b">
        <v>1</v>
      </c>
      <c r="X1046" s="70" t="s">
        <v>82</v>
      </c>
      <c r="Y1046" s="16"/>
      <c r="Z1046" s="16"/>
      <c r="AA1046" s="16"/>
      <c r="AB1046" s="16"/>
      <c r="AC1046" s="16"/>
    </row>
    <row r="1047" hidden="1">
      <c r="A1047" s="16" t="s">
        <v>113</v>
      </c>
      <c r="B1047" s="17">
        <v>45503.0</v>
      </c>
      <c r="C1047" s="16" t="s">
        <v>690</v>
      </c>
      <c r="E1047" s="17"/>
      <c r="G1047" s="17">
        <v>45522.0</v>
      </c>
      <c r="H1047" s="10" t="s">
        <v>31</v>
      </c>
      <c r="I1047" s="16" t="s">
        <v>158</v>
      </c>
      <c r="J1047" s="16" t="s">
        <v>97</v>
      </c>
      <c r="K1047" s="23" t="s">
        <v>33</v>
      </c>
      <c r="L1047" s="31" t="s">
        <v>56</v>
      </c>
      <c r="N1047" s="55" t="s">
        <v>1005</v>
      </c>
      <c r="O1047" s="16"/>
      <c r="P1047" s="16"/>
      <c r="Q1047" s="17">
        <f t="shared" si="107"/>
        <v>45503</v>
      </c>
      <c r="S1047" s="20"/>
      <c r="T1047" s="68" t="str">
        <f>VLOOKUP(A1047,'Calendar ID'!$A:$C,3,false)</f>
        <v>lovelyMytb@gmail.com </v>
      </c>
      <c r="U1047" s="71" t="b">
        <v>0</v>
      </c>
      <c r="V1047" s="68" t="str">
        <f>VLOOKUP($A1047,'Calendar ID'!$A:$C,2,false)</f>
        <v>c_68f94d9ebfae6399f09ec01b19d2012d5d2b7c5efbd47328c79c373cbeec7a5b@group.calendar.google.com</v>
      </c>
      <c r="W1047" s="69" t="b">
        <v>0</v>
      </c>
      <c r="X1047" s="68" t="str">
        <f>VLOOKUP($A1047,'Calendar ID'!$A:$C,2,false)</f>
        <v>c_68f94d9ebfae6399f09ec01b19d2012d5d2b7c5efbd47328c79c373cbeec7a5b@group.calendar.google.com</v>
      </c>
      <c r="Y1047" s="20"/>
      <c r="Z1047" s="20"/>
      <c r="AA1047" s="20"/>
      <c r="AB1047" s="20"/>
      <c r="AC1047" s="20"/>
    </row>
    <row r="1048" hidden="1">
      <c r="A1048" s="16" t="s">
        <v>113</v>
      </c>
      <c r="B1048" s="17">
        <v>45527.0</v>
      </c>
      <c r="C1048" s="16" t="s">
        <v>901</v>
      </c>
      <c r="E1048" s="17"/>
      <c r="F1048" s="17"/>
      <c r="G1048" s="17">
        <v>45549.0</v>
      </c>
      <c r="H1048" s="10" t="s">
        <v>31</v>
      </c>
      <c r="I1048" s="16" t="s">
        <v>641</v>
      </c>
      <c r="J1048" s="16" t="s">
        <v>97</v>
      </c>
      <c r="K1048" s="23" t="s">
        <v>33</v>
      </c>
      <c r="L1048" s="31" t="s">
        <v>56</v>
      </c>
      <c r="N1048" s="55" t="s">
        <v>1006</v>
      </c>
      <c r="O1048" s="16"/>
      <c r="P1048" s="16"/>
      <c r="Q1048" s="17">
        <f t="shared" si="107"/>
        <v>45527</v>
      </c>
      <c r="S1048" s="20"/>
      <c r="T1048" s="68" t="str">
        <f>VLOOKUP(A1048,'Calendar ID'!$A:$C,3,false)</f>
        <v>lovelyMytb@gmail.com </v>
      </c>
      <c r="U1048" s="78" t="b">
        <v>0</v>
      </c>
      <c r="V1048" s="68" t="str">
        <f>VLOOKUP($A1048,'Calendar ID'!$A:$C,2,false)</f>
        <v>c_68f94d9ebfae6399f09ec01b19d2012d5d2b7c5efbd47328c79c373cbeec7a5b@group.calendar.google.com</v>
      </c>
      <c r="W1048" s="69" t="b">
        <v>1</v>
      </c>
      <c r="X1048" s="70" t="s">
        <v>82</v>
      </c>
    </row>
    <row r="1049" hidden="1">
      <c r="A1049" s="16" t="s">
        <v>113</v>
      </c>
      <c r="B1049" s="17">
        <v>45549.0</v>
      </c>
      <c r="C1049" s="16" t="s">
        <v>1007</v>
      </c>
      <c r="E1049" s="17"/>
      <c r="G1049" s="17">
        <v>45551.0</v>
      </c>
      <c r="H1049" s="10" t="s">
        <v>31</v>
      </c>
      <c r="J1049" s="16" t="s">
        <v>266</v>
      </c>
      <c r="K1049" s="23" t="s">
        <v>33</v>
      </c>
      <c r="L1049" s="31" t="s">
        <v>56</v>
      </c>
      <c r="N1049" s="16"/>
      <c r="O1049" s="16"/>
      <c r="P1049" s="16"/>
      <c r="Q1049" s="17">
        <f t="shared" si="107"/>
        <v>45549</v>
      </c>
      <c r="S1049" s="20"/>
      <c r="T1049" s="68" t="str">
        <f>VLOOKUP(A1049,'Calendar ID'!$A:$C,3,false)</f>
        <v>lovelyMytb@gmail.com </v>
      </c>
      <c r="U1049" s="78" t="b">
        <v>0</v>
      </c>
      <c r="V1049" s="68" t="str">
        <f>VLOOKUP($A1049,'Calendar ID'!$A:$C,2,false)</f>
        <v>c_68f94d9ebfae6399f09ec01b19d2012d5d2b7c5efbd47328c79c373cbeec7a5b@group.calendar.google.com</v>
      </c>
      <c r="W1049" s="69" t="b">
        <v>1</v>
      </c>
      <c r="X1049" s="70" t="s">
        <v>82</v>
      </c>
    </row>
    <row r="1050" hidden="1">
      <c r="A1050" s="16" t="s">
        <v>113</v>
      </c>
      <c r="B1050" s="17">
        <v>45525.0</v>
      </c>
      <c r="C1050" s="16" t="s">
        <v>175</v>
      </c>
      <c r="E1050" s="17"/>
      <c r="F1050" s="17"/>
      <c r="G1050" s="17">
        <v>45552.0</v>
      </c>
      <c r="H1050" s="10" t="s">
        <v>31</v>
      </c>
      <c r="J1050" s="16" t="s">
        <v>43</v>
      </c>
      <c r="K1050" s="23" t="s">
        <v>33</v>
      </c>
      <c r="L1050" s="31" t="s">
        <v>56</v>
      </c>
      <c r="N1050" s="16"/>
      <c r="O1050" s="16"/>
      <c r="P1050" s="16"/>
      <c r="Q1050" s="17">
        <f t="shared" si="107"/>
        <v>45525</v>
      </c>
      <c r="S1050" s="20"/>
      <c r="T1050" s="68" t="str">
        <f>VLOOKUP(A1050,'Calendar ID'!$A:$C,3,false)</f>
        <v>lovelyMytb@gmail.com </v>
      </c>
      <c r="U1050" s="78" t="b">
        <v>0</v>
      </c>
      <c r="V1050" s="68" t="str">
        <f>VLOOKUP($A1050,'Calendar ID'!$A:$C,2,false)</f>
        <v>c_68f94d9ebfae6399f09ec01b19d2012d5d2b7c5efbd47328c79c373cbeec7a5b@group.calendar.google.com</v>
      </c>
      <c r="W1050" s="69" t="b">
        <v>1</v>
      </c>
      <c r="X1050" s="70" t="s">
        <v>82</v>
      </c>
      <c r="AA1050" s="16"/>
    </row>
    <row r="1051" hidden="1">
      <c r="A1051" s="16" t="s">
        <v>113</v>
      </c>
      <c r="B1051" s="17">
        <v>45530.0</v>
      </c>
      <c r="C1051" s="16" t="s">
        <v>819</v>
      </c>
      <c r="D1051" s="16" t="s">
        <v>641</v>
      </c>
      <c r="E1051" s="17"/>
      <c r="F1051" s="17">
        <v>45533.0</v>
      </c>
      <c r="G1051" s="17">
        <v>45554.0</v>
      </c>
      <c r="H1051" s="10" t="s">
        <v>31</v>
      </c>
      <c r="J1051" s="16" t="s">
        <v>43</v>
      </c>
      <c r="K1051" s="23" t="s">
        <v>33</v>
      </c>
      <c r="L1051" s="31" t="s">
        <v>56</v>
      </c>
      <c r="N1051" s="65" t="s">
        <v>1008</v>
      </c>
      <c r="O1051" s="16"/>
      <c r="P1051" s="16"/>
      <c r="Q1051" s="17">
        <f t="shared" si="107"/>
        <v>45530</v>
      </c>
      <c r="S1051" s="20"/>
      <c r="T1051" s="68" t="str">
        <f>VLOOKUP(A1051,'Calendar ID'!$A:$C,3,false)</f>
        <v>lovelyMytb@gmail.com </v>
      </c>
      <c r="U1051" s="78" t="b">
        <v>0</v>
      </c>
      <c r="V1051" s="68" t="str">
        <f>VLOOKUP($A1051,'Calendar ID'!$A:$C,2,false)</f>
        <v>c_68f94d9ebfae6399f09ec01b19d2012d5d2b7c5efbd47328c79c373cbeec7a5b@group.calendar.google.com</v>
      </c>
      <c r="W1051" s="69" t="b">
        <v>1</v>
      </c>
      <c r="X1051" s="70" t="s">
        <v>82</v>
      </c>
    </row>
    <row r="1052" hidden="1">
      <c r="A1052" s="16" t="s">
        <v>113</v>
      </c>
      <c r="B1052" s="17">
        <v>45497.0</v>
      </c>
      <c r="C1052" s="16" t="s">
        <v>678</v>
      </c>
      <c r="E1052" s="17"/>
      <c r="F1052" s="17">
        <v>45530.0</v>
      </c>
      <c r="G1052" s="17">
        <v>45555.0</v>
      </c>
      <c r="H1052" s="10" t="s">
        <v>31</v>
      </c>
      <c r="J1052" s="16" t="s">
        <v>43</v>
      </c>
      <c r="K1052" s="23" t="s">
        <v>33</v>
      </c>
      <c r="L1052" s="31" t="s">
        <v>56</v>
      </c>
      <c r="N1052" s="55" t="s">
        <v>1009</v>
      </c>
      <c r="O1052" s="16"/>
      <c r="P1052" s="16"/>
      <c r="Q1052" s="17">
        <f t="shared" si="107"/>
        <v>45497</v>
      </c>
      <c r="S1052" s="20"/>
      <c r="T1052" s="68" t="str">
        <f>VLOOKUP(A1052,'Calendar ID'!$A:$C,3,false)</f>
        <v>lovelyMytb@gmail.com </v>
      </c>
      <c r="U1052" s="71" t="b">
        <v>0</v>
      </c>
      <c r="V1052" s="68" t="str">
        <f>VLOOKUP($A1052,'Calendar ID'!$A:$C,2,false)</f>
        <v>c_68f94d9ebfae6399f09ec01b19d2012d5d2b7c5efbd47328c79c373cbeec7a5b@group.calendar.google.com</v>
      </c>
      <c r="W1052" s="69" t="b">
        <v>1</v>
      </c>
      <c r="X1052" s="70" t="s">
        <v>82</v>
      </c>
      <c r="Y1052" s="20"/>
      <c r="Z1052" s="20"/>
      <c r="AA1052" s="20"/>
      <c r="AB1052" s="20"/>
      <c r="AC1052" s="20"/>
    </row>
    <row r="1053" hidden="1">
      <c r="A1053" s="16" t="s">
        <v>113</v>
      </c>
      <c r="B1053" s="17">
        <v>45571.0</v>
      </c>
      <c r="C1053" s="16" t="s">
        <v>1007</v>
      </c>
      <c r="E1053" s="17"/>
      <c r="G1053" s="17">
        <v>45573.0</v>
      </c>
      <c r="H1053" s="10" t="s">
        <v>31</v>
      </c>
      <c r="J1053" s="16" t="s">
        <v>266</v>
      </c>
      <c r="K1053" s="23" t="s">
        <v>33</v>
      </c>
      <c r="L1053" s="31" t="s">
        <v>56</v>
      </c>
      <c r="N1053" s="65" t="s">
        <v>1010</v>
      </c>
      <c r="O1053" s="16"/>
      <c r="P1053" s="16"/>
      <c r="Q1053" s="17">
        <f t="shared" si="107"/>
        <v>45571</v>
      </c>
      <c r="S1053" s="20"/>
      <c r="T1053" s="68" t="str">
        <f>VLOOKUP(A1053,'Calendar ID'!$A:$C,3,false)</f>
        <v>lovelyMytb@gmail.com </v>
      </c>
      <c r="U1053" s="78" t="b">
        <v>0</v>
      </c>
      <c r="V1053" s="68" t="str">
        <f>VLOOKUP($A1053,'Calendar ID'!$A:$C,2,false)</f>
        <v>c_68f94d9ebfae6399f09ec01b19d2012d5d2b7c5efbd47328c79c373cbeec7a5b@group.calendar.google.com</v>
      </c>
      <c r="W1053" s="69" t="b">
        <v>1</v>
      </c>
      <c r="X1053" s="70" t="s">
        <v>82</v>
      </c>
    </row>
    <row r="1054" hidden="1">
      <c r="A1054" s="16" t="s">
        <v>113</v>
      </c>
      <c r="B1054" s="17">
        <v>45560.0</v>
      </c>
      <c r="C1054" s="16" t="s">
        <v>806</v>
      </c>
      <c r="D1054" s="16" t="s">
        <v>844</v>
      </c>
      <c r="E1054" s="17"/>
      <c r="F1054" s="17">
        <v>45560.0</v>
      </c>
      <c r="G1054" s="17">
        <v>45575.0</v>
      </c>
      <c r="H1054" s="10" t="s">
        <v>31</v>
      </c>
      <c r="J1054" s="16" t="s">
        <v>266</v>
      </c>
      <c r="K1054" s="23" t="s">
        <v>33</v>
      </c>
      <c r="L1054" s="31" t="s">
        <v>56</v>
      </c>
      <c r="N1054" s="65" t="s">
        <v>1011</v>
      </c>
      <c r="O1054" s="16"/>
      <c r="P1054" s="16"/>
      <c r="Q1054" s="17">
        <f t="shared" si="107"/>
        <v>45560</v>
      </c>
      <c r="S1054" s="20"/>
      <c r="T1054" s="68" t="str">
        <f>VLOOKUP(A1054,'Calendar ID'!$A:$C,3,false)</f>
        <v>lovelyMytb@gmail.com </v>
      </c>
      <c r="U1054" s="78" t="b">
        <v>0</v>
      </c>
      <c r="V1054" s="68" t="str">
        <f>VLOOKUP($A1054,'Calendar ID'!$A:$C,2,false)</f>
        <v>c_68f94d9ebfae6399f09ec01b19d2012d5d2b7c5efbd47328c79c373cbeec7a5b@group.calendar.google.com</v>
      </c>
      <c r="W1054" s="69" t="b">
        <v>1</v>
      </c>
      <c r="X1054" s="70" t="s">
        <v>82</v>
      </c>
    </row>
    <row r="1055" hidden="1">
      <c r="A1055" s="16" t="s">
        <v>113</v>
      </c>
      <c r="B1055" s="17">
        <v>45580.0</v>
      </c>
      <c r="C1055" s="16" t="s">
        <v>220</v>
      </c>
      <c r="E1055" s="17"/>
      <c r="F1055" s="17"/>
      <c r="G1055" s="17">
        <v>45580.0</v>
      </c>
      <c r="H1055" s="10" t="s">
        <v>31</v>
      </c>
      <c r="I1055" s="16"/>
      <c r="J1055" s="16" t="s">
        <v>943</v>
      </c>
      <c r="K1055" s="16" t="s">
        <v>943</v>
      </c>
      <c r="L1055" s="31">
        <v>100.0</v>
      </c>
      <c r="N1055" s="104"/>
      <c r="O1055" s="16"/>
      <c r="P1055" s="23" t="s">
        <v>34</v>
      </c>
      <c r="Q1055" s="17">
        <f t="shared" si="107"/>
        <v>45580</v>
      </c>
      <c r="R1055" s="15">
        <f>L1055*0.3</f>
        <v>30</v>
      </c>
      <c r="S1055" s="20"/>
      <c r="T1055" s="68" t="str">
        <f>VLOOKUP(A1055,'Calendar ID'!$A:$C,3,false)</f>
        <v>lovelyMytb@gmail.com </v>
      </c>
      <c r="U1055" s="78" t="b">
        <v>0</v>
      </c>
      <c r="V1055" s="68" t="str">
        <f>VLOOKUP($A1055,'Calendar ID'!$A:$C,2,false)</f>
        <v>c_68f94d9ebfae6399f09ec01b19d2012d5d2b7c5efbd47328c79c373cbeec7a5b@group.calendar.google.com</v>
      </c>
      <c r="W1055" s="69" t="b">
        <v>0</v>
      </c>
      <c r="X1055" s="68" t="str">
        <f>VLOOKUP($A1055,'Calendar ID'!$A:$C,2,false)</f>
        <v>c_68f94d9ebfae6399f09ec01b19d2012d5d2b7c5efbd47328c79c373cbeec7a5b@group.calendar.google.com</v>
      </c>
      <c r="AA1055" s="16"/>
    </row>
    <row r="1056" hidden="1">
      <c r="A1056" s="16" t="s">
        <v>113</v>
      </c>
      <c r="B1056" s="17">
        <v>45581.0</v>
      </c>
      <c r="C1056" s="16" t="s">
        <v>634</v>
      </c>
      <c r="E1056" s="17"/>
      <c r="F1056" s="17">
        <v>45581.0</v>
      </c>
      <c r="G1056" s="17">
        <v>45604.0</v>
      </c>
      <c r="H1056" s="10" t="s">
        <v>31</v>
      </c>
      <c r="J1056" s="16" t="s">
        <v>43</v>
      </c>
      <c r="K1056" s="23" t="s">
        <v>33</v>
      </c>
      <c r="L1056" s="31" t="s">
        <v>56</v>
      </c>
      <c r="N1056" s="65" t="s">
        <v>1012</v>
      </c>
      <c r="O1056" s="16"/>
      <c r="P1056" s="16"/>
      <c r="Q1056" s="17">
        <f t="shared" si="107"/>
        <v>45581</v>
      </c>
      <c r="S1056" s="20"/>
      <c r="T1056" s="68" t="str">
        <f>VLOOKUP(A1056,'Calendar ID'!$A:$C,3,false)</f>
        <v>lovelyMytb@gmail.com </v>
      </c>
      <c r="U1056" s="78" t="b">
        <v>0</v>
      </c>
      <c r="V1056" s="68" t="str">
        <f>VLOOKUP($A1056,'Calendar ID'!$A:$C,2,false)</f>
        <v>c_68f94d9ebfae6399f09ec01b19d2012d5d2b7c5efbd47328c79c373cbeec7a5b@group.calendar.google.com</v>
      </c>
      <c r="W1056" s="69" t="b">
        <v>1</v>
      </c>
      <c r="X1056" s="70" t="s">
        <v>82</v>
      </c>
    </row>
    <row r="1057" hidden="1">
      <c r="A1057" s="160" t="s">
        <v>113</v>
      </c>
      <c r="B1057" s="17">
        <v>45455.0</v>
      </c>
      <c r="C1057" s="7" t="s">
        <v>901</v>
      </c>
      <c r="G1057" s="10"/>
      <c r="H1057" s="16" t="s">
        <v>31</v>
      </c>
      <c r="J1057" s="16" t="s">
        <v>97</v>
      </c>
      <c r="K1057" s="16" t="s">
        <v>33</v>
      </c>
      <c r="L1057" s="14" t="s">
        <v>56</v>
      </c>
      <c r="N1057" s="55" t="s">
        <v>1013</v>
      </c>
      <c r="Q1057" s="17">
        <f t="shared" si="107"/>
        <v>45455</v>
      </c>
      <c r="S1057" s="20"/>
      <c r="T1057" s="20" t="str">
        <f>VLOOKUP(A1057,'Calendar ID'!$A:$C,3,false)</f>
        <v>lovelyMytb@gmail.com </v>
      </c>
      <c r="U1057" s="20" t="b">
        <v>0</v>
      </c>
      <c r="V1057" s="20" t="str">
        <f>VLOOKUP($A1057,'Calendar ID'!$A:$C,2,false)</f>
        <v>c_68f94d9ebfae6399f09ec01b19d2012d5d2b7c5efbd47328c79c373cbeec7a5b@group.calendar.google.com</v>
      </c>
      <c r="W1057" s="19" t="b">
        <v>0</v>
      </c>
      <c r="X1057" s="20" t="str">
        <f>VLOOKUP($A1057,'Calendar ID'!$A:$C,2,false)</f>
        <v>c_68f94d9ebfae6399f09ec01b19d2012d5d2b7c5efbd47328c79c373cbeec7a5b@group.calendar.google.com</v>
      </c>
      <c r="Y1057" s="20"/>
      <c r="Z1057" s="20"/>
      <c r="AA1057" s="20"/>
      <c r="AB1057" s="20"/>
      <c r="AC1057" s="20"/>
    </row>
    <row r="1058" hidden="1">
      <c r="A1058" s="16" t="s">
        <v>113</v>
      </c>
      <c r="B1058" s="17">
        <v>45490.0</v>
      </c>
      <c r="C1058" s="16" t="s">
        <v>1014</v>
      </c>
      <c r="E1058" s="17"/>
      <c r="G1058" s="17"/>
      <c r="H1058" s="10" t="s">
        <v>31</v>
      </c>
      <c r="J1058" s="16" t="s">
        <v>97</v>
      </c>
      <c r="K1058" s="23" t="s">
        <v>33</v>
      </c>
      <c r="L1058" s="31" t="s">
        <v>56</v>
      </c>
      <c r="N1058" s="65" t="s">
        <v>1015</v>
      </c>
      <c r="O1058" s="16"/>
      <c r="P1058" s="16"/>
      <c r="Q1058" s="17">
        <f t="shared" si="107"/>
        <v>45490</v>
      </c>
      <c r="S1058" s="20"/>
      <c r="T1058" s="68" t="str">
        <f>VLOOKUP(A1058,'Calendar ID'!$A:$C,3,false)</f>
        <v>lovelyMytb@gmail.com </v>
      </c>
      <c r="U1058" s="71" t="b">
        <v>0</v>
      </c>
      <c r="V1058" s="68" t="str">
        <f>VLOOKUP($A1058,'Calendar ID'!$A:$C,2,false)</f>
        <v>c_68f94d9ebfae6399f09ec01b19d2012d5d2b7c5efbd47328c79c373cbeec7a5b@group.calendar.google.com</v>
      </c>
      <c r="W1058" s="71" t="b">
        <v>0</v>
      </c>
      <c r="X1058" s="68" t="str">
        <f>VLOOKUP($A1058,'Calendar ID'!$A:$C,2,false)</f>
        <v>c_68f94d9ebfae6399f09ec01b19d2012d5d2b7c5efbd47328c79c373cbeec7a5b@group.calendar.google.com</v>
      </c>
      <c r="Y1058" s="20"/>
      <c r="Z1058" s="20"/>
      <c r="AA1058" s="20"/>
      <c r="AB1058" s="20"/>
      <c r="AC1058" s="20"/>
    </row>
    <row r="1059" hidden="1">
      <c r="A1059" s="16" t="s">
        <v>113</v>
      </c>
      <c r="B1059" s="11">
        <v>45511.0</v>
      </c>
      <c r="C1059" s="16" t="s">
        <v>724</v>
      </c>
      <c r="E1059" s="17"/>
      <c r="G1059" s="17"/>
      <c r="H1059" s="10" t="s">
        <v>31</v>
      </c>
      <c r="J1059" s="16" t="s">
        <v>97</v>
      </c>
      <c r="K1059" s="23" t="s">
        <v>33</v>
      </c>
      <c r="L1059" s="31" t="s">
        <v>56</v>
      </c>
      <c r="N1059" s="16"/>
      <c r="O1059" s="16"/>
      <c r="P1059" s="16"/>
      <c r="Q1059" s="17">
        <f t="shared" si="107"/>
        <v>45511</v>
      </c>
      <c r="S1059" s="20"/>
      <c r="T1059" s="68" t="str">
        <f>VLOOKUP(A1059,'Calendar ID'!$A:$C,3,false)</f>
        <v>lovelyMytb@gmail.com </v>
      </c>
      <c r="U1059" s="78" t="b">
        <v>0</v>
      </c>
      <c r="V1059" s="68" t="str">
        <f>VLOOKUP($A1059,'Calendar ID'!$A:$C,2,false)</f>
        <v>c_68f94d9ebfae6399f09ec01b19d2012d5d2b7c5efbd47328c79c373cbeec7a5b@group.calendar.google.com</v>
      </c>
      <c r="W1059" s="71" t="b">
        <v>0</v>
      </c>
      <c r="X1059" s="68" t="str">
        <f>VLOOKUP($A1059,'Calendar ID'!$A:$C,2,false)</f>
        <v>c_68f94d9ebfae6399f09ec01b19d2012d5d2b7c5efbd47328c79c373cbeec7a5b@group.calendar.google.com</v>
      </c>
      <c r="AA1059" s="16" t="s">
        <v>807</v>
      </c>
    </row>
    <row r="1060" hidden="1">
      <c r="A1060" s="16" t="s">
        <v>113</v>
      </c>
      <c r="B1060" s="17">
        <v>45454.0</v>
      </c>
      <c r="C1060" s="16" t="s">
        <v>287</v>
      </c>
      <c r="E1060" s="17"/>
      <c r="G1060" s="17"/>
      <c r="H1060" s="16" t="s">
        <v>31</v>
      </c>
      <c r="J1060" s="16" t="s">
        <v>97</v>
      </c>
      <c r="K1060" s="16" t="s">
        <v>33</v>
      </c>
      <c r="L1060" s="31" t="s">
        <v>56</v>
      </c>
      <c r="N1060" s="55" t="s">
        <v>1016</v>
      </c>
      <c r="O1060" s="16"/>
      <c r="P1060" s="16"/>
      <c r="Q1060" s="17">
        <f t="shared" si="107"/>
        <v>45454</v>
      </c>
      <c r="S1060" s="20"/>
      <c r="T1060" s="20" t="str">
        <f>VLOOKUP(A1060,'Calendar ID'!$A:$C,3,false)</f>
        <v>lovelyMytb@gmail.com </v>
      </c>
      <c r="U1060" s="20" t="b">
        <v>0</v>
      </c>
      <c r="V1060" s="20" t="str">
        <f>VLOOKUP($A1060,'Calendar ID'!$A:$C,2,false)</f>
        <v>c_68f94d9ebfae6399f09ec01b19d2012d5d2b7c5efbd47328c79c373cbeec7a5b@group.calendar.google.com</v>
      </c>
      <c r="W1060" s="19" t="b">
        <v>0</v>
      </c>
      <c r="X1060" s="20" t="str">
        <f>VLOOKUP($A1060,'Calendar ID'!$A:$C,2,false)</f>
        <v>c_68f94d9ebfae6399f09ec01b19d2012d5d2b7c5efbd47328c79c373cbeec7a5b@group.calendar.google.com</v>
      </c>
      <c r="Y1060" s="20"/>
      <c r="Z1060" s="20"/>
      <c r="AA1060" s="20"/>
      <c r="AB1060" s="20"/>
      <c r="AC1060" s="20"/>
    </row>
    <row r="1061" hidden="1">
      <c r="A1061" s="16" t="s">
        <v>113</v>
      </c>
      <c r="B1061" s="17">
        <v>45539.0</v>
      </c>
      <c r="C1061" s="16" t="s">
        <v>173</v>
      </c>
      <c r="E1061" s="17"/>
      <c r="G1061" s="17"/>
      <c r="H1061" s="10" t="s">
        <v>31</v>
      </c>
      <c r="J1061" s="16" t="s">
        <v>266</v>
      </c>
      <c r="K1061" s="23" t="s">
        <v>33</v>
      </c>
      <c r="L1061" s="31" t="s">
        <v>56</v>
      </c>
      <c r="N1061" s="16"/>
      <c r="O1061" s="16"/>
      <c r="P1061" s="16"/>
      <c r="Q1061" s="17">
        <f t="shared" si="107"/>
        <v>45539</v>
      </c>
      <c r="S1061" s="20"/>
      <c r="T1061" s="68" t="str">
        <f>VLOOKUP(A1061,'Calendar ID'!$A:$C,3,false)</f>
        <v>lovelyMytb@gmail.com </v>
      </c>
      <c r="U1061" s="78" t="b">
        <v>0</v>
      </c>
      <c r="V1061" s="68" t="str">
        <f>VLOOKUP($A1061,'Calendar ID'!$A:$C,2,false)</f>
        <v>c_68f94d9ebfae6399f09ec01b19d2012d5d2b7c5efbd47328c79c373cbeec7a5b@group.calendar.google.com</v>
      </c>
      <c r="W1061" s="71" t="b">
        <v>0</v>
      </c>
      <c r="X1061" s="68" t="str">
        <f>VLOOKUP($A1061,'Calendar ID'!$A:$C,2,false)</f>
        <v>c_68f94d9ebfae6399f09ec01b19d2012d5d2b7c5efbd47328c79c373cbeec7a5b@group.calendar.google.com</v>
      </c>
    </row>
    <row r="1062" hidden="1">
      <c r="A1062" s="16" t="s">
        <v>113</v>
      </c>
      <c r="B1062" s="17">
        <v>45548.0</v>
      </c>
      <c r="C1062" s="16" t="s">
        <v>226</v>
      </c>
      <c r="E1062" s="17"/>
      <c r="G1062" s="17"/>
      <c r="H1062" s="10" t="s">
        <v>31</v>
      </c>
      <c r="J1062" s="16" t="s">
        <v>266</v>
      </c>
      <c r="K1062" s="23" t="s">
        <v>33</v>
      </c>
      <c r="L1062" s="31" t="s">
        <v>56</v>
      </c>
      <c r="N1062" s="65" t="s">
        <v>1017</v>
      </c>
      <c r="O1062" s="16"/>
      <c r="P1062" s="16"/>
      <c r="Q1062" s="17">
        <f t="shared" si="107"/>
        <v>45548</v>
      </c>
      <c r="S1062" s="20"/>
      <c r="T1062" s="68" t="str">
        <f>VLOOKUP(A1062,'Calendar ID'!$A:$C,3,false)</f>
        <v>lovelyMytb@gmail.com </v>
      </c>
      <c r="U1062" s="78" t="b">
        <v>0</v>
      </c>
      <c r="V1062" s="68" t="str">
        <f>VLOOKUP($A1062,'Calendar ID'!$A:$C,2,false)</f>
        <v>c_68f94d9ebfae6399f09ec01b19d2012d5d2b7c5efbd47328c79c373cbeec7a5b@group.calendar.google.com</v>
      </c>
      <c r="W1062" s="71" t="b">
        <v>0</v>
      </c>
      <c r="X1062" s="68" t="str">
        <f>VLOOKUP($A1062,'Calendar ID'!$A:$C,2,false)</f>
        <v>c_68f94d9ebfae6399f09ec01b19d2012d5d2b7c5efbd47328c79c373cbeec7a5b@group.calendar.google.com</v>
      </c>
    </row>
    <row r="1063" hidden="1">
      <c r="A1063" s="16" t="s">
        <v>113</v>
      </c>
      <c r="B1063" s="17">
        <v>45565.0</v>
      </c>
      <c r="C1063" s="16" t="s">
        <v>694</v>
      </c>
      <c r="E1063" s="17"/>
      <c r="G1063" s="17"/>
      <c r="H1063" s="10" t="s">
        <v>31</v>
      </c>
      <c r="J1063" s="16" t="s">
        <v>266</v>
      </c>
      <c r="K1063" s="23" t="s">
        <v>33</v>
      </c>
      <c r="L1063" s="31" t="s">
        <v>56</v>
      </c>
      <c r="N1063" s="16"/>
      <c r="O1063" s="16"/>
      <c r="P1063" s="16"/>
      <c r="Q1063" s="17">
        <f t="shared" si="107"/>
        <v>45565</v>
      </c>
      <c r="S1063" s="20"/>
      <c r="T1063" s="68" t="str">
        <f>VLOOKUP(A1063,'Calendar ID'!$A:$C,3,false)</f>
        <v>lovelyMytb@gmail.com </v>
      </c>
      <c r="U1063" s="78" t="b">
        <v>0</v>
      </c>
      <c r="V1063" s="68" t="str">
        <f>VLOOKUP($A1063,'Calendar ID'!$A:$C,2,false)</f>
        <v>c_68f94d9ebfae6399f09ec01b19d2012d5d2b7c5efbd47328c79c373cbeec7a5b@group.calendar.google.com</v>
      </c>
      <c r="W1063" s="71" t="b">
        <v>0</v>
      </c>
      <c r="X1063" s="68" t="str">
        <f>VLOOKUP($A1063,'Calendar ID'!$A:$C,2,false)</f>
        <v>c_68f94d9ebfae6399f09ec01b19d2012d5d2b7c5efbd47328c79c373cbeec7a5b@group.calendar.google.com</v>
      </c>
    </row>
    <row r="1064" hidden="1">
      <c r="A1064" s="23" t="s">
        <v>113</v>
      </c>
      <c r="B1064" s="17">
        <v>45503.0</v>
      </c>
      <c r="C1064" s="16" t="s">
        <v>191</v>
      </c>
      <c r="E1064" s="17"/>
      <c r="G1064" s="17"/>
      <c r="H1064" s="10" t="s">
        <v>31</v>
      </c>
      <c r="J1064" s="16" t="s">
        <v>97</v>
      </c>
      <c r="K1064" s="23" t="s">
        <v>33</v>
      </c>
      <c r="L1064" s="31" t="s">
        <v>56</v>
      </c>
      <c r="N1064" s="16"/>
      <c r="O1064" s="16"/>
      <c r="P1064" s="16"/>
      <c r="Q1064" s="17">
        <f t="shared" si="107"/>
        <v>45503</v>
      </c>
      <c r="S1064" s="20"/>
      <c r="T1064" s="68" t="str">
        <f>VLOOKUP(A1064,'Calendar ID'!$A:$C,3,false)</f>
        <v>lovelyMytb@gmail.com </v>
      </c>
      <c r="U1064" s="71" t="b">
        <v>0</v>
      </c>
      <c r="V1064" s="68" t="str">
        <f>VLOOKUP($A1064,'Calendar ID'!$A:$C,2,false)</f>
        <v>c_68f94d9ebfae6399f09ec01b19d2012d5d2b7c5efbd47328c79c373cbeec7a5b@group.calendar.google.com</v>
      </c>
      <c r="W1064" s="69" t="b">
        <v>0</v>
      </c>
      <c r="X1064" s="68" t="str">
        <f>VLOOKUP($A1064,'Calendar ID'!$A:$C,2,false)</f>
        <v>c_68f94d9ebfae6399f09ec01b19d2012d5d2b7c5efbd47328c79c373cbeec7a5b@group.calendar.google.com</v>
      </c>
      <c r="Y1064" s="20"/>
      <c r="Z1064" s="20"/>
      <c r="AA1064" s="20"/>
      <c r="AB1064" s="20"/>
      <c r="AC1064" s="20"/>
    </row>
    <row r="1065" hidden="1">
      <c r="A1065" s="16" t="s">
        <v>402</v>
      </c>
      <c r="B1065" s="17">
        <v>45806.0</v>
      </c>
      <c r="C1065" s="16" t="s">
        <v>79</v>
      </c>
      <c r="E1065" s="58">
        <v>45833.0</v>
      </c>
      <c r="F1065" s="17"/>
      <c r="G1065" s="17"/>
      <c r="H1065" s="10" t="s">
        <v>31</v>
      </c>
      <c r="I1065" s="16" t="s">
        <v>602</v>
      </c>
      <c r="J1065" s="16" t="s">
        <v>97</v>
      </c>
      <c r="K1065" s="7" t="s">
        <v>33</v>
      </c>
      <c r="L1065" s="31" t="s">
        <v>56</v>
      </c>
      <c r="N1065" s="16"/>
      <c r="O1065" s="16"/>
      <c r="P1065" s="23"/>
      <c r="Q1065" s="17">
        <f t="shared" si="107"/>
        <v>45806</v>
      </c>
      <c r="R1065" s="15"/>
      <c r="S1065" s="20"/>
      <c r="T1065" s="68"/>
      <c r="U1065" s="77"/>
      <c r="V1065" s="68"/>
      <c r="W1065" s="71"/>
      <c r="X1065" s="20"/>
    </row>
    <row r="1066" hidden="1">
      <c r="A1066" s="16" t="s">
        <v>468</v>
      </c>
      <c r="B1066" s="17">
        <v>45680.0</v>
      </c>
      <c r="C1066" s="16" t="s">
        <v>931</v>
      </c>
      <c r="E1066" s="17"/>
      <c r="F1066" s="105">
        <v>45684.0</v>
      </c>
      <c r="G1066" s="86">
        <v>45698.0</v>
      </c>
      <c r="H1066" s="10" t="s">
        <v>31</v>
      </c>
      <c r="J1066" s="16" t="s">
        <v>641</v>
      </c>
      <c r="K1066" s="23" t="s">
        <v>33</v>
      </c>
      <c r="L1066" s="31" t="s">
        <v>56</v>
      </c>
      <c r="N1066" s="16"/>
      <c r="O1066" s="16"/>
      <c r="P1066" s="16"/>
      <c r="Q1066" s="17">
        <f t="shared" si="107"/>
        <v>45680</v>
      </c>
      <c r="S1066" s="20"/>
      <c r="T1066" s="68" t="str">
        <f>VLOOKUP(A1066,'Calendar ID'!$A:$C,3,false)</f>
        <v>nidal.daghmi.pro@gmail.com </v>
      </c>
      <c r="U1066" s="71" t="b">
        <v>0</v>
      </c>
      <c r="V1066" s="68" t="str">
        <f>VLOOKUP($A1066,'Calendar ID'!$A:$C,2,false)</f>
        <v>c_3049f29ec7ef21ab890fb708cade8a20fa94574faa4b9a9f528d8a665fbc6262@group.calendar.google.com</v>
      </c>
      <c r="W1066" s="71" t="b">
        <v>0</v>
      </c>
      <c r="X1066" s="68" t="str">
        <f>VLOOKUP($A1066,'Calendar ID'!$A:$C,2,false)</f>
        <v>c_3049f29ec7ef21ab890fb708cade8a20fa94574faa4b9a9f528d8a665fbc6262@group.calendar.google.com</v>
      </c>
    </row>
    <row r="1067" hidden="1">
      <c r="A1067" s="23" t="s">
        <v>468</v>
      </c>
      <c r="B1067" s="17">
        <v>45680.0</v>
      </c>
      <c r="C1067" s="16" t="s">
        <v>645</v>
      </c>
      <c r="E1067" s="17"/>
      <c r="F1067" s="105">
        <v>45684.0</v>
      </c>
      <c r="G1067" s="86">
        <v>45698.0</v>
      </c>
      <c r="H1067" s="10" t="s">
        <v>31</v>
      </c>
      <c r="J1067" s="16" t="s">
        <v>641</v>
      </c>
      <c r="K1067" s="23" t="s">
        <v>33</v>
      </c>
      <c r="L1067" s="31" t="s">
        <v>56</v>
      </c>
      <c r="N1067" s="65" t="s">
        <v>1018</v>
      </c>
      <c r="O1067" s="16"/>
      <c r="P1067" s="16"/>
      <c r="Q1067" s="17">
        <f t="shared" si="107"/>
        <v>45680</v>
      </c>
      <c r="S1067" s="20"/>
      <c r="T1067" s="68" t="str">
        <f>VLOOKUP(A1067,'Calendar ID'!$A:$C,3,false)</f>
        <v>nidal.daghmi.pro@gmail.com </v>
      </c>
      <c r="U1067" s="71" t="b">
        <v>0</v>
      </c>
      <c r="V1067" s="68" t="str">
        <f>VLOOKUP($A1067,'Calendar ID'!$A:$C,2,false)</f>
        <v>c_3049f29ec7ef21ab890fb708cade8a20fa94574faa4b9a9f528d8a665fbc6262@group.calendar.google.com</v>
      </c>
      <c r="W1067" s="71" t="b">
        <v>0</v>
      </c>
      <c r="X1067" s="68" t="str">
        <f>VLOOKUP($A1067,'Calendar ID'!$A:$C,2,false)</f>
        <v>c_3049f29ec7ef21ab890fb708cade8a20fa94574faa4b9a9f528d8a665fbc6262@group.calendar.google.com</v>
      </c>
    </row>
    <row r="1068" hidden="1">
      <c r="A1068" s="16" t="s">
        <v>468</v>
      </c>
      <c r="B1068" s="17">
        <v>45686.0</v>
      </c>
      <c r="C1068" s="16" t="s">
        <v>469</v>
      </c>
      <c r="E1068" s="17"/>
      <c r="G1068" s="107">
        <v>45713.0</v>
      </c>
      <c r="H1068" s="10" t="s">
        <v>31</v>
      </c>
      <c r="I1068" s="191" t="s">
        <v>1019</v>
      </c>
      <c r="J1068" s="16" t="s">
        <v>43</v>
      </c>
      <c r="K1068" s="23" t="s">
        <v>33</v>
      </c>
      <c r="L1068" s="31">
        <v>150.0</v>
      </c>
      <c r="N1068" s="16"/>
      <c r="O1068" s="16"/>
      <c r="P1068" s="23" t="s">
        <v>34</v>
      </c>
      <c r="Q1068" s="17">
        <f t="shared" si="107"/>
        <v>45686</v>
      </c>
      <c r="R1068" s="18">
        <f>L1068*0.3</f>
        <v>45</v>
      </c>
      <c r="S1068" s="20"/>
      <c r="T1068" s="20"/>
      <c r="U1068" s="20"/>
      <c r="V1068" s="20"/>
      <c r="W1068" s="20"/>
      <c r="X1068" s="20"/>
    </row>
    <row r="1069" hidden="1">
      <c r="A1069" s="160" t="s">
        <v>468</v>
      </c>
      <c r="B1069" s="17">
        <v>45711.0</v>
      </c>
      <c r="C1069" s="16" t="s">
        <v>640</v>
      </c>
      <c r="E1069" s="17"/>
      <c r="F1069" s="107">
        <v>45715.0</v>
      </c>
      <c r="G1069" s="122">
        <v>45736.0</v>
      </c>
      <c r="H1069" s="10" t="s">
        <v>31</v>
      </c>
      <c r="J1069" s="16" t="s">
        <v>641</v>
      </c>
      <c r="K1069" s="16" t="s">
        <v>33</v>
      </c>
      <c r="L1069" s="31" t="s">
        <v>56</v>
      </c>
      <c r="N1069" s="65" t="s">
        <v>1020</v>
      </c>
      <c r="O1069" s="16"/>
      <c r="P1069" s="16"/>
      <c r="Q1069" s="17">
        <f t="shared" si="107"/>
        <v>45711</v>
      </c>
      <c r="S1069" s="20"/>
      <c r="T1069" s="68" t="str">
        <f>VLOOKUP(A1069,'Calendar ID'!$A:$C,3,false)</f>
        <v>nidal.daghmi.pro@gmail.com </v>
      </c>
      <c r="U1069" s="71" t="b">
        <v>0</v>
      </c>
      <c r="V1069" s="68" t="str">
        <f>VLOOKUP($A1069,'Calendar ID'!$A:$C,2,false)</f>
        <v>c_3049f29ec7ef21ab890fb708cade8a20fa94574faa4b9a9f528d8a665fbc6262@group.calendar.google.com</v>
      </c>
      <c r="W1069" s="69" t="b">
        <v>1</v>
      </c>
      <c r="X1069" s="70" t="s">
        <v>82</v>
      </c>
    </row>
    <row r="1070" hidden="1">
      <c r="A1070" s="16" t="s">
        <v>468</v>
      </c>
      <c r="B1070" s="17">
        <v>45681.0</v>
      </c>
      <c r="C1070" s="16" t="s">
        <v>944</v>
      </c>
      <c r="E1070" s="17"/>
      <c r="F1070" s="105">
        <v>45685.0</v>
      </c>
      <c r="G1070" s="122">
        <v>45737.0</v>
      </c>
      <c r="H1070" s="10" t="s">
        <v>31</v>
      </c>
      <c r="J1070" s="16" t="s">
        <v>641</v>
      </c>
      <c r="K1070" s="23" t="s">
        <v>33</v>
      </c>
      <c r="L1070" s="31" t="s">
        <v>56</v>
      </c>
      <c r="N1070" s="16"/>
      <c r="O1070" s="16"/>
      <c r="P1070" s="16"/>
      <c r="Q1070" s="17">
        <f t="shared" si="107"/>
        <v>45681</v>
      </c>
      <c r="S1070" s="20"/>
      <c r="T1070" s="68" t="str">
        <f>VLOOKUP(A1070,'Calendar ID'!$A:$C,3,false)</f>
        <v>nidal.daghmi.pro@gmail.com </v>
      </c>
      <c r="U1070" s="78" t="b">
        <v>0</v>
      </c>
      <c r="V1070" s="68" t="str">
        <f>VLOOKUP($A1070,'Calendar ID'!$A:$C,2,false)</f>
        <v>c_3049f29ec7ef21ab890fb708cade8a20fa94574faa4b9a9f528d8a665fbc6262@group.calendar.google.com</v>
      </c>
      <c r="W1070" s="69" t="b">
        <v>0</v>
      </c>
      <c r="X1070" s="68" t="str">
        <f>VLOOKUP($A1070,'Calendar ID'!$A:$C,2,false)</f>
        <v>c_3049f29ec7ef21ab890fb708cade8a20fa94574faa4b9a9f528d8a665fbc6262@group.calendar.google.com</v>
      </c>
    </row>
    <row r="1071" hidden="1">
      <c r="A1071" s="16" t="s">
        <v>468</v>
      </c>
      <c r="B1071" s="17">
        <v>45734.0</v>
      </c>
      <c r="C1071" s="16" t="s">
        <v>630</v>
      </c>
      <c r="D1071" s="16" t="s">
        <v>878</v>
      </c>
      <c r="E1071" s="17"/>
      <c r="F1071" s="94">
        <v>45741.0</v>
      </c>
      <c r="G1071" s="28">
        <v>45753.0</v>
      </c>
      <c r="H1071" s="10" t="s">
        <v>31</v>
      </c>
      <c r="J1071" s="16" t="s">
        <v>43</v>
      </c>
      <c r="K1071" s="16" t="s">
        <v>33</v>
      </c>
      <c r="L1071" s="31" t="s">
        <v>56</v>
      </c>
      <c r="N1071" s="16"/>
      <c r="O1071" s="16"/>
      <c r="P1071" s="23"/>
      <c r="Q1071" s="17">
        <f t="shared" si="107"/>
        <v>45734</v>
      </c>
      <c r="R1071" s="15"/>
      <c r="S1071" s="20"/>
      <c r="T1071" s="68" t="str">
        <f>VLOOKUP(A1071,'Calendar ID'!$A:$C,3,false)</f>
        <v>nidal.daghmi.pro@gmail.com </v>
      </c>
      <c r="U1071" s="71" t="b">
        <v>0</v>
      </c>
      <c r="V1071" s="68" t="str">
        <f>VLOOKUP($A1071,'Calendar ID'!$A:$C,2,false)</f>
        <v>c_3049f29ec7ef21ab890fb708cade8a20fa94574faa4b9a9f528d8a665fbc6262@group.calendar.google.com</v>
      </c>
      <c r="W1071" s="69" t="b">
        <v>1</v>
      </c>
      <c r="X1071" s="70" t="s">
        <v>82</v>
      </c>
    </row>
    <row r="1072" hidden="1">
      <c r="A1072" s="7" t="s">
        <v>468</v>
      </c>
      <c r="B1072" s="17">
        <v>45762.0</v>
      </c>
      <c r="C1072" s="10" t="s">
        <v>624</v>
      </c>
      <c r="E1072" s="17"/>
      <c r="F1072" s="17"/>
      <c r="G1072" s="38">
        <v>45782.0</v>
      </c>
      <c r="H1072" s="10" t="s">
        <v>31</v>
      </c>
      <c r="J1072" s="16" t="s">
        <v>593</v>
      </c>
      <c r="K1072" s="16" t="s">
        <v>33</v>
      </c>
      <c r="L1072" s="31"/>
      <c r="N1072" s="55" t="s">
        <v>1021</v>
      </c>
      <c r="O1072" s="16"/>
      <c r="P1072" s="23"/>
      <c r="Q1072" s="17">
        <f t="shared" si="107"/>
        <v>45762</v>
      </c>
      <c r="R1072" s="15"/>
      <c r="S1072" s="20"/>
      <c r="T1072" s="68"/>
      <c r="U1072" s="77"/>
      <c r="V1072" s="68"/>
      <c r="W1072" s="71"/>
      <c r="X1072" s="20"/>
    </row>
    <row r="1073" hidden="1">
      <c r="A1073" s="16" t="s">
        <v>213</v>
      </c>
      <c r="B1073" s="82">
        <v>45576.0</v>
      </c>
      <c r="C1073" s="16" t="s">
        <v>1022</v>
      </c>
      <c r="E1073" s="17"/>
      <c r="G1073" s="17"/>
      <c r="H1073" s="10" t="s">
        <v>31</v>
      </c>
      <c r="J1073" s="16" t="s">
        <v>266</v>
      </c>
      <c r="K1073" s="23" t="s">
        <v>33</v>
      </c>
      <c r="L1073" s="31" t="s">
        <v>56</v>
      </c>
      <c r="N1073" s="16"/>
      <c r="O1073" s="16"/>
      <c r="P1073" s="16"/>
      <c r="Q1073" s="17">
        <f t="shared" si="107"/>
        <v>45576</v>
      </c>
      <c r="S1073" s="20"/>
      <c r="T1073" s="68" t="str">
        <f>VLOOKUP(A1073,'Calendar ID'!$A:$C,3,false)</f>
        <v>anaiswry@yahoo.fr</v>
      </c>
      <c r="U1073" s="78" t="b">
        <v>0</v>
      </c>
      <c r="V1073" s="68" t="str">
        <f>VLOOKUP($A1073,'Calendar ID'!$A:$C,2,false)</f>
        <v>c_2754856c5047affc6767bb85fb787591389bf7d14d3afd368efdff9979492ab5@group.calendar.google.com</v>
      </c>
      <c r="W1073" s="71" t="b">
        <v>0</v>
      </c>
      <c r="X1073" s="68" t="str">
        <f>VLOOKUP($A1073,'Calendar ID'!$A:$C,2,false)</f>
        <v>c_2754856c5047affc6767bb85fb787591389bf7d14d3afd368efdff9979492ab5@group.calendar.google.com</v>
      </c>
    </row>
    <row r="1074" hidden="1">
      <c r="A1074" s="16" t="s">
        <v>76</v>
      </c>
      <c r="B1074" s="17">
        <v>45425.0</v>
      </c>
      <c r="C1074" s="16" t="s">
        <v>651</v>
      </c>
      <c r="E1074" s="17"/>
      <c r="G1074" s="139">
        <v>45448.0</v>
      </c>
      <c r="H1074" s="16" t="s">
        <v>31</v>
      </c>
      <c r="I1074" s="16" t="s">
        <v>670</v>
      </c>
      <c r="J1074" s="16" t="s">
        <v>659</v>
      </c>
      <c r="K1074" s="16" t="s">
        <v>33</v>
      </c>
      <c r="L1074" s="31" t="s">
        <v>56</v>
      </c>
      <c r="N1074" s="55" t="s">
        <v>1023</v>
      </c>
      <c r="O1074" s="16"/>
      <c r="P1074" s="16"/>
      <c r="Q1074" s="17">
        <f t="shared" si="107"/>
        <v>45425</v>
      </c>
      <c r="S1074" s="20"/>
      <c r="T1074" s="20"/>
      <c r="U1074" s="20"/>
      <c r="V1074" s="20"/>
      <c r="W1074" s="20"/>
      <c r="X1074" s="20"/>
      <c r="Y1074" s="20"/>
      <c r="Z1074" s="20"/>
      <c r="AA1074" s="20"/>
      <c r="AB1074" s="20"/>
      <c r="AC1074" s="20"/>
    </row>
    <row r="1075" hidden="1">
      <c r="A1075" s="16" t="s">
        <v>76</v>
      </c>
      <c r="B1075" s="17">
        <v>45423.0</v>
      </c>
      <c r="C1075" s="16" t="s">
        <v>52</v>
      </c>
      <c r="E1075" s="17"/>
      <c r="F1075" s="48">
        <v>45444.0</v>
      </c>
      <c r="G1075" s="139">
        <v>45451.0</v>
      </c>
      <c r="H1075" s="16" t="s">
        <v>31</v>
      </c>
      <c r="J1075" s="16" t="s">
        <v>83</v>
      </c>
      <c r="K1075" s="16" t="s">
        <v>33</v>
      </c>
      <c r="L1075" s="31">
        <v>300.0</v>
      </c>
      <c r="N1075" s="16"/>
      <c r="O1075" s="16"/>
      <c r="P1075" s="16" t="s">
        <v>34</v>
      </c>
      <c r="Q1075" s="17">
        <f t="shared" si="107"/>
        <v>45423</v>
      </c>
      <c r="R1075" s="18">
        <f>L1075*0.3</f>
        <v>90</v>
      </c>
      <c r="S1075" s="19" t="b">
        <v>1</v>
      </c>
      <c r="T1075" s="20"/>
      <c r="U1075" s="20"/>
      <c r="V1075" s="20"/>
      <c r="W1075" s="20"/>
      <c r="X1075" s="20"/>
      <c r="Y1075" s="16"/>
      <c r="Z1075" s="16"/>
      <c r="AA1075" s="16"/>
      <c r="AB1075" s="16"/>
      <c r="AC1075" s="16"/>
    </row>
    <row r="1076" hidden="1">
      <c r="A1076" s="16" t="s">
        <v>76</v>
      </c>
      <c r="B1076" s="17">
        <v>45429.0</v>
      </c>
      <c r="C1076" s="29" t="s">
        <v>626</v>
      </c>
      <c r="E1076" s="17"/>
      <c r="F1076" s="52">
        <v>45454.0</v>
      </c>
      <c r="G1076" s="52">
        <v>45454.0</v>
      </c>
      <c r="H1076" s="16" t="s">
        <v>31</v>
      </c>
      <c r="I1076" s="16" t="s">
        <v>1024</v>
      </c>
      <c r="J1076" s="16" t="s">
        <v>859</v>
      </c>
      <c r="K1076" s="23" t="s">
        <v>33</v>
      </c>
      <c r="L1076" s="31" t="s">
        <v>56</v>
      </c>
      <c r="N1076" s="16"/>
      <c r="O1076" s="16"/>
      <c r="P1076" s="16"/>
      <c r="Q1076" s="17">
        <f t="shared" si="107"/>
        <v>45429</v>
      </c>
      <c r="S1076" s="20"/>
      <c r="T1076" s="20" t="str">
        <f>VLOOKUP(A1076,'Calendar ID'!$A$2:$C$15,3)</f>
        <v>orane.baron1403@gmail.com</v>
      </c>
      <c r="U1076" s="19" t="b">
        <v>0</v>
      </c>
      <c r="V1076" s="20" t="str">
        <f>VLOOKUP($A1076,'Calendar ID'!$A$2:$C$16,2,false)</f>
        <v>c_b9aea0629908ddbafe7229688ea55dc9d65b9e6b1a8ed4492c7ca84aa703d076@group.calendar.google.com</v>
      </c>
      <c r="W1076" s="19" t="b">
        <v>0</v>
      </c>
      <c r="X1076" s="20" t="str">
        <f>VLOOKUP($A1076,'Calendar ID'!$A$2:$C$16,2,false)</f>
        <v>c_b9aea0629908ddbafe7229688ea55dc9d65b9e6b1a8ed4492c7ca84aa703d076@group.calendar.google.com</v>
      </c>
      <c r="Y1076" s="20"/>
      <c r="Z1076" s="20"/>
      <c r="AA1076" s="20"/>
      <c r="AB1076" s="20"/>
      <c r="AC1076" s="20"/>
    </row>
    <row r="1077" hidden="1">
      <c r="A1077" s="23" t="s">
        <v>76</v>
      </c>
      <c r="B1077" s="17">
        <v>45463.0</v>
      </c>
      <c r="C1077" s="16" t="s">
        <v>888</v>
      </c>
      <c r="E1077" s="17"/>
      <c r="F1077" s="58">
        <v>45467.0</v>
      </c>
      <c r="G1077" s="61">
        <v>45480.0</v>
      </c>
      <c r="H1077" s="16" t="s">
        <v>31</v>
      </c>
      <c r="J1077" s="16" t="s">
        <v>682</v>
      </c>
      <c r="K1077" s="16" t="s">
        <v>33</v>
      </c>
      <c r="L1077" s="31" t="s">
        <v>56</v>
      </c>
      <c r="N1077" s="192" t="s">
        <v>1025</v>
      </c>
      <c r="O1077" s="16"/>
      <c r="P1077" s="16"/>
      <c r="Q1077" s="17">
        <f t="shared" si="107"/>
        <v>45463</v>
      </c>
      <c r="S1077" s="20"/>
      <c r="T1077" s="20" t="str">
        <f>VLOOKUP(A1077,'Calendar ID'!$A:$C,3,false)</f>
        <v>orane.baron1403@gmail.com</v>
      </c>
      <c r="U1077" s="20" t="b">
        <v>0</v>
      </c>
      <c r="V1077" s="20" t="str">
        <f>VLOOKUP($A1077,'Calendar ID'!$A:$C,2,false)</f>
        <v>c_b9aea0629908ddbafe7229688ea55dc9d65b9e6b1a8ed4492c7ca84aa703d076@group.calendar.google.com</v>
      </c>
      <c r="W1077" s="19" t="b">
        <v>1</v>
      </c>
      <c r="X1077" s="19" t="s">
        <v>82</v>
      </c>
      <c r="Y1077" s="20"/>
      <c r="Z1077" s="20"/>
      <c r="AA1077" s="20"/>
      <c r="AB1077" s="20"/>
      <c r="AC1077" s="20"/>
    </row>
    <row r="1078" hidden="1">
      <c r="A1078" s="10" t="s">
        <v>76</v>
      </c>
      <c r="B1078" s="17">
        <v>45463.0</v>
      </c>
      <c r="C1078" s="16" t="s">
        <v>888</v>
      </c>
      <c r="E1078" s="17"/>
      <c r="F1078" s="58">
        <v>45467.0</v>
      </c>
      <c r="G1078" s="73">
        <v>45514.0</v>
      </c>
      <c r="H1078" s="16" t="s">
        <v>31</v>
      </c>
      <c r="J1078" s="16" t="s">
        <v>682</v>
      </c>
      <c r="K1078" s="16" t="s">
        <v>33</v>
      </c>
      <c r="L1078" s="31" t="s">
        <v>56</v>
      </c>
      <c r="N1078" s="16"/>
      <c r="O1078" s="16"/>
      <c r="P1078" s="16"/>
      <c r="Q1078" s="17">
        <f t="shared" si="107"/>
        <v>45463</v>
      </c>
      <c r="S1078" s="20"/>
      <c r="T1078" s="20" t="str">
        <f>VLOOKUP(A1078,'Calendar ID'!$A:$C,3,false)</f>
        <v>orane.baron1403@gmail.com</v>
      </c>
      <c r="U1078" s="20" t="b">
        <v>0</v>
      </c>
      <c r="V1078" s="20" t="str">
        <f>VLOOKUP($A1078,'Calendar ID'!$A:$C,2,false)</f>
        <v>c_b9aea0629908ddbafe7229688ea55dc9d65b9e6b1a8ed4492c7ca84aa703d076@group.calendar.google.com</v>
      </c>
      <c r="W1078" s="19" t="b">
        <v>1</v>
      </c>
      <c r="X1078" s="19" t="s">
        <v>82</v>
      </c>
      <c r="Y1078" s="20"/>
      <c r="Z1078" s="20"/>
      <c r="AA1078" s="20"/>
      <c r="AB1078" s="20"/>
      <c r="AC1078" s="20"/>
    </row>
    <row r="1079" hidden="1">
      <c r="A1079" s="16" t="s">
        <v>76</v>
      </c>
      <c r="B1079" s="17">
        <v>45497.0</v>
      </c>
      <c r="C1079" s="10" t="s">
        <v>816</v>
      </c>
      <c r="E1079" s="17"/>
      <c r="G1079" s="73">
        <v>45515.0</v>
      </c>
      <c r="H1079" s="10" t="s">
        <v>31</v>
      </c>
      <c r="J1079" s="16" t="s">
        <v>97</v>
      </c>
      <c r="K1079" s="23" t="s">
        <v>33</v>
      </c>
      <c r="L1079" s="31" t="s">
        <v>56</v>
      </c>
      <c r="N1079" s="65" t="s">
        <v>1026</v>
      </c>
      <c r="O1079" s="16"/>
      <c r="P1079" s="16"/>
      <c r="Q1079" s="17">
        <f t="shared" si="107"/>
        <v>45497</v>
      </c>
      <c r="S1079" s="20"/>
      <c r="T1079" s="68" t="str">
        <f>VLOOKUP(A1079,'Calendar ID'!$A:$C,3,false)</f>
        <v>orane.baron1403@gmail.com</v>
      </c>
      <c r="U1079" s="71" t="b">
        <v>0</v>
      </c>
      <c r="V1079" s="68" t="str">
        <f>VLOOKUP($A1079,'Calendar ID'!$A:$C,2,false)</f>
        <v>c_b9aea0629908ddbafe7229688ea55dc9d65b9e6b1a8ed4492c7ca84aa703d076@group.calendar.google.com</v>
      </c>
      <c r="W1079" s="69" t="b">
        <v>1</v>
      </c>
      <c r="X1079" s="70" t="s">
        <v>82</v>
      </c>
      <c r="Y1079" s="20"/>
      <c r="Z1079" s="20"/>
      <c r="AA1079" s="20"/>
      <c r="AB1079" s="20"/>
      <c r="AC1079" s="20"/>
    </row>
    <row r="1080" hidden="1">
      <c r="A1080" s="16" t="s">
        <v>76</v>
      </c>
      <c r="B1080" s="17">
        <v>45503.0</v>
      </c>
      <c r="C1080" s="16" t="s">
        <v>690</v>
      </c>
      <c r="E1080" s="17"/>
      <c r="G1080" s="17">
        <v>45522.0</v>
      </c>
      <c r="H1080" s="10" t="s">
        <v>31</v>
      </c>
      <c r="I1080" s="16" t="s">
        <v>158</v>
      </c>
      <c r="J1080" s="16" t="s">
        <v>97</v>
      </c>
      <c r="K1080" s="23" t="s">
        <v>33</v>
      </c>
      <c r="L1080" s="31" t="s">
        <v>56</v>
      </c>
      <c r="N1080" s="55" t="s">
        <v>1027</v>
      </c>
      <c r="O1080" s="16"/>
      <c r="P1080" s="16"/>
      <c r="Q1080" s="17">
        <f t="shared" si="107"/>
        <v>45503</v>
      </c>
      <c r="S1080" s="20"/>
      <c r="T1080" s="68" t="str">
        <f>VLOOKUP(A1080,'Calendar ID'!$A:$C,3,false)</f>
        <v>orane.baron1403@gmail.com</v>
      </c>
      <c r="U1080" s="71" t="b">
        <v>0</v>
      </c>
      <c r="V1080" s="68" t="str">
        <f>VLOOKUP($A1080,'Calendar ID'!$A:$C,2,false)</f>
        <v>c_b9aea0629908ddbafe7229688ea55dc9d65b9e6b1a8ed4492c7ca84aa703d076@group.calendar.google.com</v>
      </c>
      <c r="W1080" s="69" t="b">
        <v>0</v>
      </c>
      <c r="X1080" s="68" t="str">
        <f>VLOOKUP($A1080,'Calendar ID'!$A:$C,2,false)</f>
        <v>c_b9aea0629908ddbafe7229688ea55dc9d65b9e6b1a8ed4492c7ca84aa703d076@group.calendar.google.com</v>
      </c>
      <c r="Y1080" s="20"/>
      <c r="Z1080" s="20"/>
      <c r="AA1080" s="20"/>
      <c r="AB1080" s="20"/>
      <c r="AC1080" s="20"/>
    </row>
    <row r="1081" hidden="1">
      <c r="A1081" s="16" t="s">
        <v>76</v>
      </c>
      <c r="B1081" s="17">
        <v>45530.0</v>
      </c>
      <c r="C1081" s="16" t="s">
        <v>819</v>
      </c>
      <c r="D1081" s="16" t="s">
        <v>641</v>
      </c>
      <c r="E1081" s="17"/>
      <c r="F1081" s="17">
        <v>45533.0</v>
      </c>
      <c r="G1081" s="17">
        <v>45554.0</v>
      </c>
      <c r="H1081" s="10" t="s">
        <v>31</v>
      </c>
      <c r="J1081" s="16" t="s">
        <v>43</v>
      </c>
      <c r="K1081" s="23" t="s">
        <v>33</v>
      </c>
      <c r="L1081" s="31" t="s">
        <v>56</v>
      </c>
      <c r="N1081" s="65" t="s">
        <v>1028</v>
      </c>
      <c r="O1081" s="16"/>
      <c r="P1081" s="16"/>
      <c r="Q1081" s="17">
        <f t="shared" si="107"/>
        <v>45530</v>
      </c>
      <c r="S1081" s="20"/>
      <c r="T1081" s="68" t="str">
        <f>VLOOKUP(A1081,'Calendar ID'!$A:$C,3,false)</f>
        <v>orane.baron1403@gmail.com</v>
      </c>
      <c r="U1081" s="78" t="b">
        <v>0</v>
      </c>
      <c r="V1081" s="68" t="str">
        <f>VLOOKUP($A1081,'Calendar ID'!$A:$C,2,false)</f>
        <v>c_b9aea0629908ddbafe7229688ea55dc9d65b9e6b1a8ed4492c7ca84aa703d076@group.calendar.google.com</v>
      </c>
      <c r="W1081" s="69" t="b">
        <v>1</v>
      </c>
      <c r="X1081" s="70" t="s">
        <v>82</v>
      </c>
    </row>
    <row r="1082" hidden="1">
      <c r="A1082" s="16" t="s">
        <v>76</v>
      </c>
      <c r="B1082" s="17">
        <v>45560.0</v>
      </c>
      <c r="C1082" s="16" t="s">
        <v>806</v>
      </c>
      <c r="D1082" s="16" t="s">
        <v>844</v>
      </c>
      <c r="E1082" s="17"/>
      <c r="F1082" s="17">
        <v>45560.0</v>
      </c>
      <c r="G1082" s="17">
        <v>45575.0</v>
      </c>
      <c r="H1082" s="10" t="s">
        <v>31</v>
      </c>
      <c r="J1082" s="16" t="s">
        <v>266</v>
      </c>
      <c r="K1082" s="23" t="s">
        <v>33</v>
      </c>
      <c r="L1082" s="31" t="s">
        <v>56</v>
      </c>
      <c r="N1082" s="65" t="s">
        <v>1029</v>
      </c>
      <c r="O1082" s="16"/>
      <c r="P1082" s="16"/>
      <c r="Q1082" s="17">
        <f t="shared" si="107"/>
        <v>45560</v>
      </c>
      <c r="S1082" s="20"/>
      <c r="T1082" s="68" t="str">
        <f>VLOOKUP(A1082,'Calendar ID'!$A:$C,3,false)</f>
        <v>orane.baron1403@gmail.com</v>
      </c>
      <c r="U1082" s="78" t="b">
        <v>0</v>
      </c>
      <c r="V1082" s="68" t="str">
        <f>VLOOKUP($A1082,'Calendar ID'!$A:$C,2,false)</f>
        <v>c_b9aea0629908ddbafe7229688ea55dc9d65b9e6b1a8ed4492c7ca84aa703d076@group.calendar.google.com</v>
      </c>
      <c r="W1082" s="69" t="b">
        <v>1</v>
      </c>
      <c r="X1082" s="70" t="s">
        <v>82</v>
      </c>
    </row>
    <row r="1083" hidden="1">
      <c r="A1083" s="16" t="s">
        <v>76</v>
      </c>
      <c r="B1083" s="17">
        <v>45565.0</v>
      </c>
      <c r="C1083" s="16" t="s">
        <v>630</v>
      </c>
      <c r="D1083" s="16" t="s">
        <v>704</v>
      </c>
      <c r="E1083" s="17"/>
      <c r="F1083" s="17">
        <v>45566.0</v>
      </c>
      <c r="G1083" s="17">
        <v>45587.0</v>
      </c>
      <c r="H1083" s="10" t="s">
        <v>31</v>
      </c>
      <c r="J1083" s="16" t="s">
        <v>43</v>
      </c>
      <c r="K1083" s="23" t="s">
        <v>33</v>
      </c>
      <c r="L1083" s="31" t="s">
        <v>56</v>
      </c>
      <c r="N1083" s="65" t="s">
        <v>1030</v>
      </c>
      <c r="O1083" s="16"/>
      <c r="P1083" s="16"/>
      <c r="Q1083" s="17">
        <f t="shared" si="107"/>
        <v>45565</v>
      </c>
      <c r="S1083" s="20"/>
      <c r="T1083" s="68" t="str">
        <f>VLOOKUP(A1083,'Calendar ID'!$A:$C,3,false)</f>
        <v>orane.baron1403@gmail.com</v>
      </c>
      <c r="U1083" s="78" t="b">
        <v>0</v>
      </c>
      <c r="V1083" s="68" t="str">
        <f>VLOOKUP($A1083,'Calendar ID'!$A:$C,2,false)</f>
        <v>c_b9aea0629908ddbafe7229688ea55dc9d65b9e6b1a8ed4492c7ca84aa703d076@group.calendar.google.com</v>
      </c>
      <c r="W1083" s="69" t="b">
        <v>1</v>
      </c>
      <c r="X1083" s="70" t="s">
        <v>82</v>
      </c>
    </row>
    <row r="1084" hidden="1">
      <c r="A1084" s="16" t="s">
        <v>76</v>
      </c>
      <c r="B1084" s="17">
        <v>45622.0</v>
      </c>
      <c r="C1084" s="16" t="s">
        <v>116</v>
      </c>
      <c r="E1084" s="17"/>
      <c r="F1084" s="17">
        <v>45629.0</v>
      </c>
      <c r="G1084" s="17">
        <v>45646.0</v>
      </c>
      <c r="H1084" s="10" t="s">
        <v>31</v>
      </c>
      <c r="J1084" s="16" t="s">
        <v>97</v>
      </c>
      <c r="K1084" s="23" t="s">
        <v>33</v>
      </c>
      <c r="L1084" s="31" t="s">
        <v>56</v>
      </c>
      <c r="N1084" s="16"/>
      <c r="O1084" s="16"/>
      <c r="P1084" s="16"/>
      <c r="Q1084" s="17">
        <f t="shared" si="107"/>
        <v>45622</v>
      </c>
      <c r="S1084" s="20"/>
      <c r="T1084" s="68" t="str">
        <f>VLOOKUP(A1084,'Calendar ID'!$A:$C,3,false)</f>
        <v>orane.baron1403@gmail.com</v>
      </c>
      <c r="U1084" s="77" t="b">
        <v>0</v>
      </c>
      <c r="V1084" s="68" t="str">
        <f>VLOOKUP($A1084,'Calendar ID'!$A:$C,2,false)</f>
        <v>c_b9aea0629908ddbafe7229688ea55dc9d65b9e6b1a8ed4492c7ca84aa703d076@group.calendar.google.com</v>
      </c>
      <c r="W1084" s="77" t="b">
        <v>1</v>
      </c>
      <c r="X1084" s="70" t="s">
        <v>82</v>
      </c>
    </row>
    <row r="1085" hidden="1">
      <c r="A1085" s="16" t="s">
        <v>76</v>
      </c>
      <c r="B1085" s="17">
        <v>45306.0</v>
      </c>
      <c r="C1085" s="16" t="s">
        <v>634</v>
      </c>
      <c r="E1085" s="17"/>
      <c r="F1085" s="97">
        <v>45681.0</v>
      </c>
      <c r="G1085" s="107">
        <v>45704.0</v>
      </c>
      <c r="H1085" s="10" t="s">
        <v>31</v>
      </c>
      <c r="J1085" s="16" t="s">
        <v>43</v>
      </c>
      <c r="K1085" s="23" t="s">
        <v>33</v>
      </c>
      <c r="L1085" s="31" t="s">
        <v>56</v>
      </c>
      <c r="N1085" s="16"/>
      <c r="O1085" s="16"/>
      <c r="P1085" s="16"/>
      <c r="Q1085" s="17">
        <f t="shared" si="107"/>
        <v>45306</v>
      </c>
      <c r="S1085" s="20"/>
      <c r="T1085" s="68" t="str">
        <f>VLOOKUP(A1085,'Calendar ID'!$A:$C,3,false)</f>
        <v>orane.baron1403@gmail.com</v>
      </c>
      <c r="U1085" s="69" t="b">
        <v>0</v>
      </c>
      <c r="V1085" s="68" t="str">
        <f>VLOOKUP($A1085,'Calendar ID'!$A:$C,2,false)</f>
        <v>c_b9aea0629908ddbafe7229688ea55dc9d65b9e6b1a8ed4492c7ca84aa703d076@group.calendar.google.com</v>
      </c>
      <c r="W1085" s="69" t="b">
        <v>1</v>
      </c>
      <c r="X1085" s="70" t="s">
        <v>82</v>
      </c>
    </row>
    <row r="1086" hidden="1">
      <c r="A1086" s="16" t="s">
        <v>76</v>
      </c>
      <c r="B1086" s="17">
        <v>45680.0</v>
      </c>
      <c r="C1086" s="16" t="s">
        <v>717</v>
      </c>
      <c r="E1086" s="17"/>
      <c r="F1086" s="105">
        <v>45684.0</v>
      </c>
      <c r="G1086" s="107">
        <v>45705.0</v>
      </c>
      <c r="H1086" s="10" t="s">
        <v>31</v>
      </c>
      <c r="J1086" s="16" t="s">
        <v>97</v>
      </c>
      <c r="K1086" s="23" t="s">
        <v>33</v>
      </c>
      <c r="L1086" s="31" t="s">
        <v>676</v>
      </c>
      <c r="N1086" s="16"/>
      <c r="O1086" s="16"/>
      <c r="P1086" s="16"/>
      <c r="Q1086" s="17">
        <f t="shared" si="107"/>
        <v>45680</v>
      </c>
      <c r="S1086" s="20"/>
      <c r="T1086" s="68" t="str">
        <f>VLOOKUP(A1086,'Calendar ID'!$A:$C,3,false)</f>
        <v>orane.baron1403@gmail.com</v>
      </c>
      <c r="U1086" s="71" t="b">
        <v>0</v>
      </c>
      <c r="V1086" s="68" t="str">
        <f>VLOOKUP($A1086,'Calendar ID'!$A:$C,2,false)</f>
        <v>c_b9aea0629908ddbafe7229688ea55dc9d65b9e6b1a8ed4492c7ca84aa703d076@group.calendar.google.com</v>
      </c>
      <c r="W1086" s="69" t="b">
        <v>1</v>
      </c>
      <c r="X1086" s="70" t="s">
        <v>82</v>
      </c>
    </row>
    <row r="1087" hidden="1">
      <c r="A1087" s="160" t="s">
        <v>76</v>
      </c>
      <c r="B1087" s="17">
        <v>45711.0</v>
      </c>
      <c r="C1087" s="16" t="s">
        <v>640</v>
      </c>
      <c r="E1087" s="17"/>
      <c r="F1087" s="107">
        <v>45715.0</v>
      </c>
      <c r="G1087" s="122">
        <v>45736.0</v>
      </c>
      <c r="H1087" s="10" t="s">
        <v>31</v>
      </c>
      <c r="J1087" s="16" t="s">
        <v>641</v>
      </c>
      <c r="K1087" s="16" t="s">
        <v>33</v>
      </c>
      <c r="L1087" s="31" t="s">
        <v>56</v>
      </c>
      <c r="N1087" s="65" t="s">
        <v>1031</v>
      </c>
      <c r="O1087" s="16"/>
      <c r="P1087" s="16"/>
      <c r="Q1087" s="17">
        <f t="shared" si="107"/>
        <v>45711</v>
      </c>
      <c r="S1087" s="20"/>
      <c r="T1087" s="68" t="str">
        <f>VLOOKUP(A1087,'Calendar ID'!$A:$C,3,false)</f>
        <v>orane.baron1403@gmail.com</v>
      </c>
      <c r="U1087" s="71" t="b">
        <v>0</v>
      </c>
      <c r="V1087" s="68" t="str">
        <f>VLOOKUP($A1087,'Calendar ID'!$A:$C,2,false)</f>
        <v>c_b9aea0629908ddbafe7229688ea55dc9d65b9e6b1a8ed4492c7ca84aa703d076@group.calendar.google.com</v>
      </c>
      <c r="W1087" s="69" t="b">
        <v>1</v>
      </c>
      <c r="X1087" s="70" t="s">
        <v>82</v>
      </c>
    </row>
    <row r="1088" hidden="1">
      <c r="A1088" s="23" t="s">
        <v>76</v>
      </c>
      <c r="B1088" s="11">
        <v>45625.0</v>
      </c>
      <c r="C1088" s="23" t="s">
        <v>245</v>
      </c>
      <c r="D1088" s="16" t="s">
        <v>248</v>
      </c>
      <c r="E1088" s="8"/>
      <c r="F1088" s="7"/>
      <c r="G1088" s="26"/>
      <c r="H1088" s="10" t="s">
        <v>31</v>
      </c>
      <c r="I1088" s="7"/>
      <c r="J1088" s="23" t="s">
        <v>43</v>
      </c>
      <c r="K1088" s="23" t="s">
        <v>33</v>
      </c>
      <c r="L1088" s="15">
        <f t="shared" ref="L1088:L1089" si="113">1200/3</f>
        <v>400</v>
      </c>
      <c r="M1088" s="7"/>
      <c r="N1088" s="23"/>
      <c r="O1088" s="23"/>
      <c r="P1088" s="23" t="s">
        <v>34</v>
      </c>
      <c r="Q1088" s="17">
        <f t="shared" si="107"/>
        <v>45625</v>
      </c>
      <c r="R1088" s="15">
        <f t="shared" ref="R1088:R1089" si="114">L1088*0.3</f>
        <v>120</v>
      </c>
      <c r="S1088" s="68"/>
      <c r="T1088" s="68"/>
      <c r="U1088" s="71" t="b">
        <v>0</v>
      </c>
      <c r="V1088" s="68"/>
      <c r="W1088" s="71" t="b">
        <v>0</v>
      </c>
      <c r="X1088" s="68"/>
      <c r="Y1088" s="7"/>
      <c r="Z1088" s="7"/>
      <c r="AA1088" s="7"/>
      <c r="AB1088" s="7"/>
      <c r="AC1088" s="7"/>
    </row>
    <row r="1089" hidden="1">
      <c r="A1089" s="193" t="s">
        <v>76</v>
      </c>
      <c r="B1089" s="11">
        <v>45625.0</v>
      </c>
      <c r="C1089" s="23" t="s">
        <v>245</v>
      </c>
      <c r="D1089" s="16" t="s">
        <v>302</v>
      </c>
      <c r="E1089" s="8"/>
      <c r="F1089" s="7"/>
      <c r="G1089" s="26"/>
      <c r="H1089" s="10" t="s">
        <v>31</v>
      </c>
      <c r="I1089" s="7"/>
      <c r="J1089" s="23" t="s">
        <v>43</v>
      </c>
      <c r="K1089" s="23" t="s">
        <v>33</v>
      </c>
      <c r="L1089" s="15">
        <f t="shared" si="113"/>
        <v>400</v>
      </c>
      <c r="M1089" s="7"/>
      <c r="N1089" s="23"/>
      <c r="O1089" s="23"/>
      <c r="P1089" s="23" t="s">
        <v>34</v>
      </c>
      <c r="Q1089" s="17">
        <f t="shared" si="107"/>
        <v>45625</v>
      </c>
      <c r="R1089" s="15">
        <f t="shared" si="114"/>
        <v>120</v>
      </c>
      <c r="S1089" s="68"/>
      <c r="T1089" s="68" t="str">
        <f>VLOOKUP(A1089,'Calendar ID'!$A:$C,3,false)</f>
        <v>orane.baron1403@gmail.com</v>
      </c>
      <c r="U1089" s="71" t="b">
        <v>0</v>
      </c>
      <c r="V1089" s="68" t="str">
        <f>VLOOKUP($A1089,'Calendar ID'!$A:$C,2,false)</f>
        <v>c_b9aea0629908ddbafe7229688ea55dc9d65b9e6b1a8ed4492c7ca84aa703d076@group.calendar.google.com</v>
      </c>
      <c r="W1089" s="71" t="b">
        <v>0</v>
      </c>
      <c r="X1089" s="68" t="str">
        <f>VLOOKUP($A1089,'Calendar ID'!$A:$C,2,false)</f>
        <v>c_b9aea0629908ddbafe7229688ea55dc9d65b9e6b1a8ed4492c7ca84aa703d076@group.calendar.google.com</v>
      </c>
      <c r="Y1089" s="7"/>
      <c r="Z1089" s="7"/>
      <c r="AA1089" s="7"/>
      <c r="AB1089" s="7"/>
      <c r="AC1089" s="7"/>
    </row>
    <row r="1090" hidden="1">
      <c r="A1090" s="194" t="s">
        <v>76</v>
      </c>
      <c r="B1090" s="17">
        <v>45762.0</v>
      </c>
      <c r="C1090" s="10" t="s">
        <v>624</v>
      </c>
      <c r="E1090" s="17"/>
      <c r="F1090" s="17"/>
      <c r="G1090" s="38">
        <v>45782.0</v>
      </c>
      <c r="H1090" s="10" t="s">
        <v>31</v>
      </c>
      <c r="L1090" s="31"/>
      <c r="N1090" s="65" t="s">
        <v>1032</v>
      </c>
      <c r="O1090" s="16"/>
      <c r="P1090" s="23"/>
      <c r="Q1090" s="17">
        <f t="shared" si="107"/>
        <v>45762</v>
      </c>
      <c r="R1090" s="15"/>
      <c r="S1090" s="20"/>
      <c r="T1090" s="68"/>
      <c r="U1090" s="77"/>
      <c r="V1090" s="68"/>
      <c r="W1090" s="71"/>
      <c r="X1090" s="20"/>
    </row>
    <row r="1091" hidden="1">
      <c r="A1091" s="153" t="s">
        <v>76</v>
      </c>
      <c r="B1091" s="17">
        <v>45408.0</v>
      </c>
      <c r="C1091" s="16" t="s">
        <v>163</v>
      </c>
      <c r="E1091" s="17"/>
      <c r="H1091" s="16" t="s">
        <v>31</v>
      </c>
      <c r="J1091" s="16" t="s">
        <v>43</v>
      </c>
      <c r="K1091" s="16" t="s">
        <v>33</v>
      </c>
      <c r="L1091" s="31" t="s">
        <v>56</v>
      </c>
      <c r="N1091" s="16"/>
      <c r="O1091" s="16"/>
      <c r="P1091" s="16"/>
      <c r="Q1091" s="17">
        <f t="shared" si="107"/>
        <v>45408</v>
      </c>
      <c r="S1091" s="20"/>
      <c r="T1091" s="20" t="str">
        <f>VLOOKUP(A1091,'Calendar ID'!$A$2:$C$15,3)</f>
        <v>orane.baron1403@gmail.com</v>
      </c>
      <c r="U1091" s="20" t="b">
        <v>0</v>
      </c>
      <c r="V1091" s="20" t="str">
        <f>VLOOKUP(A1091,'Calendar ID'!$A$2:$C$15,2)</f>
        <v>c_b9aea0629908ddbafe7229688ea55dc9d65b9e6b1a8ed4492c7ca84aa703d076@group.calendar.google.com</v>
      </c>
      <c r="W1091" s="19" t="b">
        <v>0</v>
      </c>
      <c r="X1091" s="20" t="str">
        <f>VLOOKUP(A1091,'Calendar ID'!$A$2:$C$15,2)</f>
        <v>c_b9aea0629908ddbafe7229688ea55dc9d65b9e6b1a8ed4492c7ca84aa703d076@group.calendar.google.com</v>
      </c>
      <c r="Y1091" s="20"/>
      <c r="Z1091" s="20"/>
      <c r="AA1091" s="20"/>
      <c r="AB1091" s="20"/>
      <c r="AC1091" s="20"/>
    </row>
    <row r="1092" hidden="1">
      <c r="A1092" s="195" t="s">
        <v>76</v>
      </c>
      <c r="B1092" s="17">
        <v>45426.0</v>
      </c>
      <c r="C1092" s="16" t="s">
        <v>67</v>
      </c>
      <c r="E1092" s="17"/>
      <c r="H1092" s="16" t="s">
        <v>31</v>
      </c>
      <c r="J1092" s="16" t="s">
        <v>859</v>
      </c>
      <c r="K1092" s="16" t="s">
        <v>33</v>
      </c>
      <c r="L1092" s="31" t="s">
        <v>56</v>
      </c>
      <c r="N1092" s="16"/>
      <c r="O1092" s="16"/>
      <c r="P1092" s="16"/>
      <c r="Q1092" s="17">
        <f t="shared" si="107"/>
        <v>45426</v>
      </c>
      <c r="S1092" s="20"/>
      <c r="T1092" s="20"/>
      <c r="U1092" s="20"/>
      <c r="V1092" s="20"/>
      <c r="W1092" s="20"/>
      <c r="X1092" s="20"/>
      <c r="Y1092" s="20"/>
      <c r="Z1092" s="20"/>
      <c r="AA1092" s="20"/>
      <c r="AB1092" s="20"/>
      <c r="AC1092" s="20"/>
    </row>
    <row r="1093" hidden="1">
      <c r="A1093" s="153" t="s">
        <v>76</v>
      </c>
      <c r="B1093" s="17">
        <v>45433.0</v>
      </c>
      <c r="C1093" s="16" t="s">
        <v>410</v>
      </c>
      <c r="D1093" s="16" t="s">
        <v>802</v>
      </c>
      <c r="E1093" s="17"/>
      <c r="G1093" s="17"/>
      <c r="H1093" s="16" t="s">
        <v>31</v>
      </c>
      <c r="J1093" s="16" t="s">
        <v>97</v>
      </c>
      <c r="K1093" s="16" t="s">
        <v>33</v>
      </c>
      <c r="L1093" s="31" t="s">
        <v>56</v>
      </c>
      <c r="N1093" s="55" t="s">
        <v>1033</v>
      </c>
      <c r="O1093" s="16"/>
      <c r="P1093" s="16"/>
      <c r="Q1093" s="17">
        <f t="shared" si="107"/>
        <v>45433</v>
      </c>
      <c r="S1093" s="20"/>
      <c r="T1093" s="20"/>
      <c r="U1093" s="20"/>
      <c r="V1093" s="20"/>
      <c r="W1093" s="20"/>
      <c r="X1093" s="20"/>
      <c r="Y1093" s="20"/>
      <c r="Z1093" s="20"/>
      <c r="AA1093" s="20"/>
      <c r="AB1093" s="20"/>
      <c r="AC1093" s="20"/>
    </row>
    <row r="1094" hidden="1">
      <c r="A1094" s="195" t="s">
        <v>76</v>
      </c>
      <c r="B1094" s="11">
        <v>45511.0</v>
      </c>
      <c r="C1094" s="16" t="s">
        <v>724</v>
      </c>
      <c r="E1094" s="17"/>
      <c r="G1094" s="17"/>
      <c r="H1094" s="10" t="s">
        <v>31</v>
      </c>
      <c r="J1094" s="16" t="s">
        <v>97</v>
      </c>
      <c r="K1094" s="23" t="s">
        <v>33</v>
      </c>
      <c r="L1094" s="31" t="s">
        <v>56</v>
      </c>
      <c r="N1094" s="65" t="s">
        <v>1034</v>
      </c>
      <c r="O1094" s="16"/>
      <c r="P1094" s="16"/>
      <c r="Q1094" s="17">
        <f t="shared" si="107"/>
        <v>45511</v>
      </c>
      <c r="S1094" s="20"/>
      <c r="T1094" s="68" t="str">
        <f>VLOOKUP(A1094,'Calendar ID'!$A:$C,3,false)</f>
        <v>orane.baron1403@gmail.com</v>
      </c>
      <c r="U1094" s="78" t="b">
        <v>0</v>
      </c>
      <c r="V1094" s="68" t="str">
        <f>VLOOKUP($A1094,'Calendar ID'!$A:$C,2,false)</f>
        <v>c_b9aea0629908ddbafe7229688ea55dc9d65b9e6b1a8ed4492c7ca84aa703d076@group.calendar.google.com</v>
      </c>
      <c r="W1094" s="71" t="b">
        <v>0</v>
      </c>
      <c r="X1094" s="68" t="str">
        <f>VLOOKUP($A1094,'Calendar ID'!$A:$C,2,false)</f>
        <v>c_b9aea0629908ddbafe7229688ea55dc9d65b9e6b1a8ed4492c7ca84aa703d076@group.calendar.google.com</v>
      </c>
      <c r="AA1094" s="16" t="s">
        <v>807</v>
      </c>
    </row>
    <row r="1095" hidden="1">
      <c r="A1095" s="153" t="s">
        <v>76</v>
      </c>
      <c r="B1095" s="17">
        <v>45450.0</v>
      </c>
      <c r="C1095" s="16" t="s">
        <v>116</v>
      </c>
      <c r="E1095" s="17"/>
      <c r="G1095" s="17"/>
      <c r="H1095" s="16" t="s">
        <v>31</v>
      </c>
      <c r="J1095" s="16" t="s">
        <v>97</v>
      </c>
      <c r="K1095" s="16" t="s">
        <v>33</v>
      </c>
      <c r="L1095" s="31" t="s">
        <v>56</v>
      </c>
      <c r="N1095" s="16"/>
      <c r="O1095" s="16"/>
      <c r="P1095" s="16"/>
      <c r="Q1095" s="17">
        <f t="shared" si="107"/>
        <v>45450</v>
      </c>
      <c r="S1095" s="20"/>
      <c r="T1095" s="20" t="str">
        <f>VLOOKUP(A1095,'Calendar ID'!$A:$C,3,false)</f>
        <v>orane.baron1403@gmail.com</v>
      </c>
      <c r="U1095" s="20" t="b">
        <v>0</v>
      </c>
      <c r="V1095" s="20" t="str">
        <f>VLOOKUP($A1095,'Calendar ID'!$A:$C,2,false)</f>
        <v>c_b9aea0629908ddbafe7229688ea55dc9d65b9e6b1a8ed4492c7ca84aa703d076@group.calendar.google.com</v>
      </c>
      <c r="W1095" s="19" t="b">
        <v>0</v>
      </c>
      <c r="X1095" s="20" t="str">
        <f>VLOOKUP($A1095,'Calendar ID'!$A:$C,2,false)</f>
        <v>c_b9aea0629908ddbafe7229688ea55dc9d65b9e6b1a8ed4492c7ca84aa703d076@group.calendar.google.com</v>
      </c>
      <c r="Y1095" s="20"/>
      <c r="Z1095" s="20"/>
      <c r="AA1095" s="20"/>
      <c r="AB1095" s="20"/>
      <c r="AC1095" s="20"/>
    </row>
    <row r="1096" hidden="1">
      <c r="A1096" s="196" t="s">
        <v>76</v>
      </c>
      <c r="B1096" s="11">
        <v>45511.0</v>
      </c>
      <c r="C1096" s="16" t="s">
        <v>140</v>
      </c>
      <c r="E1096" s="17"/>
      <c r="G1096" s="17"/>
      <c r="H1096" s="10" t="s">
        <v>31</v>
      </c>
      <c r="I1096" s="16" t="s">
        <v>775</v>
      </c>
      <c r="J1096" s="16" t="s">
        <v>97</v>
      </c>
      <c r="K1096" s="23" t="s">
        <v>33</v>
      </c>
      <c r="L1096" s="31" t="s">
        <v>56</v>
      </c>
      <c r="N1096" s="16"/>
      <c r="O1096" s="16"/>
      <c r="P1096" s="16"/>
      <c r="Q1096" s="17">
        <f t="shared" si="107"/>
        <v>45511</v>
      </c>
      <c r="S1096" s="20"/>
      <c r="T1096" s="68" t="str">
        <f>VLOOKUP(A1096,'Calendar ID'!$A:$C,3,false)</f>
        <v>orane.baron1403@gmail.com</v>
      </c>
      <c r="U1096" s="78" t="b">
        <v>0</v>
      </c>
      <c r="V1096" s="68" t="str">
        <f>VLOOKUP($A1096,'Calendar ID'!$A:$C,2,false)</f>
        <v>c_b9aea0629908ddbafe7229688ea55dc9d65b9e6b1a8ed4492c7ca84aa703d076@group.calendar.google.com</v>
      </c>
      <c r="W1096" s="71" t="b">
        <v>0</v>
      </c>
      <c r="X1096" s="68" t="str">
        <f>VLOOKUP($A1096,'Calendar ID'!$A:$C,2,false)</f>
        <v>c_b9aea0629908ddbafe7229688ea55dc9d65b9e6b1a8ed4492c7ca84aa703d076@group.calendar.google.com</v>
      </c>
      <c r="AA1096" s="16"/>
    </row>
    <row r="1097" hidden="1">
      <c r="A1097" s="153" t="s">
        <v>76</v>
      </c>
      <c r="B1097" s="17">
        <v>45454.0</v>
      </c>
      <c r="C1097" s="16" t="s">
        <v>287</v>
      </c>
      <c r="E1097" s="17"/>
      <c r="G1097" s="17"/>
      <c r="H1097" s="16" t="s">
        <v>31</v>
      </c>
      <c r="J1097" s="16" t="s">
        <v>97</v>
      </c>
      <c r="K1097" s="16" t="s">
        <v>33</v>
      </c>
      <c r="L1097" s="31" t="s">
        <v>56</v>
      </c>
      <c r="N1097" s="16"/>
      <c r="O1097" s="16"/>
      <c r="P1097" s="16"/>
      <c r="Q1097" s="17">
        <f t="shared" si="107"/>
        <v>45454</v>
      </c>
      <c r="S1097" s="20"/>
      <c r="T1097" s="20" t="str">
        <f>VLOOKUP(A1097,'Calendar ID'!$A:$C,3,false)</f>
        <v>orane.baron1403@gmail.com</v>
      </c>
      <c r="U1097" s="20" t="b">
        <v>0</v>
      </c>
      <c r="V1097" s="20" t="str">
        <f>VLOOKUP($A1097,'Calendar ID'!$A:$C,2,false)</f>
        <v>c_b9aea0629908ddbafe7229688ea55dc9d65b9e6b1a8ed4492c7ca84aa703d076@group.calendar.google.com</v>
      </c>
      <c r="W1097" s="19" t="b">
        <v>0</v>
      </c>
      <c r="X1097" s="20" t="str">
        <f>VLOOKUP($A1097,'Calendar ID'!$A:$C,2,false)</f>
        <v>c_b9aea0629908ddbafe7229688ea55dc9d65b9e6b1a8ed4492c7ca84aa703d076@group.calendar.google.com</v>
      </c>
      <c r="Y1097" s="20"/>
      <c r="Z1097" s="20"/>
      <c r="AA1097" s="20"/>
      <c r="AB1097" s="20"/>
      <c r="AC1097" s="20"/>
    </row>
    <row r="1098" hidden="1">
      <c r="A1098" s="195" t="s">
        <v>76</v>
      </c>
      <c r="B1098" s="17">
        <v>45497.0</v>
      </c>
      <c r="C1098" s="16" t="s">
        <v>634</v>
      </c>
      <c r="E1098" s="17"/>
      <c r="G1098" s="17"/>
      <c r="H1098" s="10" t="s">
        <v>31</v>
      </c>
      <c r="J1098" s="16" t="s">
        <v>97</v>
      </c>
      <c r="K1098" s="23" t="s">
        <v>33</v>
      </c>
      <c r="L1098" s="31" t="s">
        <v>56</v>
      </c>
      <c r="N1098" s="16"/>
      <c r="O1098" s="16"/>
      <c r="P1098" s="16"/>
      <c r="Q1098" s="17">
        <f t="shared" si="107"/>
        <v>45497</v>
      </c>
      <c r="S1098" s="20"/>
      <c r="T1098" s="68" t="str">
        <f>VLOOKUP(A1098,'Calendar ID'!$A:$C,3,false)</f>
        <v>orane.baron1403@gmail.com</v>
      </c>
      <c r="U1098" s="71" t="b">
        <v>0</v>
      </c>
      <c r="V1098" s="68" t="str">
        <f>VLOOKUP($A1098,'Calendar ID'!$A:$C,2,false)</f>
        <v>c_b9aea0629908ddbafe7229688ea55dc9d65b9e6b1a8ed4492c7ca84aa703d076@group.calendar.google.com</v>
      </c>
      <c r="W1098" s="71" t="b">
        <v>0</v>
      </c>
      <c r="X1098" s="68" t="str">
        <f>VLOOKUP($A1098,'Calendar ID'!$A:$C,2,false)</f>
        <v>c_b9aea0629908ddbafe7229688ea55dc9d65b9e6b1a8ed4492c7ca84aa703d076@group.calendar.google.com</v>
      </c>
      <c r="Y1098" s="20"/>
      <c r="Z1098" s="20"/>
      <c r="AA1098" s="20"/>
      <c r="AB1098" s="20"/>
      <c r="AC1098" s="20"/>
    </row>
    <row r="1099" hidden="1">
      <c r="A1099" s="153" t="s">
        <v>76</v>
      </c>
      <c r="B1099" s="17">
        <v>45510.0</v>
      </c>
      <c r="C1099" s="16" t="s">
        <v>630</v>
      </c>
      <c r="E1099" s="17"/>
      <c r="G1099" s="17"/>
      <c r="H1099" s="10" t="s">
        <v>31</v>
      </c>
      <c r="I1099" s="16" t="s">
        <v>1035</v>
      </c>
      <c r="J1099" s="7" t="s">
        <v>943</v>
      </c>
      <c r="K1099" s="23" t="s">
        <v>33</v>
      </c>
      <c r="L1099" s="31">
        <v>500.0</v>
      </c>
      <c r="N1099" s="16"/>
      <c r="O1099" s="16"/>
      <c r="P1099" s="16" t="s">
        <v>34</v>
      </c>
      <c r="Q1099" s="17">
        <f t="shared" si="107"/>
        <v>45510</v>
      </c>
      <c r="R1099" s="18">
        <f>L1099*0.3</f>
        <v>150</v>
      </c>
      <c r="S1099" s="20"/>
      <c r="T1099" s="68" t="str">
        <f>VLOOKUP(A1099,'Calendar ID'!$A:$C,3,false)</f>
        <v>orane.baron1403@gmail.com</v>
      </c>
      <c r="U1099" s="71" t="b">
        <v>0</v>
      </c>
      <c r="V1099" s="68" t="str">
        <f>VLOOKUP($A1099,'Calendar ID'!$A:$C,2,false)</f>
        <v>c_b9aea0629908ddbafe7229688ea55dc9d65b9e6b1a8ed4492c7ca84aa703d076@group.calendar.google.com</v>
      </c>
      <c r="W1099" s="69" t="b">
        <v>0</v>
      </c>
      <c r="X1099" s="68" t="str">
        <f>VLOOKUP($A1099,'Calendar ID'!$A:$C,2,false)</f>
        <v>c_b9aea0629908ddbafe7229688ea55dc9d65b9e6b1a8ed4492c7ca84aa703d076@group.calendar.google.com</v>
      </c>
      <c r="AA1099" s="16"/>
    </row>
    <row r="1100" hidden="1">
      <c r="A1100" s="195" t="s">
        <v>76</v>
      </c>
      <c r="B1100" s="17">
        <v>45539.0</v>
      </c>
      <c r="C1100" s="16" t="s">
        <v>173</v>
      </c>
      <c r="E1100" s="17"/>
      <c r="G1100" s="17"/>
      <c r="H1100" s="10" t="s">
        <v>31</v>
      </c>
      <c r="J1100" s="16" t="s">
        <v>266</v>
      </c>
      <c r="K1100" s="23" t="s">
        <v>33</v>
      </c>
      <c r="L1100" s="31" t="s">
        <v>56</v>
      </c>
      <c r="N1100" s="16"/>
      <c r="O1100" s="16"/>
      <c r="P1100" s="16"/>
      <c r="Q1100" s="17">
        <f t="shared" si="107"/>
        <v>45539</v>
      </c>
      <c r="S1100" s="20"/>
      <c r="T1100" s="68" t="str">
        <f>VLOOKUP(A1100,'Calendar ID'!$A:$C,3,false)</f>
        <v>orane.baron1403@gmail.com</v>
      </c>
      <c r="U1100" s="78" t="b">
        <v>0</v>
      </c>
      <c r="V1100" s="68" t="str">
        <f>VLOOKUP($A1100,'Calendar ID'!$A:$C,2,false)</f>
        <v>c_b9aea0629908ddbafe7229688ea55dc9d65b9e6b1a8ed4492c7ca84aa703d076@group.calendar.google.com</v>
      </c>
      <c r="W1100" s="71" t="b">
        <v>0</v>
      </c>
      <c r="X1100" s="68" t="str">
        <f>VLOOKUP($A1100,'Calendar ID'!$A:$C,2,false)</f>
        <v>c_b9aea0629908ddbafe7229688ea55dc9d65b9e6b1a8ed4492c7ca84aa703d076@group.calendar.google.com</v>
      </c>
    </row>
    <row r="1101" hidden="1">
      <c r="A1101" s="153" t="s">
        <v>76</v>
      </c>
      <c r="B1101" s="17">
        <v>45551.0</v>
      </c>
      <c r="C1101" s="16" t="s">
        <v>127</v>
      </c>
      <c r="E1101" s="17"/>
      <c r="G1101" s="17"/>
      <c r="H1101" s="10" t="s">
        <v>31</v>
      </c>
      <c r="J1101" s="16" t="s">
        <v>266</v>
      </c>
      <c r="K1101" s="23" t="s">
        <v>33</v>
      </c>
      <c r="L1101" s="31" t="s">
        <v>56</v>
      </c>
      <c r="N1101" s="16"/>
      <c r="O1101" s="16"/>
      <c r="P1101" s="16"/>
      <c r="Q1101" s="17">
        <f t="shared" si="107"/>
        <v>45551</v>
      </c>
      <c r="S1101" s="20"/>
      <c r="T1101" s="68" t="str">
        <f>VLOOKUP(A1101,'Calendar ID'!$A:$C,3,false)</f>
        <v>orane.baron1403@gmail.com</v>
      </c>
      <c r="U1101" s="78" t="b">
        <v>0</v>
      </c>
      <c r="V1101" s="68" t="str">
        <f>VLOOKUP($A1101,'Calendar ID'!$A:$C,2,false)</f>
        <v>c_b9aea0629908ddbafe7229688ea55dc9d65b9e6b1a8ed4492c7ca84aa703d076@group.calendar.google.com</v>
      </c>
      <c r="W1101" s="71" t="b">
        <v>0</v>
      </c>
      <c r="X1101" s="68" t="str">
        <f>VLOOKUP($A1101,'Calendar ID'!$A:$C,2,false)</f>
        <v>c_b9aea0629908ddbafe7229688ea55dc9d65b9e6b1a8ed4492c7ca84aa703d076@group.calendar.google.com</v>
      </c>
    </row>
    <row r="1102" hidden="1">
      <c r="A1102" s="195" t="s">
        <v>76</v>
      </c>
      <c r="B1102" s="17">
        <v>45565.0</v>
      </c>
      <c r="C1102" s="16" t="s">
        <v>694</v>
      </c>
      <c r="E1102" s="17"/>
      <c r="G1102" s="17"/>
      <c r="H1102" s="10" t="s">
        <v>31</v>
      </c>
      <c r="J1102" s="16" t="s">
        <v>266</v>
      </c>
      <c r="K1102" s="23" t="s">
        <v>33</v>
      </c>
      <c r="L1102" s="31" t="s">
        <v>56</v>
      </c>
      <c r="N1102" s="16"/>
      <c r="O1102" s="16"/>
      <c r="P1102" s="16"/>
      <c r="Q1102" s="17">
        <f t="shared" si="107"/>
        <v>45565</v>
      </c>
      <c r="S1102" s="20"/>
      <c r="T1102" s="68" t="str">
        <f>VLOOKUP(A1102,'Calendar ID'!$A:$C,3,false)</f>
        <v>orane.baron1403@gmail.com</v>
      </c>
      <c r="U1102" s="78" t="b">
        <v>0</v>
      </c>
      <c r="V1102" s="68" t="str">
        <f>VLOOKUP($A1102,'Calendar ID'!$A:$C,2,false)</f>
        <v>c_b9aea0629908ddbafe7229688ea55dc9d65b9e6b1a8ed4492c7ca84aa703d076@group.calendar.google.com</v>
      </c>
      <c r="W1102" s="71" t="b">
        <v>0</v>
      </c>
      <c r="X1102" s="68" t="str">
        <f>VLOOKUP($A1102,'Calendar ID'!$A:$C,2,false)</f>
        <v>c_b9aea0629908ddbafe7229688ea55dc9d65b9e6b1a8ed4492c7ca84aa703d076@group.calendar.google.com</v>
      </c>
    </row>
    <row r="1103" hidden="1">
      <c r="A1103" s="153" t="s">
        <v>76</v>
      </c>
      <c r="B1103" s="17">
        <v>45554.0</v>
      </c>
      <c r="C1103" s="16" t="s">
        <v>322</v>
      </c>
      <c r="E1103" s="17"/>
      <c r="G1103" s="17"/>
      <c r="H1103" s="10" t="s">
        <v>31</v>
      </c>
      <c r="J1103" s="16" t="s">
        <v>266</v>
      </c>
      <c r="K1103" s="23" t="s">
        <v>33</v>
      </c>
      <c r="L1103" s="31" t="s">
        <v>56</v>
      </c>
      <c r="N1103" s="16"/>
      <c r="O1103" s="16"/>
      <c r="P1103" s="16"/>
      <c r="Q1103" s="17">
        <f t="shared" si="107"/>
        <v>45554</v>
      </c>
      <c r="S1103" s="20"/>
      <c r="T1103" s="68" t="str">
        <f>VLOOKUP(A1103,'Calendar ID'!$A:$C,3,false)</f>
        <v>orane.baron1403@gmail.com</v>
      </c>
      <c r="U1103" s="78" t="b">
        <v>0</v>
      </c>
      <c r="V1103" s="68" t="str">
        <f>VLOOKUP($A1103,'Calendar ID'!$A:$C,2,false)</f>
        <v>c_b9aea0629908ddbafe7229688ea55dc9d65b9e6b1a8ed4492c7ca84aa703d076@group.calendar.google.com</v>
      </c>
      <c r="W1103" s="71" t="b">
        <v>0</v>
      </c>
      <c r="X1103" s="68" t="str">
        <f>VLOOKUP($A1103,'Calendar ID'!$A:$C,2,false)</f>
        <v>c_b9aea0629908ddbafe7229688ea55dc9d65b9e6b1a8ed4492c7ca84aa703d076@group.calendar.google.com</v>
      </c>
    </row>
    <row r="1104" hidden="1">
      <c r="A1104" s="195" t="s">
        <v>76</v>
      </c>
      <c r="B1104" s="17">
        <v>45565.0</v>
      </c>
      <c r="C1104" s="16" t="s">
        <v>729</v>
      </c>
      <c r="E1104" s="17"/>
      <c r="G1104" s="17"/>
      <c r="H1104" s="10" t="s">
        <v>31</v>
      </c>
      <c r="J1104" s="16" t="s">
        <v>266</v>
      </c>
      <c r="K1104" s="23" t="s">
        <v>33</v>
      </c>
      <c r="L1104" s="31" t="s">
        <v>56</v>
      </c>
      <c r="N1104" s="16"/>
      <c r="O1104" s="16"/>
      <c r="P1104" s="16"/>
      <c r="Q1104" s="17">
        <f t="shared" si="107"/>
        <v>45565</v>
      </c>
      <c r="S1104" s="20"/>
      <c r="T1104" s="68" t="str">
        <f>VLOOKUP(A1104,'Calendar ID'!$A:$C,3,false)</f>
        <v>orane.baron1403@gmail.com</v>
      </c>
      <c r="U1104" s="78" t="b">
        <v>0</v>
      </c>
      <c r="V1104" s="68" t="str">
        <f>VLOOKUP($A1104,'Calendar ID'!$A:$C,2,false)</f>
        <v>c_b9aea0629908ddbafe7229688ea55dc9d65b9e6b1a8ed4492c7ca84aa703d076@group.calendar.google.com</v>
      </c>
      <c r="W1104" s="71" t="b">
        <v>0</v>
      </c>
      <c r="X1104" s="68" t="str">
        <f>VLOOKUP($A1104,'Calendar ID'!$A:$C,2,false)</f>
        <v>c_b9aea0629908ddbafe7229688ea55dc9d65b9e6b1a8ed4492c7ca84aa703d076@group.calendar.google.com</v>
      </c>
    </row>
    <row r="1105" hidden="1">
      <c r="A1105" s="153" t="s">
        <v>76</v>
      </c>
      <c r="B1105" s="17">
        <v>45600.0</v>
      </c>
      <c r="C1105" s="16" t="s">
        <v>730</v>
      </c>
      <c r="E1105" s="17"/>
      <c r="F1105" s="17"/>
      <c r="G1105" s="17"/>
      <c r="H1105" s="10" t="s">
        <v>31</v>
      </c>
      <c r="J1105" s="16" t="s">
        <v>43</v>
      </c>
      <c r="K1105" s="23" t="s">
        <v>33</v>
      </c>
      <c r="L1105" s="31" t="s">
        <v>56</v>
      </c>
      <c r="N1105" s="16"/>
      <c r="O1105" s="16"/>
      <c r="P1105" s="16"/>
      <c r="Q1105" s="17">
        <f t="shared" si="107"/>
        <v>45600</v>
      </c>
      <c r="S1105" s="20"/>
      <c r="T1105" s="68" t="str">
        <f>VLOOKUP(A1105,'Calendar ID'!$A:$C,3,false)</f>
        <v>orane.baron1403@gmail.com</v>
      </c>
      <c r="U1105" s="77" t="b">
        <v>0</v>
      </c>
      <c r="V1105" s="68" t="str">
        <f>VLOOKUP($A1105,'Calendar ID'!$A:$C,2,false)</f>
        <v>c_b9aea0629908ddbafe7229688ea55dc9d65b9e6b1a8ed4492c7ca84aa703d076@group.calendar.google.com</v>
      </c>
      <c r="W1105" s="77" t="b">
        <v>1</v>
      </c>
      <c r="X1105" s="70" t="s">
        <v>82</v>
      </c>
    </row>
    <row r="1106" hidden="1">
      <c r="A1106" s="197" t="s">
        <v>76</v>
      </c>
      <c r="B1106" s="17">
        <v>45625.0</v>
      </c>
      <c r="C1106" s="16" t="s">
        <v>733</v>
      </c>
      <c r="E1106" s="17"/>
      <c r="G1106" s="17"/>
      <c r="H1106" s="10" t="s">
        <v>31</v>
      </c>
      <c r="J1106" s="16" t="s">
        <v>97</v>
      </c>
      <c r="K1106" s="23" t="s">
        <v>33</v>
      </c>
      <c r="L1106" s="31" t="s">
        <v>56</v>
      </c>
      <c r="N1106" s="16"/>
      <c r="O1106" s="16"/>
      <c r="P1106" s="16"/>
      <c r="Q1106" s="17">
        <f t="shared" si="107"/>
        <v>45625</v>
      </c>
      <c r="S1106" s="20"/>
      <c r="T1106" s="68" t="str">
        <f>VLOOKUP(A1106,'Calendar ID'!$A:$C,3,false)</f>
        <v>orane.baron1403@gmail.com</v>
      </c>
      <c r="U1106" s="71" t="b">
        <v>0</v>
      </c>
      <c r="V1106" s="68" t="str">
        <f>VLOOKUP($A1106,'Calendar ID'!$A:$C,2,false)</f>
        <v>c_b9aea0629908ddbafe7229688ea55dc9d65b9e6b1a8ed4492c7ca84aa703d076@group.calendar.google.com</v>
      </c>
      <c r="W1106" s="71" t="b">
        <v>0</v>
      </c>
      <c r="X1106" s="68" t="str">
        <f>VLOOKUP($A1106,'Calendar ID'!$A:$C,2,false)</f>
        <v>c_b9aea0629908ddbafe7229688ea55dc9d65b9e6b1a8ed4492c7ca84aa703d076@group.calendar.google.com</v>
      </c>
    </row>
    <row r="1107" hidden="1">
      <c r="A1107" s="198" t="s">
        <v>29</v>
      </c>
      <c r="B1107" s="7"/>
      <c r="C1107" s="16" t="s">
        <v>773</v>
      </c>
      <c r="D1107" s="13"/>
      <c r="E1107" s="7"/>
      <c r="F1107" s="12"/>
      <c r="G1107" s="199">
        <v>44958.0</v>
      </c>
      <c r="H1107" s="10" t="s">
        <v>31</v>
      </c>
      <c r="I1107" s="13"/>
      <c r="J1107" s="7" t="s">
        <v>97</v>
      </c>
      <c r="K1107" s="7" t="s">
        <v>33</v>
      </c>
      <c r="L1107" s="7" t="s">
        <v>56</v>
      </c>
      <c r="M1107" s="7"/>
      <c r="Q1107" s="17" t="str">
        <f t="shared" si="107"/>
        <v/>
      </c>
      <c r="S1107" s="20"/>
      <c r="T1107" s="20"/>
      <c r="U1107" s="20"/>
      <c r="V1107" s="20"/>
      <c r="W1107" s="20"/>
      <c r="X1107" s="20"/>
      <c r="Y1107" s="20"/>
      <c r="Z1107" s="20"/>
      <c r="AA1107" s="20"/>
      <c r="AB1107" s="20"/>
      <c r="AC1107" s="20"/>
    </row>
    <row r="1108" hidden="1">
      <c r="A1108" s="194" t="s">
        <v>29</v>
      </c>
      <c r="B1108" s="7"/>
      <c r="C1108" s="7" t="s">
        <v>1036</v>
      </c>
      <c r="D1108" s="7" t="s">
        <v>1037</v>
      </c>
      <c r="E1108" s="7"/>
      <c r="F1108" s="12"/>
      <c r="G1108" s="199">
        <v>45323.0</v>
      </c>
      <c r="H1108" s="10" t="s">
        <v>31</v>
      </c>
      <c r="I1108" s="13"/>
      <c r="J1108" s="7" t="s">
        <v>1038</v>
      </c>
      <c r="K1108" s="14" t="s">
        <v>33</v>
      </c>
      <c r="L1108" s="14" t="s">
        <v>56</v>
      </c>
      <c r="M1108" s="7"/>
      <c r="Q1108" s="17" t="str">
        <f t="shared" si="107"/>
        <v/>
      </c>
      <c r="S1108" s="20"/>
      <c r="T1108" s="20"/>
      <c r="U1108" s="20"/>
      <c r="V1108" s="20"/>
      <c r="W1108" s="20"/>
      <c r="X1108" s="20"/>
      <c r="Y1108" s="20"/>
      <c r="Z1108" s="20"/>
      <c r="AA1108" s="20"/>
      <c r="AB1108" s="20"/>
      <c r="AC1108" s="20"/>
    </row>
    <row r="1109" hidden="1">
      <c r="A1109" s="198" t="s">
        <v>29</v>
      </c>
      <c r="B1109" s="7"/>
      <c r="C1109" s="7" t="s">
        <v>901</v>
      </c>
      <c r="D1109" s="7" t="s">
        <v>1039</v>
      </c>
      <c r="E1109" s="7"/>
      <c r="F1109" s="185"/>
      <c r="G1109" s="200">
        <v>45323.0</v>
      </c>
      <c r="H1109" s="10" t="s">
        <v>31</v>
      </c>
      <c r="I1109" s="167"/>
      <c r="J1109" s="13" t="s">
        <v>97</v>
      </c>
      <c r="K1109" s="7" t="s">
        <v>33</v>
      </c>
      <c r="L1109" s="14" t="s">
        <v>56</v>
      </c>
      <c r="M1109" s="14"/>
      <c r="Q1109" s="17" t="str">
        <f t="shared" si="107"/>
        <v/>
      </c>
      <c r="S1109" s="20"/>
      <c r="T1109" s="20"/>
      <c r="U1109" s="20"/>
      <c r="V1109" s="20"/>
      <c r="W1109" s="20"/>
      <c r="X1109" s="20"/>
      <c r="Y1109" s="20"/>
      <c r="Z1109" s="20"/>
      <c r="AA1109" s="20"/>
      <c r="AB1109" s="20"/>
      <c r="AC1109" s="20"/>
    </row>
    <row r="1110" hidden="1">
      <c r="A1110" s="194" t="s">
        <v>29</v>
      </c>
      <c r="B1110" s="7"/>
      <c r="C1110" s="7" t="s">
        <v>410</v>
      </c>
      <c r="D1110" s="13" t="s">
        <v>734</v>
      </c>
      <c r="E1110" s="7"/>
      <c r="F1110" s="12"/>
      <c r="G1110" s="201">
        <v>45352.0</v>
      </c>
      <c r="H1110" s="10" t="s">
        <v>31</v>
      </c>
      <c r="I1110" s="13"/>
      <c r="J1110" s="7" t="s">
        <v>97</v>
      </c>
      <c r="K1110" s="7" t="s">
        <v>33</v>
      </c>
      <c r="L1110" s="7" t="s">
        <v>56</v>
      </c>
      <c r="M1110" s="7"/>
      <c r="Q1110" s="17" t="str">
        <f t="shared" si="107"/>
        <v/>
      </c>
      <c r="S1110" s="20"/>
      <c r="T1110" s="20"/>
      <c r="U1110" s="20"/>
      <c r="V1110" s="20"/>
      <c r="W1110" s="20"/>
      <c r="X1110" s="20"/>
      <c r="Y1110" s="20"/>
      <c r="Z1110" s="20"/>
      <c r="AA1110" s="20"/>
      <c r="AB1110" s="20"/>
      <c r="AC1110" s="20"/>
    </row>
    <row r="1111" hidden="1">
      <c r="A1111" s="198" t="s">
        <v>29</v>
      </c>
      <c r="B1111" s="7"/>
      <c r="C1111" s="7" t="s">
        <v>840</v>
      </c>
      <c r="D1111" s="13" t="s">
        <v>736</v>
      </c>
      <c r="E1111" s="7"/>
      <c r="F1111" s="185"/>
      <c r="G1111" s="177">
        <v>45352.0</v>
      </c>
      <c r="H1111" s="10" t="s">
        <v>31</v>
      </c>
      <c r="I1111" s="167"/>
      <c r="J1111" s="7" t="s">
        <v>898</v>
      </c>
      <c r="K1111" s="14" t="s">
        <v>33</v>
      </c>
      <c r="L1111" s="14" t="s">
        <v>56</v>
      </c>
      <c r="M1111" s="7"/>
      <c r="Q1111" s="17" t="str">
        <f t="shared" si="107"/>
        <v/>
      </c>
      <c r="S1111" s="20"/>
      <c r="T1111" s="20"/>
      <c r="U1111" s="20"/>
      <c r="V1111" s="20"/>
      <c r="W1111" s="20"/>
      <c r="X1111" s="20"/>
      <c r="Y1111" s="20"/>
      <c r="Z1111" s="20"/>
      <c r="AA1111" s="20"/>
      <c r="AB1111" s="20"/>
      <c r="AC1111" s="20"/>
    </row>
    <row r="1112" hidden="1">
      <c r="A1112" s="195" t="s">
        <v>29</v>
      </c>
      <c r="B1112" s="17">
        <v>45379.0</v>
      </c>
      <c r="C1112" s="16" t="s">
        <v>37</v>
      </c>
      <c r="D1112" s="10"/>
      <c r="G1112" s="94">
        <v>45379.0</v>
      </c>
      <c r="H1112" s="7" t="s">
        <v>31</v>
      </c>
      <c r="I1112" s="16" t="s">
        <v>1040</v>
      </c>
      <c r="J1112" s="16" t="s">
        <v>893</v>
      </c>
      <c r="K1112" s="16" t="s">
        <v>33</v>
      </c>
      <c r="L1112" s="31">
        <v>130.0</v>
      </c>
      <c r="N1112" s="16"/>
      <c r="O1112" s="16"/>
      <c r="P1112" s="16" t="s">
        <v>34</v>
      </c>
      <c r="Q1112" s="17">
        <f t="shared" si="107"/>
        <v>45379</v>
      </c>
      <c r="R1112" s="18">
        <f>L1112*0.2</f>
        <v>26</v>
      </c>
      <c r="S1112" s="19" t="b">
        <v>1</v>
      </c>
      <c r="T1112" s="20"/>
      <c r="U1112" s="20"/>
      <c r="V1112" s="20"/>
      <c r="W1112" s="20"/>
      <c r="X1112" s="20"/>
      <c r="Y1112" s="10"/>
      <c r="Z1112" s="10"/>
      <c r="AA1112" s="10"/>
      <c r="AB1112" s="10"/>
      <c r="AC1112" s="10"/>
    </row>
    <row r="1113" hidden="1">
      <c r="A1113" s="153" t="s">
        <v>29</v>
      </c>
      <c r="B1113" s="17">
        <v>45373.0</v>
      </c>
      <c r="C1113" s="16" t="s">
        <v>220</v>
      </c>
      <c r="F1113" s="17"/>
      <c r="G1113" s="28">
        <v>45382.0</v>
      </c>
      <c r="H1113" s="10" t="s">
        <v>31</v>
      </c>
      <c r="I1113" s="16" t="s">
        <v>1041</v>
      </c>
      <c r="J1113" s="183" t="s">
        <v>1042</v>
      </c>
      <c r="K1113" s="16" t="s">
        <v>33</v>
      </c>
      <c r="L1113" s="14" t="s">
        <v>56</v>
      </c>
      <c r="Q1113" s="17">
        <f t="shared" si="107"/>
        <v>45373</v>
      </c>
      <c r="S1113" s="20"/>
      <c r="T1113" s="20"/>
      <c r="U1113" s="20"/>
      <c r="V1113" s="20"/>
      <c r="W1113" s="20"/>
      <c r="X1113" s="20"/>
      <c r="Y1113" s="20"/>
      <c r="Z1113" s="20"/>
      <c r="AA1113" s="20"/>
      <c r="AB1113" s="20"/>
      <c r="AC1113" s="20"/>
    </row>
    <row r="1114" hidden="1">
      <c r="A1114" s="195" t="s">
        <v>29</v>
      </c>
      <c r="B1114" s="17">
        <v>45376.0</v>
      </c>
      <c r="C1114" s="29" t="s">
        <v>757</v>
      </c>
      <c r="F1114" s="28">
        <v>45386.0</v>
      </c>
      <c r="G1114" s="30">
        <v>45396.0</v>
      </c>
      <c r="H1114" s="23" t="s">
        <v>31</v>
      </c>
      <c r="J1114" s="16" t="s">
        <v>43</v>
      </c>
      <c r="K1114" s="16" t="s">
        <v>33</v>
      </c>
      <c r="L1114" s="14" t="s">
        <v>56</v>
      </c>
      <c r="Q1114" s="17">
        <f t="shared" si="107"/>
        <v>45376</v>
      </c>
      <c r="S1114" s="20"/>
      <c r="T1114" s="20"/>
      <c r="U1114" s="20"/>
      <c r="V1114" s="20"/>
      <c r="W1114" s="20"/>
      <c r="X1114" s="20"/>
      <c r="Y1114" s="20"/>
      <c r="Z1114" s="20"/>
      <c r="AA1114" s="20"/>
      <c r="AB1114" s="20"/>
      <c r="AC1114" s="20"/>
    </row>
    <row r="1115" hidden="1">
      <c r="A1115" s="198" t="s">
        <v>29</v>
      </c>
      <c r="B1115" s="13"/>
      <c r="C1115" s="13" t="s">
        <v>630</v>
      </c>
      <c r="D1115" s="10" t="s">
        <v>746</v>
      </c>
      <c r="E1115" s="8"/>
      <c r="F1115" s="123">
        <v>45377.0</v>
      </c>
      <c r="G1115" s="141">
        <v>45408.0</v>
      </c>
      <c r="H1115" s="23" t="s">
        <v>31</v>
      </c>
      <c r="I1115" s="7"/>
      <c r="J1115" s="7" t="s">
        <v>40</v>
      </c>
      <c r="K1115" s="14" t="s">
        <v>33</v>
      </c>
      <c r="L1115" s="7" t="s">
        <v>56</v>
      </c>
      <c r="M1115" s="7"/>
      <c r="Q1115" s="17" t="str">
        <f t="shared" si="107"/>
        <v/>
      </c>
      <c r="R1115" s="18"/>
      <c r="S1115" s="20"/>
      <c r="T1115" s="20"/>
      <c r="U1115" s="20"/>
      <c r="V1115" s="20"/>
      <c r="W1115" s="20"/>
      <c r="X1115" s="20"/>
      <c r="Y1115" s="20"/>
      <c r="Z1115" s="20"/>
      <c r="AA1115" s="20"/>
      <c r="AB1115" s="20"/>
      <c r="AC1115" s="20"/>
    </row>
    <row r="1116" hidden="1">
      <c r="A1116" s="202" t="s">
        <v>29</v>
      </c>
      <c r="B1116" s="17">
        <v>45401.0</v>
      </c>
      <c r="C1116" s="16" t="s">
        <v>51</v>
      </c>
      <c r="G1116" s="38">
        <v>45421.0</v>
      </c>
      <c r="H1116" s="10" t="s">
        <v>31</v>
      </c>
      <c r="I1116" s="16" t="s">
        <v>658</v>
      </c>
      <c r="J1116" s="16" t="s">
        <v>659</v>
      </c>
      <c r="K1116" s="14" t="s">
        <v>33</v>
      </c>
      <c r="L1116" s="16" t="s">
        <v>56</v>
      </c>
      <c r="N1116" s="16"/>
      <c r="O1116" s="16"/>
      <c r="Q1116" s="17">
        <f t="shared" si="107"/>
        <v>45401</v>
      </c>
      <c r="S1116" s="20"/>
      <c r="T1116" s="20"/>
      <c r="U1116" s="20"/>
      <c r="V1116" s="20"/>
      <c r="W1116" s="20"/>
      <c r="X1116" s="20"/>
      <c r="Y1116" s="20"/>
      <c r="Z1116" s="20"/>
      <c r="AA1116" s="20"/>
      <c r="AB1116" s="20"/>
      <c r="AC1116" s="20"/>
    </row>
    <row r="1117" hidden="1">
      <c r="A1117" s="153" t="s">
        <v>29</v>
      </c>
      <c r="B1117" s="17">
        <v>45404.0</v>
      </c>
      <c r="C1117" s="16" t="s">
        <v>1043</v>
      </c>
      <c r="E1117" s="17"/>
      <c r="G1117" s="48">
        <v>45442.0</v>
      </c>
      <c r="H1117" s="10" t="s">
        <v>31</v>
      </c>
      <c r="J1117" s="16" t="s">
        <v>97</v>
      </c>
      <c r="K1117" s="14" t="s">
        <v>33</v>
      </c>
      <c r="L1117" s="31" t="s">
        <v>56</v>
      </c>
      <c r="N1117" s="16"/>
      <c r="O1117" s="16"/>
      <c r="P1117" s="16"/>
      <c r="Q1117" s="17">
        <f t="shared" si="107"/>
        <v>45404</v>
      </c>
      <c r="S1117" s="20"/>
      <c r="T1117" s="20"/>
      <c r="U1117" s="20"/>
      <c r="V1117" s="20"/>
      <c r="W1117" s="20"/>
      <c r="X1117" s="20"/>
      <c r="Y1117" s="20"/>
      <c r="Z1117" s="20"/>
      <c r="AA1117" s="20"/>
      <c r="AB1117" s="20"/>
      <c r="AC1117" s="20"/>
    </row>
    <row r="1118" hidden="1">
      <c r="A1118" s="195" t="s">
        <v>29</v>
      </c>
      <c r="B1118" s="17">
        <v>45425.0</v>
      </c>
      <c r="C1118" s="16" t="s">
        <v>713</v>
      </c>
      <c r="E1118" s="17"/>
      <c r="G1118" s="139">
        <v>45448.0</v>
      </c>
      <c r="H1118" s="16" t="s">
        <v>31</v>
      </c>
      <c r="I1118" s="16" t="s">
        <v>670</v>
      </c>
      <c r="J1118" s="16" t="s">
        <v>659</v>
      </c>
      <c r="K1118" s="16" t="s">
        <v>33</v>
      </c>
      <c r="L1118" s="31" t="s">
        <v>56</v>
      </c>
      <c r="N1118" s="55" t="s">
        <v>1044</v>
      </c>
      <c r="O1118" s="16"/>
      <c r="P1118" s="16"/>
      <c r="Q1118" s="17">
        <f t="shared" si="107"/>
        <v>45425</v>
      </c>
      <c r="S1118" s="20"/>
      <c r="T1118" s="20"/>
      <c r="U1118" s="20"/>
      <c r="V1118" s="20"/>
      <c r="W1118" s="20"/>
      <c r="X1118" s="20"/>
      <c r="Y1118" s="20"/>
      <c r="Z1118" s="20"/>
      <c r="AA1118" s="20"/>
      <c r="AB1118" s="20"/>
      <c r="AC1118" s="20"/>
    </row>
    <row r="1119" hidden="1">
      <c r="A1119" s="153" t="s">
        <v>29</v>
      </c>
      <c r="B1119" s="17">
        <v>45436.0</v>
      </c>
      <c r="C1119" s="16" t="s">
        <v>678</v>
      </c>
      <c r="E1119" s="17"/>
      <c r="F1119" s="52">
        <v>45453.0</v>
      </c>
      <c r="G1119" s="58">
        <v>45473.0</v>
      </c>
      <c r="H1119" s="16" t="s">
        <v>31</v>
      </c>
      <c r="J1119" s="16" t="s">
        <v>43</v>
      </c>
      <c r="K1119" s="16" t="s">
        <v>33</v>
      </c>
      <c r="L1119" s="31" t="s">
        <v>56</v>
      </c>
      <c r="N1119" s="55" t="s">
        <v>1045</v>
      </c>
      <c r="O1119" s="16"/>
      <c r="P1119" s="16"/>
      <c r="Q1119" s="17">
        <f t="shared" si="107"/>
        <v>45436</v>
      </c>
      <c r="S1119" s="20"/>
      <c r="T1119" s="20" t="str">
        <f>VLOOKUP(A1119,'Calendar ID'!$A$2:$C$15,3)</f>
        <v>pauline@grapperagency.com</v>
      </c>
      <c r="U1119" s="20" t="b">
        <v>0</v>
      </c>
      <c r="V1119" s="20" t="str">
        <f>VLOOKUP($A1119,'Calendar ID'!$A$2:$C$16,2,false)</f>
        <v>c_a715193c206b2aa1e4b81b8a3772df33bf92c92611202a890a6bccecb2131fcb@group.calendar.google.com</v>
      </c>
      <c r="W1119" s="19" t="b">
        <v>0</v>
      </c>
      <c r="X1119" s="20" t="str">
        <f>VLOOKUP($A1119,'Calendar ID'!$A$2:$C$16,2,false)</f>
        <v>c_a715193c206b2aa1e4b81b8a3772df33bf92c92611202a890a6bccecb2131fcb@group.calendar.google.com</v>
      </c>
      <c r="Y1119" s="20"/>
      <c r="Z1119" s="20"/>
      <c r="AA1119" s="20"/>
      <c r="AB1119" s="20"/>
      <c r="AC1119" s="20"/>
    </row>
    <row r="1120" hidden="1">
      <c r="A1120" s="195" t="s">
        <v>29</v>
      </c>
      <c r="B1120" s="17">
        <v>45442.0</v>
      </c>
      <c r="C1120" s="16" t="s">
        <v>679</v>
      </c>
      <c r="E1120" s="17"/>
      <c r="F1120" s="53">
        <v>45460.0</v>
      </c>
      <c r="G1120" s="58">
        <v>45473.0</v>
      </c>
      <c r="H1120" s="16" t="s">
        <v>31</v>
      </c>
      <c r="J1120" s="16" t="s">
        <v>43</v>
      </c>
      <c r="K1120" s="16" t="s">
        <v>33</v>
      </c>
      <c r="L1120" s="31" t="s">
        <v>56</v>
      </c>
      <c r="N1120" s="16"/>
      <c r="O1120" s="16"/>
      <c r="P1120" s="16"/>
      <c r="Q1120" s="17">
        <f t="shared" si="107"/>
        <v>45442</v>
      </c>
      <c r="S1120" s="20"/>
      <c r="T1120" s="20" t="str">
        <f>VLOOKUP(A1120,'Calendar ID'!$A$2:$C$15,3)</f>
        <v>pauline@grapperagency.com</v>
      </c>
      <c r="U1120" s="20" t="b">
        <v>0</v>
      </c>
      <c r="V1120" s="20" t="str">
        <f>VLOOKUP($A1120,'Calendar ID'!$A:$C,2,false)</f>
        <v>c_a715193c206b2aa1e4b81b8a3772df33bf92c92611202a890a6bccecb2131fcb@group.calendar.google.com</v>
      </c>
      <c r="W1120" s="19" t="b">
        <v>0</v>
      </c>
      <c r="X1120" s="20" t="str">
        <f>VLOOKUP($A1120,'Calendar ID'!$A:$C,2,false)</f>
        <v>c_a715193c206b2aa1e4b81b8a3772df33bf92c92611202a890a6bccecb2131fcb@group.calendar.google.com</v>
      </c>
      <c r="Y1120" s="20"/>
      <c r="Z1120" s="20"/>
      <c r="AA1120" s="20"/>
      <c r="AB1120" s="20"/>
      <c r="AC1120" s="20"/>
    </row>
    <row r="1121" hidden="1">
      <c r="A1121" s="153" t="s">
        <v>29</v>
      </c>
      <c r="B1121" s="17">
        <v>45467.0</v>
      </c>
      <c r="C1121" s="16" t="s">
        <v>840</v>
      </c>
      <c r="E1121" s="17"/>
      <c r="F1121" s="58">
        <v>45470.0</v>
      </c>
      <c r="G1121" s="67">
        <v>45489.0</v>
      </c>
      <c r="H1121" s="16" t="s">
        <v>31</v>
      </c>
      <c r="J1121" s="16" t="s">
        <v>682</v>
      </c>
      <c r="K1121" s="16" t="s">
        <v>33</v>
      </c>
      <c r="L1121" s="31" t="s">
        <v>56</v>
      </c>
      <c r="N1121" s="55" t="s">
        <v>1046</v>
      </c>
      <c r="O1121" s="16"/>
      <c r="P1121" s="16"/>
      <c r="Q1121" s="17">
        <f t="shared" si="107"/>
        <v>45467</v>
      </c>
      <c r="S1121" s="20"/>
      <c r="T1121" s="20" t="str">
        <f>VLOOKUP(A1121,'Calendar ID'!$A:$C,3,false)</f>
        <v>pauline@grapperagency.com</v>
      </c>
      <c r="U1121" s="20" t="b">
        <v>0</v>
      </c>
      <c r="V1121" s="20" t="str">
        <f>VLOOKUP($A1121,'Calendar ID'!$A:$C,2,false)</f>
        <v>c_a715193c206b2aa1e4b81b8a3772df33bf92c92611202a890a6bccecb2131fcb@group.calendar.google.com</v>
      </c>
      <c r="W1121" s="19" t="b">
        <v>1</v>
      </c>
      <c r="X1121" s="19" t="s">
        <v>82</v>
      </c>
      <c r="Y1121" s="20"/>
      <c r="Z1121" s="20"/>
      <c r="AA1121" s="20"/>
      <c r="AB1121" s="20"/>
      <c r="AC1121" s="20"/>
    </row>
    <row r="1122" hidden="1">
      <c r="A1122" s="195" t="s">
        <v>29</v>
      </c>
      <c r="B1122" s="17">
        <v>45476.0</v>
      </c>
      <c r="C1122" s="16" t="s">
        <v>1047</v>
      </c>
      <c r="E1122" s="17"/>
      <c r="F1122" s="17"/>
      <c r="G1122" s="66">
        <v>45497.0</v>
      </c>
      <c r="H1122" s="16" t="s">
        <v>31</v>
      </c>
      <c r="J1122" s="16"/>
      <c r="K1122" s="16"/>
      <c r="L1122" s="31"/>
      <c r="N1122" s="65" t="s">
        <v>1048</v>
      </c>
      <c r="O1122" s="16"/>
      <c r="P1122" s="16"/>
      <c r="Q1122" s="17">
        <f t="shared" si="107"/>
        <v>45476</v>
      </c>
      <c r="S1122" s="20"/>
      <c r="T1122" s="20"/>
      <c r="U1122" s="20" t="b">
        <v>0</v>
      </c>
      <c r="V1122" s="20"/>
      <c r="W1122" s="19" t="b">
        <v>0</v>
      </c>
      <c r="X1122" s="20"/>
      <c r="Y1122" s="20"/>
      <c r="Z1122" s="20"/>
      <c r="AA1122" s="20"/>
      <c r="AB1122" s="20"/>
      <c r="AC1122" s="20"/>
    </row>
    <row r="1123" hidden="1">
      <c r="A1123" s="153" t="s">
        <v>29</v>
      </c>
      <c r="B1123" s="17">
        <v>45454.0</v>
      </c>
      <c r="C1123" s="16" t="s">
        <v>174</v>
      </c>
      <c r="D1123" s="16" t="s">
        <v>685</v>
      </c>
      <c r="E1123" s="17"/>
      <c r="F1123" s="156">
        <v>45481.0</v>
      </c>
      <c r="G1123" s="164">
        <v>45501.0</v>
      </c>
      <c r="H1123" s="16" t="s">
        <v>31</v>
      </c>
      <c r="J1123" s="16" t="s">
        <v>43</v>
      </c>
      <c r="K1123" s="16" t="s">
        <v>33</v>
      </c>
      <c r="L1123" s="31" t="s">
        <v>56</v>
      </c>
      <c r="N1123" s="55" t="s">
        <v>1049</v>
      </c>
      <c r="O1123" s="16"/>
      <c r="P1123" s="16"/>
      <c r="Q1123" s="17">
        <f t="shared" si="107"/>
        <v>45454</v>
      </c>
      <c r="S1123" s="20"/>
      <c r="T1123" s="20" t="str">
        <f>VLOOKUP(A1123,'Calendar ID'!$A:$C,3,false)</f>
        <v>pauline@grapperagency.com</v>
      </c>
      <c r="U1123" s="20" t="b">
        <v>0</v>
      </c>
      <c r="V1123" s="20" t="str">
        <f>VLOOKUP($A1123,'Calendar ID'!$A:$C,2,false)</f>
        <v>c_a715193c206b2aa1e4b81b8a3772df33bf92c92611202a890a6bccecb2131fcb@group.calendar.google.com</v>
      </c>
      <c r="W1123" s="19" t="b">
        <v>1</v>
      </c>
      <c r="X1123" s="19" t="s">
        <v>82</v>
      </c>
      <c r="Y1123" s="20"/>
      <c r="Z1123" s="20"/>
      <c r="AA1123" s="20"/>
      <c r="AB1123" s="20"/>
      <c r="AC1123" s="20"/>
    </row>
    <row r="1124" hidden="1">
      <c r="A1124" s="195" t="s">
        <v>29</v>
      </c>
      <c r="B1124" s="17">
        <v>45503.0</v>
      </c>
      <c r="C1124" s="16" t="s">
        <v>690</v>
      </c>
      <c r="E1124" s="17"/>
      <c r="G1124" s="17">
        <v>45522.0</v>
      </c>
      <c r="H1124" s="10" t="s">
        <v>31</v>
      </c>
      <c r="I1124" s="16" t="s">
        <v>158</v>
      </c>
      <c r="J1124" s="16" t="s">
        <v>97</v>
      </c>
      <c r="K1124" s="23" t="s">
        <v>33</v>
      </c>
      <c r="L1124" s="31" t="s">
        <v>56</v>
      </c>
      <c r="N1124" s="55" t="s">
        <v>1050</v>
      </c>
      <c r="O1124" s="16"/>
      <c r="P1124" s="16"/>
      <c r="Q1124" s="17">
        <f t="shared" si="107"/>
        <v>45503</v>
      </c>
      <c r="S1124" s="20"/>
      <c r="T1124" s="68" t="str">
        <f>VLOOKUP(A1124,'Calendar ID'!$A:$C,3,false)</f>
        <v>pauline@grapperagency.com</v>
      </c>
      <c r="U1124" s="71" t="b">
        <v>0</v>
      </c>
      <c r="V1124" s="68" t="str">
        <f>VLOOKUP($A1124,'Calendar ID'!$A:$C,2,false)</f>
        <v>c_a715193c206b2aa1e4b81b8a3772df33bf92c92611202a890a6bccecb2131fcb@group.calendar.google.com</v>
      </c>
      <c r="W1124" s="69" t="b">
        <v>0</v>
      </c>
      <c r="X1124" s="68" t="str">
        <f>VLOOKUP($A1124,'Calendar ID'!$A:$C,2,false)</f>
        <v>c_a715193c206b2aa1e4b81b8a3772df33bf92c92611202a890a6bccecb2131fcb@group.calendar.google.com</v>
      </c>
      <c r="Y1124" s="20"/>
      <c r="Z1124" s="20"/>
      <c r="AA1124" s="20"/>
      <c r="AB1124" s="20"/>
      <c r="AC1124" s="20"/>
    </row>
    <row r="1125" hidden="1">
      <c r="A1125" s="153" t="s">
        <v>29</v>
      </c>
      <c r="B1125" s="17">
        <v>45490.0</v>
      </c>
      <c r="C1125" s="16" t="s">
        <v>1003</v>
      </c>
      <c r="E1125" s="17"/>
      <c r="F1125" s="67">
        <v>45491.0</v>
      </c>
      <c r="G1125" s="17">
        <v>45533.0</v>
      </c>
      <c r="H1125" s="10" t="s">
        <v>31</v>
      </c>
      <c r="J1125" s="16" t="s">
        <v>97</v>
      </c>
      <c r="K1125" s="23" t="s">
        <v>33</v>
      </c>
      <c r="L1125" s="31" t="s">
        <v>56</v>
      </c>
      <c r="N1125" s="65" t="s">
        <v>1051</v>
      </c>
      <c r="O1125" s="16"/>
      <c r="P1125" s="16"/>
      <c r="Q1125" s="17">
        <f t="shared" si="107"/>
        <v>45490</v>
      </c>
      <c r="S1125" s="20"/>
      <c r="T1125" s="68" t="str">
        <f>VLOOKUP(A1125,'Calendar ID'!$A:$C,3,false)</f>
        <v>pauline@grapperagency.com</v>
      </c>
      <c r="U1125" s="71" t="b">
        <v>0</v>
      </c>
      <c r="V1125" s="68" t="str">
        <f>VLOOKUP($A1125,'Calendar ID'!$A:$C,2,false)</f>
        <v>c_a715193c206b2aa1e4b81b8a3772df33bf92c92611202a890a6bccecb2131fcb@group.calendar.google.com</v>
      </c>
      <c r="W1125" s="69" t="b">
        <v>1</v>
      </c>
      <c r="X1125" s="70" t="s">
        <v>82</v>
      </c>
      <c r="Y1125" s="20"/>
      <c r="Z1125" s="20"/>
      <c r="AA1125" s="20"/>
      <c r="AB1125" s="20"/>
      <c r="AC1125" s="20"/>
    </row>
    <row r="1126" hidden="1">
      <c r="A1126" s="195" t="s">
        <v>29</v>
      </c>
      <c r="B1126" s="17">
        <v>45525.0</v>
      </c>
      <c r="C1126" s="16" t="s">
        <v>175</v>
      </c>
      <c r="E1126" s="17"/>
      <c r="F1126" s="17">
        <v>45537.0</v>
      </c>
      <c r="G1126" s="17">
        <v>45557.0</v>
      </c>
      <c r="H1126" s="10" t="s">
        <v>31</v>
      </c>
      <c r="J1126" s="16" t="s">
        <v>43</v>
      </c>
      <c r="K1126" s="23" t="s">
        <v>33</v>
      </c>
      <c r="L1126" s="31" t="s">
        <v>56</v>
      </c>
      <c r="N1126" s="55" t="s">
        <v>1052</v>
      </c>
      <c r="O1126" s="16"/>
      <c r="P1126" s="16"/>
      <c r="Q1126" s="17">
        <f t="shared" si="107"/>
        <v>45525</v>
      </c>
      <c r="S1126" s="20"/>
      <c r="T1126" s="68" t="str">
        <f>VLOOKUP(A1126,'Calendar ID'!$A:$C,3,false)</f>
        <v>pauline@grapperagency.com</v>
      </c>
      <c r="U1126" s="78" t="b">
        <v>0</v>
      </c>
      <c r="V1126" s="68" t="str">
        <f>VLOOKUP($A1126,'Calendar ID'!$A:$C,2,false)</f>
        <v>c_a715193c206b2aa1e4b81b8a3772df33bf92c92611202a890a6bccecb2131fcb@group.calendar.google.com</v>
      </c>
      <c r="W1126" s="69" t="b">
        <v>1</v>
      </c>
      <c r="X1126" s="70" t="s">
        <v>82</v>
      </c>
      <c r="AA1126" s="16"/>
    </row>
    <row r="1127" hidden="1">
      <c r="A1127" s="153" t="s">
        <v>29</v>
      </c>
      <c r="B1127" s="17">
        <v>45524.0</v>
      </c>
      <c r="C1127" s="16" t="s">
        <v>220</v>
      </c>
      <c r="E1127" s="17"/>
      <c r="F1127" s="17">
        <v>45558.0</v>
      </c>
      <c r="G1127" s="17">
        <v>45571.0</v>
      </c>
      <c r="H1127" s="10" t="s">
        <v>31</v>
      </c>
      <c r="J1127" s="16" t="s">
        <v>43</v>
      </c>
      <c r="K1127" s="23" t="s">
        <v>33</v>
      </c>
      <c r="L1127" s="31" t="s">
        <v>56</v>
      </c>
      <c r="N1127" s="65" t="s">
        <v>1053</v>
      </c>
      <c r="O1127" s="16"/>
      <c r="P1127" s="16"/>
      <c r="Q1127" s="17">
        <f t="shared" si="107"/>
        <v>45524</v>
      </c>
      <c r="S1127" s="20"/>
      <c r="T1127" s="68" t="str">
        <f>VLOOKUP(A1127,'Calendar ID'!$A:$C,3,false)</f>
        <v>pauline@grapperagency.com</v>
      </c>
      <c r="U1127" s="78" t="b">
        <v>0</v>
      </c>
      <c r="V1127" s="68" t="str">
        <f>VLOOKUP($A1127,'Calendar ID'!$A:$C,2,false)</f>
        <v>c_a715193c206b2aa1e4b81b8a3772df33bf92c92611202a890a6bccecb2131fcb@group.calendar.google.com</v>
      </c>
      <c r="W1127" s="69" t="b">
        <v>1</v>
      </c>
      <c r="X1127" s="70" t="s">
        <v>82</v>
      </c>
    </row>
    <row r="1128" hidden="1">
      <c r="A1128" s="195" t="s">
        <v>29</v>
      </c>
      <c r="B1128" s="17">
        <v>45559.0</v>
      </c>
      <c r="C1128" s="16" t="s">
        <v>901</v>
      </c>
      <c r="E1128" s="17"/>
      <c r="F1128" s="17">
        <v>45561.0</v>
      </c>
      <c r="G1128" s="17">
        <v>45582.0</v>
      </c>
      <c r="H1128" s="10" t="s">
        <v>31</v>
      </c>
      <c r="J1128" s="16" t="s">
        <v>43</v>
      </c>
      <c r="K1128" s="23" t="s">
        <v>33</v>
      </c>
      <c r="L1128" s="31" t="s">
        <v>56</v>
      </c>
      <c r="N1128" s="16"/>
      <c r="O1128" s="16"/>
      <c r="P1128" s="16"/>
      <c r="Q1128" s="17">
        <f t="shared" si="107"/>
        <v>45559</v>
      </c>
      <c r="S1128" s="20"/>
      <c r="T1128" s="68" t="str">
        <f>VLOOKUP(A1128,'Calendar ID'!$A:$C,3,false)</f>
        <v>pauline@grapperagency.com</v>
      </c>
      <c r="U1128" s="78" t="b">
        <v>0</v>
      </c>
      <c r="V1128" s="68" t="str">
        <f>VLOOKUP($A1128,'Calendar ID'!$A:$C,2,false)</f>
        <v>c_a715193c206b2aa1e4b81b8a3772df33bf92c92611202a890a6bccecb2131fcb@group.calendar.google.com</v>
      </c>
      <c r="W1128" s="69" t="b">
        <v>1</v>
      </c>
      <c r="X1128" s="70" t="s">
        <v>82</v>
      </c>
    </row>
    <row r="1129" hidden="1">
      <c r="A1129" s="153" t="s">
        <v>29</v>
      </c>
      <c r="B1129" s="82">
        <v>45576.0</v>
      </c>
      <c r="C1129" s="16" t="s">
        <v>717</v>
      </c>
      <c r="E1129" s="17"/>
      <c r="F1129" s="82">
        <v>45593.0</v>
      </c>
      <c r="G1129" s="82">
        <v>45599.0</v>
      </c>
      <c r="H1129" s="10" t="s">
        <v>31</v>
      </c>
      <c r="J1129" s="16" t="s">
        <v>97</v>
      </c>
      <c r="K1129" s="23" t="s">
        <v>33</v>
      </c>
      <c r="L1129" s="31" t="s">
        <v>56</v>
      </c>
      <c r="N1129" s="65" t="s">
        <v>1054</v>
      </c>
      <c r="O1129" s="16"/>
      <c r="P1129" s="16"/>
      <c r="Q1129" s="17">
        <f t="shared" si="107"/>
        <v>45576</v>
      </c>
      <c r="S1129" s="20"/>
      <c r="T1129" s="68" t="str">
        <f>VLOOKUP(A1129,'Calendar ID'!$A:$C,3,false)</f>
        <v>pauline@grapperagency.com</v>
      </c>
      <c r="U1129" s="78" t="b">
        <v>0</v>
      </c>
      <c r="V1129" s="68" t="str">
        <f>VLOOKUP($A1129,'Calendar ID'!$A:$C,2,false)</f>
        <v>c_a715193c206b2aa1e4b81b8a3772df33bf92c92611202a890a6bccecb2131fcb@group.calendar.google.com</v>
      </c>
      <c r="W1129" s="69" t="b">
        <v>1</v>
      </c>
      <c r="X1129" s="70" t="s">
        <v>82</v>
      </c>
    </row>
    <row r="1130" hidden="1">
      <c r="A1130" s="195" t="s">
        <v>29</v>
      </c>
      <c r="B1130" s="17">
        <v>45587.0</v>
      </c>
      <c r="C1130" s="16" t="s">
        <v>757</v>
      </c>
      <c r="E1130" s="17"/>
      <c r="F1130" s="82" t="s">
        <v>1055</v>
      </c>
      <c r="G1130" s="17">
        <v>45611.0</v>
      </c>
      <c r="H1130" s="10" t="s">
        <v>31</v>
      </c>
      <c r="J1130" s="16" t="s">
        <v>43</v>
      </c>
      <c r="K1130" s="23" t="s">
        <v>33</v>
      </c>
      <c r="L1130" s="14" t="s">
        <v>56</v>
      </c>
      <c r="N1130" s="65" t="s">
        <v>1056</v>
      </c>
      <c r="O1130" s="16"/>
      <c r="Q1130" s="17">
        <f t="shared" si="107"/>
        <v>45587</v>
      </c>
      <c r="S1130" s="20"/>
      <c r="T1130" s="68" t="str">
        <f>VLOOKUP(A1130,'Calendar ID'!$A:$C,3,false)</f>
        <v>pauline@grapperagency.com</v>
      </c>
      <c r="U1130" s="78" t="b">
        <v>0</v>
      </c>
      <c r="V1130" s="68" t="str">
        <f>VLOOKUP($A1130,'Calendar ID'!$A:$C,2,false)</f>
        <v>c_a715193c206b2aa1e4b81b8a3772df33bf92c92611202a890a6bccecb2131fcb@group.calendar.google.com</v>
      </c>
      <c r="W1130" s="69" t="b">
        <v>1</v>
      </c>
      <c r="X1130" s="70" t="s">
        <v>82</v>
      </c>
    </row>
    <row r="1131" hidden="1">
      <c r="A1131" s="153" t="s">
        <v>29</v>
      </c>
      <c r="B1131" s="17">
        <v>45594.0</v>
      </c>
      <c r="C1131" s="16" t="s">
        <v>630</v>
      </c>
      <c r="D1131" s="16" t="s">
        <v>1057</v>
      </c>
      <c r="E1131" s="17"/>
      <c r="F1131" s="82">
        <v>45595.0</v>
      </c>
      <c r="G1131" s="82">
        <v>45616.0</v>
      </c>
      <c r="H1131" s="10" t="s">
        <v>31</v>
      </c>
      <c r="J1131" s="16" t="s">
        <v>43</v>
      </c>
      <c r="K1131" s="23" t="s">
        <v>33</v>
      </c>
      <c r="L1131" s="31" t="s">
        <v>56</v>
      </c>
      <c r="N1131" s="16"/>
      <c r="O1131" s="16"/>
      <c r="P1131" s="16"/>
      <c r="Q1131" s="17">
        <f t="shared" si="107"/>
        <v>45594</v>
      </c>
      <c r="S1131" s="20"/>
      <c r="T1131" s="68" t="str">
        <f>VLOOKUP(A1131,'Calendar ID'!$A:$C,3,false)</f>
        <v>pauline@grapperagency.com</v>
      </c>
      <c r="U1131" s="77" t="b">
        <v>0</v>
      </c>
      <c r="V1131" s="68" t="str">
        <f>VLOOKUP($A1131,'Calendar ID'!$A:$C,2,false)</f>
        <v>c_a715193c206b2aa1e4b81b8a3772df33bf92c92611202a890a6bccecb2131fcb@group.calendar.google.com</v>
      </c>
      <c r="W1131" s="77" t="b">
        <v>1</v>
      </c>
      <c r="X1131" s="70" t="s">
        <v>82</v>
      </c>
    </row>
    <row r="1132" hidden="1">
      <c r="A1132" s="195" t="s">
        <v>29</v>
      </c>
      <c r="B1132" s="17">
        <v>45582.0</v>
      </c>
      <c r="C1132" s="16" t="s">
        <v>724</v>
      </c>
      <c r="E1132" s="17"/>
      <c r="F1132" s="82">
        <v>45611.0</v>
      </c>
      <c r="G1132" s="17">
        <v>45628.0</v>
      </c>
      <c r="H1132" s="10" t="s">
        <v>31</v>
      </c>
      <c r="J1132" s="16" t="s">
        <v>97</v>
      </c>
      <c r="K1132" s="23" t="s">
        <v>33</v>
      </c>
      <c r="L1132" s="14" t="s">
        <v>56</v>
      </c>
      <c r="N1132" s="16"/>
      <c r="O1132" s="16"/>
      <c r="P1132" s="16"/>
      <c r="Q1132" s="17">
        <f t="shared" si="107"/>
        <v>45582</v>
      </c>
      <c r="S1132" s="20"/>
      <c r="T1132" s="68" t="str">
        <f>VLOOKUP(A1132,'Calendar ID'!$A:$C,3,false)</f>
        <v>pauline@grapperagency.com</v>
      </c>
      <c r="U1132" s="78" t="b">
        <v>0</v>
      </c>
      <c r="V1132" s="68" t="str">
        <f>VLOOKUP($A1132,'Calendar ID'!$A:$C,2,false)</f>
        <v>c_a715193c206b2aa1e4b81b8a3772df33bf92c92611202a890a6bccecb2131fcb@group.calendar.google.com</v>
      </c>
      <c r="W1132" s="69" t="b">
        <v>1</v>
      </c>
      <c r="X1132" s="70" t="s">
        <v>82</v>
      </c>
    </row>
    <row r="1133" hidden="1">
      <c r="A1133" s="153" t="s">
        <v>29</v>
      </c>
      <c r="B1133" s="17">
        <v>45608.0</v>
      </c>
      <c r="C1133" s="16" t="s">
        <v>713</v>
      </c>
      <c r="D1133" s="16" t="s">
        <v>1058</v>
      </c>
      <c r="E1133" s="17"/>
      <c r="F1133" s="82">
        <v>45611.0</v>
      </c>
      <c r="G1133" s="82">
        <v>45632.0</v>
      </c>
      <c r="H1133" s="10" t="s">
        <v>31</v>
      </c>
      <c r="J1133" s="16" t="s">
        <v>593</v>
      </c>
      <c r="K1133" s="23" t="s">
        <v>33</v>
      </c>
      <c r="L1133" s="31" t="s">
        <v>56</v>
      </c>
      <c r="N1133" s="16"/>
      <c r="O1133" s="16"/>
      <c r="P1133" s="16"/>
      <c r="Q1133" s="17">
        <f t="shared" si="107"/>
        <v>45608</v>
      </c>
      <c r="S1133" s="20"/>
      <c r="T1133" s="68" t="str">
        <f>VLOOKUP(A1133,'Calendar ID'!$A:$C,3,false)</f>
        <v>pauline@grapperagency.com</v>
      </c>
      <c r="U1133" s="77" t="b">
        <v>0</v>
      </c>
      <c r="V1133" s="68" t="str">
        <f>VLOOKUP($A1133,'Calendar ID'!$A:$C,2,false)</f>
        <v>c_a715193c206b2aa1e4b81b8a3772df33bf92c92611202a890a6bccecb2131fcb@group.calendar.google.com</v>
      </c>
      <c r="W1133" s="77" t="b">
        <v>1</v>
      </c>
      <c r="X1133" s="70" t="s">
        <v>82</v>
      </c>
    </row>
    <row r="1134" hidden="1">
      <c r="A1134" s="195" t="s">
        <v>29</v>
      </c>
      <c r="B1134" s="17">
        <v>45628.0</v>
      </c>
      <c r="C1134" s="16" t="s">
        <v>648</v>
      </c>
      <c r="E1134" s="17"/>
      <c r="F1134" s="17">
        <v>45637.0</v>
      </c>
      <c r="G1134" s="17">
        <v>45642.0</v>
      </c>
      <c r="H1134" s="10" t="s">
        <v>31</v>
      </c>
      <c r="J1134" s="16" t="s">
        <v>43</v>
      </c>
      <c r="K1134" s="23" t="s">
        <v>33</v>
      </c>
      <c r="L1134" s="31" t="s">
        <v>56</v>
      </c>
      <c r="N1134" s="16"/>
      <c r="O1134" s="16"/>
      <c r="P1134" s="16"/>
      <c r="Q1134" s="17">
        <f t="shared" si="107"/>
        <v>45628</v>
      </c>
      <c r="S1134" s="20"/>
      <c r="T1134" s="68" t="str">
        <f>VLOOKUP(A1134,'Calendar ID'!$A:$C,3,false)</f>
        <v>pauline@grapperagency.com</v>
      </c>
      <c r="U1134" s="77" t="b">
        <v>0</v>
      </c>
      <c r="V1134" s="68" t="str">
        <f>VLOOKUP($A1134,'Calendar ID'!$A:$C,2,false)</f>
        <v>c_a715193c206b2aa1e4b81b8a3772df33bf92c92611202a890a6bccecb2131fcb@group.calendar.google.com</v>
      </c>
      <c r="W1134" s="77" t="b">
        <v>1</v>
      </c>
      <c r="X1134" s="70" t="s">
        <v>82</v>
      </c>
    </row>
    <row r="1135" hidden="1">
      <c r="A1135" s="153" t="s">
        <v>29</v>
      </c>
      <c r="B1135" s="17">
        <v>45625.0</v>
      </c>
      <c r="C1135" s="16" t="s">
        <v>901</v>
      </c>
      <c r="E1135" s="17"/>
      <c r="F1135" s="17">
        <v>45628.0</v>
      </c>
      <c r="G1135" s="17">
        <v>45649.0</v>
      </c>
      <c r="H1135" s="10" t="s">
        <v>31</v>
      </c>
      <c r="J1135" s="16" t="s">
        <v>593</v>
      </c>
      <c r="K1135" s="23" t="s">
        <v>33</v>
      </c>
      <c r="L1135" s="31" t="s">
        <v>56</v>
      </c>
      <c r="N1135" s="16"/>
      <c r="O1135" s="16"/>
      <c r="P1135" s="16"/>
      <c r="Q1135" s="17">
        <f t="shared" si="107"/>
        <v>45625</v>
      </c>
      <c r="S1135" s="20"/>
      <c r="T1135" s="68" t="str">
        <f>VLOOKUP(A1135,'Calendar ID'!$A:$C,3,false)</f>
        <v>pauline@grapperagency.com</v>
      </c>
      <c r="U1135" s="71" t="b">
        <v>0</v>
      </c>
      <c r="V1135" s="68" t="str">
        <f>VLOOKUP($A1135,'Calendar ID'!$A:$C,2,false)</f>
        <v>c_a715193c206b2aa1e4b81b8a3772df33bf92c92611202a890a6bccecb2131fcb@group.calendar.google.com</v>
      </c>
      <c r="W1135" s="69" t="b">
        <v>1</v>
      </c>
      <c r="X1135" s="70" t="s">
        <v>82</v>
      </c>
    </row>
    <row r="1136" hidden="1">
      <c r="A1136" s="195" t="s">
        <v>29</v>
      </c>
      <c r="B1136" s="17">
        <v>45679.0</v>
      </c>
      <c r="C1136" s="16" t="s">
        <v>1059</v>
      </c>
      <c r="E1136" s="17"/>
      <c r="F1136" s="97">
        <v>45682.0</v>
      </c>
      <c r="G1136" s="106">
        <v>45695.0</v>
      </c>
      <c r="H1136" s="10" t="s">
        <v>31</v>
      </c>
      <c r="J1136" s="16" t="s">
        <v>43</v>
      </c>
      <c r="K1136" s="23" t="s">
        <v>33</v>
      </c>
      <c r="L1136" s="31" t="s">
        <v>56</v>
      </c>
      <c r="N1136" s="65" t="s">
        <v>1060</v>
      </c>
      <c r="O1136" s="16"/>
      <c r="P1136" s="16"/>
      <c r="Q1136" s="17">
        <f t="shared" si="107"/>
        <v>45679</v>
      </c>
      <c r="S1136" s="20"/>
      <c r="T1136" s="68" t="str">
        <f>VLOOKUP(A1136,'Calendar ID'!$A:$C,3,false)</f>
        <v>pauline@grapperagency.com</v>
      </c>
      <c r="U1136" s="78" t="b">
        <v>0</v>
      </c>
      <c r="V1136" s="68" t="str">
        <f>VLOOKUP($A1136,'Calendar ID'!$A:$C,2,false)</f>
        <v>c_a715193c206b2aa1e4b81b8a3772df33bf92c92611202a890a6bccecb2131fcb@group.calendar.google.com</v>
      </c>
      <c r="W1136" s="69" t="b">
        <v>1</v>
      </c>
      <c r="X1136" s="70" t="s">
        <v>82</v>
      </c>
    </row>
    <row r="1137" hidden="1">
      <c r="A1137" s="203" t="s">
        <v>29</v>
      </c>
      <c r="B1137" s="17">
        <v>45711.0</v>
      </c>
      <c r="C1137" s="16" t="s">
        <v>640</v>
      </c>
      <c r="E1137" s="17"/>
      <c r="F1137" s="107">
        <v>45715.0</v>
      </c>
      <c r="G1137" s="122">
        <v>45736.0</v>
      </c>
      <c r="H1137" s="10" t="s">
        <v>31</v>
      </c>
      <c r="J1137" s="16" t="s">
        <v>641</v>
      </c>
      <c r="K1137" s="16" t="s">
        <v>33</v>
      </c>
      <c r="L1137" s="31" t="s">
        <v>56</v>
      </c>
      <c r="N1137" s="65" t="s">
        <v>1061</v>
      </c>
      <c r="O1137" s="16"/>
      <c r="P1137" s="16"/>
      <c r="Q1137" s="17">
        <f t="shared" si="107"/>
        <v>45711</v>
      </c>
      <c r="S1137" s="20"/>
      <c r="T1137" s="68" t="str">
        <f>VLOOKUP(A1137,'Calendar ID'!$A:$C,3,false)</f>
        <v>pauline@grapperagency.com</v>
      </c>
      <c r="U1137" s="71" t="b">
        <v>0</v>
      </c>
      <c r="V1137" s="68" t="str">
        <f>VLOOKUP($A1137,'Calendar ID'!$A:$C,2,false)</f>
        <v>c_a715193c206b2aa1e4b81b8a3772df33bf92c92611202a890a6bccecb2131fcb@group.calendar.google.com</v>
      </c>
      <c r="W1137" s="69" t="b">
        <v>1</v>
      </c>
      <c r="X1137" s="70" t="s">
        <v>82</v>
      </c>
    </row>
    <row r="1138" hidden="1">
      <c r="A1138" s="195" t="s">
        <v>29</v>
      </c>
      <c r="B1138" s="17">
        <v>45759.0</v>
      </c>
      <c r="C1138" s="16" t="s">
        <v>781</v>
      </c>
      <c r="E1138" s="17"/>
      <c r="F1138" s="17"/>
      <c r="G1138" s="38">
        <v>45782.0</v>
      </c>
      <c r="H1138" s="10" t="s">
        <v>31</v>
      </c>
      <c r="J1138" s="16" t="s">
        <v>43</v>
      </c>
      <c r="K1138" s="16" t="s">
        <v>33</v>
      </c>
      <c r="L1138" s="31" t="s">
        <v>56</v>
      </c>
      <c r="N1138" s="16"/>
      <c r="O1138" s="16"/>
      <c r="P1138" s="23"/>
      <c r="Q1138" s="17">
        <f t="shared" si="107"/>
        <v>45759</v>
      </c>
      <c r="R1138" s="15"/>
      <c r="S1138" s="20"/>
      <c r="T1138" s="68" t="str">
        <f>VLOOKUP(A1138,'Calendar ID'!$A:$C,3,false)</f>
        <v>pauline@grapperagency.com</v>
      </c>
      <c r="U1138" s="71" t="b">
        <v>0</v>
      </c>
      <c r="V1138" s="68" t="str">
        <f>VLOOKUP($A1138,'Calendar ID'!$A:$C,2,false)</f>
        <v>c_a715193c206b2aa1e4b81b8a3772df33bf92c92611202a890a6bccecb2131fcb@group.calendar.google.com</v>
      </c>
      <c r="W1138" s="71" t="b">
        <v>0</v>
      </c>
      <c r="X1138" s="68" t="str">
        <f>VLOOKUP($A1138,'Calendar ID'!$A:$C,2,false)</f>
        <v>c_a715193c206b2aa1e4b81b8a3772df33bf92c92611202a890a6bccecb2131fcb@group.calendar.google.com</v>
      </c>
    </row>
    <row r="1139" hidden="1">
      <c r="A1139" s="198" t="s">
        <v>29</v>
      </c>
      <c r="B1139" s="17">
        <v>45762.0</v>
      </c>
      <c r="C1139" s="10" t="s">
        <v>624</v>
      </c>
      <c r="E1139" s="17"/>
      <c r="F1139" s="17"/>
      <c r="G1139" s="38">
        <v>45782.0</v>
      </c>
      <c r="H1139" s="10" t="s">
        <v>31</v>
      </c>
      <c r="J1139" s="16" t="s">
        <v>593</v>
      </c>
      <c r="K1139" s="16" t="s">
        <v>33</v>
      </c>
      <c r="L1139" s="31"/>
      <c r="N1139" s="172" t="s">
        <v>1062</v>
      </c>
      <c r="O1139" s="16"/>
      <c r="P1139" s="23"/>
      <c r="Q1139" s="17">
        <f t="shared" si="107"/>
        <v>45762</v>
      </c>
      <c r="R1139" s="15"/>
      <c r="S1139" s="20"/>
      <c r="T1139" s="68"/>
      <c r="U1139" s="77"/>
      <c r="V1139" s="68"/>
      <c r="W1139" s="71"/>
      <c r="X1139" s="20"/>
    </row>
    <row r="1140" hidden="1">
      <c r="A1140" s="202" t="s">
        <v>29</v>
      </c>
      <c r="B1140" s="17">
        <v>45386.0</v>
      </c>
      <c r="C1140" s="29" t="s">
        <v>410</v>
      </c>
      <c r="H1140" s="16" t="s">
        <v>31</v>
      </c>
      <c r="J1140" s="16" t="s">
        <v>767</v>
      </c>
      <c r="K1140" s="16" t="s">
        <v>33</v>
      </c>
      <c r="L1140" s="14" t="s">
        <v>56</v>
      </c>
      <c r="Q1140" s="17">
        <f t="shared" si="107"/>
        <v>45386</v>
      </c>
      <c r="S1140" s="20"/>
      <c r="T1140" s="20" t="str">
        <f>VLOOKUP(A1140,'Calendar ID'!$A:$C,3,false)</f>
        <v>pauline@grapperagency.com</v>
      </c>
      <c r="U1140" s="20" t="b">
        <v>0</v>
      </c>
      <c r="V1140" s="20" t="str">
        <f>VLOOKUP($A1140,'Calendar ID'!$A:$C,2,false)</f>
        <v>c_a715193c206b2aa1e4b81b8a3772df33bf92c92611202a890a6bccecb2131fcb@group.calendar.google.com</v>
      </c>
      <c r="W1140" s="19" t="b">
        <v>0</v>
      </c>
      <c r="X1140" s="20" t="str">
        <f>VLOOKUP($A1140,'Calendar ID'!$A:$C,2,false)</f>
        <v>c_a715193c206b2aa1e4b81b8a3772df33bf92c92611202a890a6bccecb2131fcb@group.calendar.google.com</v>
      </c>
      <c r="Y1140" s="20"/>
      <c r="Z1140" s="20"/>
      <c r="AA1140" s="20"/>
      <c r="AB1140" s="20"/>
      <c r="AC1140" s="20"/>
    </row>
    <row r="1141" hidden="1">
      <c r="A1141" s="203" t="s">
        <v>29</v>
      </c>
      <c r="B1141" s="17">
        <v>45389.0</v>
      </c>
      <c r="C1141" s="7" t="s">
        <v>901</v>
      </c>
      <c r="G1141" s="10"/>
      <c r="H1141" s="16" t="s">
        <v>31</v>
      </c>
      <c r="J1141" s="16" t="s">
        <v>97</v>
      </c>
      <c r="K1141" s="16" t="s">
        <v>33</v>
      </c>
      <c r="L1141" s="14" t="s">
        <v>56</v>
      </c>
      <c r="Q1141" s="17">
        <f t="shared" si="107"/>
        <v>45389</v>
      </c>
      <c r="S1141" s="20"/>
      <c r="T1141" s="20" t="str">
        <f>VLOOKUP(A1141,'Calendar ID'!$A:$C,3,false)</f>
        <v>pauline@grapperagency.com</v>
      </c>
      <c r="U1141" s="20" t="b">
        <v>0</v>
      </c>
      <c r="V1141" s="20" t="str">
        <f>VLOOKUP($A1141,'Calendar ID'!$A:$C,2,false)</f>
        <v>c_a715193c206b2aa1e4b81b8a3772df33bf92c92611202a890a6bccecb2131fcb@group.calendar.google.com</v>
      </c>
      <c r="W1141" s="19" t="b">
        <v>0</v>
      </c>
      <c r="X1141" s="20" t="str">
        <f>VLOOKUP($A1141,'Calendar ID'!$A:$C,2,false)</f>
        <v>c_a715193c206b2aa1e4b81b8a3772df33bf92c92611202a890a6bccecb2131fcb@group.calendar.google.com</v>
      </c>
      <c r="Y1141" s="20"/>
      <c r="Z1141" s="20"/>
      <c r="AA1141" s="20"/>
      <c r="AB1141" s="20"/>
      <c r="AC1141" s="20"/>
    </row>
    <row r="1142" hidden="1">
      <c r="A1142" s="195" t="s">
        <v>29</v>
      </c>
      <c r="B1142" s="17">
        <v>45391.0</v>
      </c>
      <c r="C1142" s="29" t="s">
        <v>770</v>
      </c>
      <c r="H1142" s="16" t="s">
        <v>31</v>
      </c>
      <c r="J1142" s="16" t="s">
        <v>97</v>
      </c>
      <c r="K1142" s="16" t="s">
        <v>33</v>
      </c>
      <c r="L1142" s="14" t="s">
        <v>56</v>
      </c>
      <c r="Q1142" s="17">
        <f t="shared" si="107"/>
        <v>45391</v>
      </c>
      <c r="S1142" s="20"/>
      <c r="T1142" s="20" t="str">
        <f>VLOOKUP(A1142,'Calendar ID'!$A:$C,3,false)</f>
        <v>pauline@grapperagency.com</v>
      </c>
      <c r="U1142" s="20" t="b">
        <v>0</v>
      </c>
      <c r="V1142" s="20" t="str">
        <f>VLOOKUP($A1142,'Calendar ID'!$A:$C,2,false)</f>
        <v>c_a715193c206b2aa1e4b81b8a3772df33bf92c92611202a890a6bccecb2131fcb@group.calendar.google.com</v>
      </c>
      <c r="W1142" s="19" t="b">
        <v>0</v>
      </c>
      <c r="X1142" s="20" t="str">
        <f>VLOOKUP($A1142,'Calendar ID'!$A:$C,2,false)</f>
        <v>c_a715193c206b2aa1e4b81b8a3772df33bf92c92611202a890a6bccecb2131fcb@group.calendar.google.com</v>
      </c>
      <c r="Y1142" s="20"/>
      <c r="Z1142" s="20"/>
      <c r="AA1142" s="20"/>
      <c r="AB1142" s="20"/>
      <c r="AC1142" s="20"/>
    </row>
    <row r="1143" hidden="1">
      <c r="A1143" s="153" t="s">
        <v>29</v>
      </c>
      <c r="B1143" s="17">
        <v>45401.0</v>
      </c>
      <c r="C1143" s="16" t="s">
        <v>1063</v>
      </c>
      <c r="G1143" s="10"/>
      <c r="H1143" s="10" t="s">
        <v>31</v>
      </c>
      <c r="K1143" s="16" t="s">
        <v>72</v>
      </c>
      <c r="L1143" s="31">
        <v>144.0</v>
      </c>
      <c r="N1143" s="16"/>
      <c r="O1143" s="16"/>
      <c r="P1143" s="16" t="s">
        <v>34</v>
      </c>
      <c r="Q1143" s="17">
        <f t="shared" si="107"/>
        <v>45401</v>
      </c>
      <c r="R1143" s="18">
        <f>L1143*0.2</f>
        <v>28.8</v>
      </c>
      <c r="S1143" s="19" t="b">
        <v>1</v>
      </c>
      <c r="T1143" s="20"/>
      <c r="U1143" s="20"/>
      <c r="V1143" s="20"/>
      <c r="W1143" s="20"/>
      <c r="X1143" s="20"/>
      <c r="Y1143" s="16"/>
      <c r="Z1143" s="16"/>
      <c r="AA1143" s="16"/>
      <c r="AB1143" s="16"/>
      <c r="AC1143" s="16"/>
    </row>
    <row r="1144" hidden="1">
      <c r="A1144" s="195" t="s">
        <v>29</v>
      </c>
      <c r="B1144" s="17">
        <v>45433.0</v>
      </c>
      <c r="C1144" s="16" t="s">
        <v>410</v>
      </c>
      <c r="D1144" s="16" t="s">
        <v>802</v>
      </c>
      <c r="E1144" s="17"/>
      <c r="G1144" s="17"/>
      <c r="H1144" s="16" t="s">
        <v>31</v>
      </c>
      <c r="J1144" s="16" t="s">
        <v>97</v>
      </c>
      <c r="K1144" s="16" t="s">
        <v>33</v>
      </c>
      <c r="L1144" s="31" t="s">
        <v>56</v>
      </c>
      <c r="N1144" s="16"/>
      <c r="O1144" s="16"/>
      <c r="P1144" s="16"/>
      <c r="Q1144" s="17">
        <f t="shared" si="107"/>
        <v>45433</v>
      </c>
      <c r="S1144" s="20"/>
      <c r="T1144" s="20" t="str">
        <f>VLOOKUP(A1144,'Calendar ID'!$A:$C,3,false)</f>
        <v>pauline@grapperagency.com</v>
      </c>
      <c r="U1144" s="20" t="b">
        <v>0</v>
      </c>
      <c r="V1144" s="20" t="str">
        <f>VLOOKUP($A1144,'Calendar ID'!$A:$C,2,false)</f>
        <v>c_a715193c206b2aa1e4b81b8a3772df33bf92c92611202a890a6bccecb2131fcb@group.calendar.google.com</v>
      </c>
      <c r="W1144" s="19" t="b">
        <v>0</v>
      </c>
      <c r="X1144" s="20" t="str">
        <f>VLOOKUP($A1144,'Calendar ID'!$A:$C,2,false)</f>
        <v>c_a715193c206b2aa1e4b81b8a3772df33bf92c92611202a890a6bccecb2131fcb@group.calendar.google.com</v>
      </c>
      <c r="Y1144" s="20"/>
      <c r="Z1144" s="20"/>
      <c r="AA1144" s="20"/>
      <c r="AB1144" s="20"/>
      <c r="AC1144" s="20"/>
    </row>
    <row r="1145" hidden="1">
      <c r="A1145" s="153" t="s">
        <v>29</v>
      </c>
      <c r="B1145" s="17">
        <v>45439.0</v>
      </c>
      <c r="C1145" s="16" t="s">
        <v>773</v>
      </c>
      <c r="E1145" s="17"/>
      <c r="G1145" s="17"/>
      <c r="H1145" s="16" t="s">
        <v>31</v>
      </c>
      <c r="J1145" s="16" t="s">
        <v>97</v>
      </c>
      <c r="K1145" s="16" t="s">
        <v>33</v>
      </c>
      <c r="L1145" s="31" t="s">
        <v>56</v>
      </c>
      <c r="Q1145" s="17">
        <f t="shared" si="107"/>
        <v>45439</v>
      </c>
      <c r="S1145" s="20"/>
      <c r="T1145" s="20" t="str">
        <f>VLOOKUP(A1145,'Calendar ID'!$A:$C,3,false)</f>
        <v>pauline@grapperagency.com</v>
      </c>
      <c r="U1145" s="20" t="b">
        <v>0</v>
      </c>
      <c r="V1145" s="20" t="str">
        <f>VLOOKUP($A1145,'Calendar ID'!$A:$C,2,false)</f>
        <v>c_a715193c206b2aa1e4b81b8a3772df33bf92c92611202a890a6bccecb2131fcb@group.calendar.google.com</v>
      </c>
      <c r="W1145" s="19" t="b">
        <v>0</v>
      </c>
      <c r="X1145" s="20" t="str">
        <f>VLOOKUP($A1145,'Calendar ID'!$A:$C,2,false)</f>
        <v>c_a715193c206b2aa1e4b81b8a3772df33bf92c92611202a890a6bccecb2131fcb@group.calendar.google.com</v>
      </c>
      <c r="Y1145" s="20"/>
      <c r="Z1145" s="20"/>
      <c r="AA1145" s="20"/>
      <c r="AB1145" s="20"/>
      <c r="AC1145" s="20"/>
    </row>
    <row r="1146" hidden="1">
      <c r="A1146" s="195" t="s">
        <v>29</v>
      </c>
      <c r="B1146" s="17">
        <v>45451.0</v>
      </c>
      <c r="C1146" s="16" t="s">
        <v>403</v>
      </c>
      <c r="E1146" s="17"/>
      <c r="G1146" s="17"/>
      <c r="H1146" s="16" t="s">
        <v>31</v>
      </c>
      <c r="J1146" s="16" t="s">
        <v>97</v>
      </c>
      <c r="K1146" s="16" t="s">
        <v>33</v>
      </c>
      <c r="L1146" s="31" t="s">
        <v>56</v>
      </c>
      <c r="N1146" s="16"/>
      <c r="O1146" s="16"/>
      <c r="P1146" s="16"/>
      <c r="Q1146" s="17">
        <f t="shared" si="107"/>
        <v>45451</v>
      </c>
      <c r="S1146" s="20"/>
      <c r="T1146" s="20" t="str">
        <f>VLOOKUP(A1146,'Calendar ID'!$A:$C,3,false)</f>
        <v>pauline@grapperagency.com</v>
      </c>
      <c r="U1146" s="20" t="b">
        <v>0</v>
      </c>
      <c r="V1146" s="20" t="str">
        <f>VLOOKUP($A1146,'Calendar ID'!$A:$C,2,false)</f>
        <v>c_a715193c206b2aa1e4b81b8a3772df33bf92c92611202a890a6bccecb2131fcb@group.calendar.google.com</v>
      </c>
      <c r="W1146" s="19" t="b">
        <v>0</v>
      </c>
      <c r="X1146" s="20" t="str">
        <f>VLOOKUP($A1146,'Calendar ID'!$A:$C,2,false)</f>
        <v>c_a715193c206b2aa1e4b81b8a3772df33bf92c92611202a890a6bccecb2131fcb@group.calendar.google.com</v>
      </c>
      <c r="Y1146" s="20"/>
      <c r="Z1146" s="20"/>
      <c r="AA1146" s="20"/>
      <c r="AB1146" s="20"/>
      <c r="AC1146" s="20"/>
    </row>
    <row r="1147" hidden="1">
      <c r="A1147" s="153" t="s">
        <v>29</v>
      </c>
      <c r="B1147" s="17">
        <v>45462.0</v>
      </c>
      <c r="C1147" s="16" t="s">
        <v>296</v>
      </c>
      <c r="E1147" s="17"/>
      <c r="G1147" s="17"/>
      <c r="H1147" s="16" t="s">
        <v>31</v>
      </c>
      <c r="J1147" s="16" t="s">
        <v>97</v>
      </c>
      <c r="K1147" s="16" t="s">
        <v>33</v>
      </c>
      <c r="L1147" s="31" t="s">
        <v>56</v>
      </c>
      <c r="N1147" s="65" t="s">
        <v>1064</v>
      </c>
      <c r="O1147" s="16"/>
      <c r="P1147" s="16"/>
      <c r="Q1147" s="17">
        <f t="shared" si="107"/>
        <v>45462</v>
      </c>
      <c r="S1147" s="20"/>
      <c r="T1147" s="20" t="str">
        <f>VLOOKUP(A1147,'Calendar ID'!$A:$C,3,false)</f>
        <v>pauline@grapperagency.com</v>
      </c>
      <c r="U1147" s="20" t="b">
        <v>0</v>
      </c>
      <c r="V1147" s="20" t="str">
        <f>VLOOKUP($A1147,'Calendar ID'!$A:$C,2,false)</f>
        <v>c_a715193c206b2aa1e4b81b8a3772df33bf92c92611202a890a6bccecb2131fcb@group.calendar.google.com</v>
      </c>
      <c r="W1147" s="19" t="b">
        <v>0</v>
      </c>
      <c r="X1147" s="20" t="str">
        <f>VLOOKUP($A1147,'Calendar ID'!$A:$C,2,false)</f>
        <v>c_a715193c206b2aa1e4b81b8a3772df33bf92c92611202a890a6bccecb2131fcb@group.calendar.google.com</v>
      </c>
      <c r="Y1147" s="20"/>
      <c r="Z1147" s="20"/>
      <c r="AA1147" s="20"/>
      <c r="AB1147" s="20"/>
      <c r="AC1147" s="20"/>
    </row>
    <row r="1148" hidden="1">
      <c r="A1148" s="195" t="s">
        <v>29</v>
      </c>
      <c r="B1148" s="17">
        <v>45561.0</v>
      </c>
      <c r="C1148" s="16" t="s">
        <v>245</v>
      </c>
      <c r="E1148" s="26"/>
      <c r="F1148" s="17"/>
      <c r="G1148" s="17"/>
      <c r="H1148" s="10" t="s">
        <v>31</v>
      </c>
      <c r="J1148" s="16" t="s">
        <v>43</v>
      </c>
      <c r="K1148" s="23" t="s">
        <v>33</v>
      </c>
      <c r="L1148" s="51">
        <v>150.0</v>
      </c>
      <c r="N1148" s="16"/>
      <c r="O1148" s="16"/>
      <c r="P1148" s="16" t="s">
        <v>34</v>
      </c>
      <c r="Q1148" s="17">
        <f t="shared" si="107"/>
        <v>45561</v>
      </c>
      <c r="R1148" s="81">
        <f t="shared" ref="R1148:R1149" si="115">L1148*0.2</f>
        <v>30</v>
      </c>
      <c r="S1148" s="20"/>
      <c r="T1148" s="68" t="str">
        <f>VLOOKUP(A1148,'Calendar ID'!$A:$C,3,false)</f>
        <v>pauline@grapperagency.com</v>
      </c>
      <c r="U1148" s="78" t="b">
        <v>0</v>
      </c>
      <c r="V1148" s="68" t="str">
        <f>VLOOKUP($A1148,'Calendar ID'!$A:$C,2,false)</f>
        <v>c_a715193c206b2aa1e4b81b8a3772df33bf92c92611202a890a6bccecb2131fcb@group.calendar.google.com</v>
      </c>
      <c r="W1148" s="71" t="b">
        <v>0</v>
      </c>
      <c r="X1148" s="68" t="str">
        <f>VLOOKUP($A1148,'Calendar ID'!$A:$C,2,false)</f>
        <v>c_a715193c206b2aa1e4b81b8a3772df33bf92c92611202a890a6bccecb2131fcb@group.calendar.google.com</v>
      </c>
    </row>
    <row r="1149" hidden="1">
      <c r="A1149" s="153" t="s">
        <v>29</v>
      </c>
      <c r="B1149" s="17">
        <v>45804.0</v>
      </c>
      <c r="C1149" s="16" t="s">
        <v>245</v>
      </c>
      <c r="E1149" s="17"/>
      <c r="F1149" s="17"/>
      <c r="G1149" s="17"/>
      <c r="H1149" s="10" t="s">
        <v>31</v>
      </c>
      <c r="I1149" s="10" t="s">
        <v>1065</v>
      </c>
      <c r="J1149" s="16" t="s">
        <v>43</v>
      </c>
      <c r="K1149" s="16" t="s">
        <v>74</v>
      </c>
      <c r="L1149" s="31">
        <v>200.0</v>
      </c>
      <c r="N1149" s="16"/>
      <c r="O1149" s="16"/>
      <c r="P1149" s="10" t="s">
        <v>34</v>
      </c>
      <c r="Q1149" s="17">
        <f t="shared" si="107"/>
        <v>45804</v>
      </c>
      <c r="R1149" s="18">
        <f t="shared" si="115"/>
        <v>40</v>
      </c>
      <c r="S1149" s="20"/>
      <c r="T1149" s="68" t="str">
        <f>VLOOKUP(A1149,'Calendar ID'!$A:$C,3,false)</f>
        <v>pauline@grapperagency.com</v>
      </c>
      <c r="U1149" s="71" t="b">
        <v>0</v>
      </c>
      <c r="V1149" s="68" t="str">
        <f>VLOOKUP($A1149,'Calendar ID'!$A:$C,2,false)</f>
        <v>c_a715193c206b2aa1e4b81b8a3772df33bf92c92611202a890a6bccecb2131fcb@group.calendar.google.com</v>
      </c>
      <c r="W1149" s="71" t="b">
        <v>0</v>
      </c>
      <c r="X1149" s="68" t="str">
        <f>VLOOKUP($A1149,'Calendar ID'!$A:$C,2,false)</f>
        <v>c_a715193c206b2aa1e4b81b8a3772df33bf92c92611202a890a6bccecb2131fcb@group.calendar.google.com</v>
      </c>
    </row>
    <row r="1150" hidden="1">
      <c r="A1150" s="195" t="s">
        <v>29</v>
      </c>
      <c r="B1150" s="17">
        <v>45484.0</v>
      </c>
      <c r="C1150" s="16" t="s">
        <v>386</v>
      </c>
      <c r="E1150" s="17"/>
      <c r="G1150" s="17"/>
      <c r="H1150" s="10" t="s">
        <v>31</v>
      </c>
      <c r="J1150" s="16" t="s">
        <v>97</v>
      </c>
      <c r="K1150" s="23" t="s">
        <v>33</v>
      </c>
      <c r="L1150" s="31" t="s">
        <v>56</v>
      </c>
      <c r="N1150" s="16"/>
      <c r="O1150" s="16"/>
      <c r="P1150" s="16"/>
      <c r="Q1150" s="17">
        <f t="shared" si="107"/>
        <v>45484</v>
      </c>
      <c r="S1150" s="20"/>
      <c r="T1150" s="68" t="str">
        <f>VLOOKUP(A1150,'Calendar ID'!$A:$C,3,false)</f>
        <v>pauline@grapperagency.com</v>
      </c>
      <c r="U1150" s="71" t="b">
        <v>0</v>
      </c>
      <c r="V1150" s="68" t="str">
        <f>VLOOKUP($A1150,'Calendar ID'!$A:$C,2,false)</f>
        <v>c_a715193c206b2aa1e4b81b8a3772df33bf92c92611202a890a6bccecb2131fcb@group.calendar.google.com</v>
      </c>
      <c r="W1150" s="71" t="b">
        <v>0</v>
      </c>
      <c r="X1150" s="68" t="str">
        <f>VLOOKUP($A1150,'Calendar ID'!$A:$C,2,false)</f>
        <v>c_a715193c206b2aa1e4b81b8a3772df33bf92c92611202a890a6bccecb2131fcb@group.calendar.google.com</v>
      </c>
      <c r="Y1150" s="20"/>
      <c r="Z1150" s="20"/>
      <c r="AA1150" s="20"/>
      <c r="AB1150" s="20"/>
      <c r="AC1150" s="20"/>
    </row>
    <row r="1151" hidden="1">
      <c r="A1151" s="203" t="s">
        <v>29</v>
      </c>
      <c r="B1151" s="17">
        <v>45407.0</v>
      </c>
      <c r="C1151" s="16" t="s">
        <v>287</v>
      </c>
      <c r="E1151" s="17"/>
      <c r="H1151" s="16" t="s">
        <v>31</v>
      </c>
      <c r="J1151" s="16" t="s">
        <v>97</v>
      </c>
      <c r="K1151" s="14" t="s">
        <v>33</v>
      </c>
      <c r="L1151" s="31" t="s">
        <v>56</v>
      </c>
      <c r="N1151" s="55" t="s">
        <v>1066</v>
      </c>
      <c r="O1151" s="16"/>
      <c r="P1151" s="16"/>
      <c r="Q1151" s="17">
        <f t="shared" si="107"/>
        <v>45407</v>
      </c>
      <c r="S1151" s="20"/>
      <c r="T1151" s="20"/>
      <c r="U1151" s="20"/>
      <c r="V1151" s="20"/>
      <c r="W1151" s="20"/>
      <c r="X1151" s="20"/>
      <c r="Y1151" s="20"/>
      <c r="Z1151" s="20"/>
      <c r="AA1151" s="20"/>
      <c r="AB1151" s="20"/>
      <c r="AC1151" s="20"/>
    </row>
    <row r="1152" hidden="1">
      <c r="A1152" s="195" t="s">
        <v>29</v>
      </c>
      <c r="B1152" s="11">
        <v>45510.0</v>
      </c>
      <c r="C1152" s="16" t="s">
        <v>773</v>
      </c>
      <c r="E1152" s="17"/>
      <c r="G1152" s="17"/>
      <c r="H1152" s="10" t="s">
        <v>31</v>
      </c>
      <c r="J1152" s="16" t="s">
        <v>97</v>
      </c>
      <c r="K1152" s="23" t="s">
        <v>33</v>
      </c>
      <c r="L1152" s="31" t="s">
        <v>56</v>
      </c>
      <c r="N1152" s="16"/>
      <c r="O1152" s="16"/>
      <c r="P1152" s="16"/>
      <c r="Q1152" s="17">
        <f t="shared" si="107"/>
        <v>45510</v>
      </c>
      <c r="S1152" s="20"/>
      <c r="T1152" s="68" t="str">
        <f>VLOOKUP(A1152,'Calendar ID'!$A:$C,3,false)</f>
        <v>pauline@grapperagency.com</v>
      </c>
      <c r="U1152" s="78" t="b">
        <v>0</v>
      </c>
      <c r="V1152" s="68" t="str">
        <f>VLOOKUP($A1152,'Calendar ID'!$A:$C,2,false)</f>
        <v>c_a715193c206b2aa1e4b81b8a3772df33bf92c92611202a890a6bccecb2131fcb@group.calendar.google.com</v>
      </c>
      <c r="W1152" s="71" t="b">
        <v>0</v>
      </c>
      <c r="X1152" s="68" t="str">
        <f>VLOOKUP($A1152,'Calendar ID'!$A:$C,2,false)</f>
        <v>c_a715193c206b2aa1e4b81b8a3772df33bf92c92611202a890a6bccecb2131fcb@group.calendar.google.com</v>
      </c>
      <c r="AA1152" s="16" t="s">
        <v>846</v>
      </c>
    </row>
    <row r="1153" hidden="1">
      <c r="A1153" s="153" t="s">
        <v>29</v>
      </c>
      <c r="B1153" s="11">
        <v>45511.0</v>
      </c>
      <c r="C1153" s="16" t="s">
        <v>724</v>
      </c>
      <c r="E1153" s="17"/>
      <c r="G1153" s="17"/>
      <c r="H1153" s="10" t="s">
        <v>31</v>
      </c>
      <c r="J1153" s="16" t="s">
        <v>97</v>
      </c>
      <c r="K1153" s="23" t="s">
        <v>33</v>
      </c>
      <c r="L1153" s="31" t="s">
        <v>56</v>
      </c>
      <c r="N1153" s="55" t="s">
        <v>1067</v>
      </c>
      <c r="O1153" s="16"/>
      <c r="P1153" s="16"/>
      <c r="Q1153" s="17">
        <f t="shared" si="107"/>
        <v>45511</v>
      </c>
      <c r="S1153" s="20"/>
      <c r="T1153" s="68" t="str">
        <f>VLOOKUP(A1153,'Calendar ID'!$A:$C,3,false)</f>
        <v>pauline@grapperagency.com</v>
      </c>
      <c r="U1153" s="78" t="b">
        <v>0</v>
      </c>
      <c r="V1153" s="68" t="str">
        <f>VLOOKUP($A1153,'Calendar ID'!$A:$C,2,false)</f>
        <v>c_a715193c206b2aa1e4b81b8a3772df33bf92c92611202a890a6bccecb2131fcb@group.calendar.google.com</v>
      </c>
      <c r="W1153" s="71" t="b">
        <v>0</v>
      </c>
      <c r="X1153" s="68" t="str">
        <f>VLOOKUP($A1153,'Calendar ID'!$A:$C,2,false)</f>
        <v>c_a715193c206b2aa1e4b81b8a3772df33bf92c92611202a890a6bccecb2131fcb@group.calendar.google.com</v>
      </c>
      <c r="AA1153" s="29"/>
    </row>
    <row r="1154" hidden="1">
      <c r="A1154" s="195" t="s">
        <v>29</v>
      </c>
      <c r="B1154" s="17">
        <v>45481.0</v>
      </c>
      <c r="C1154" s="16" t="s">
        <v>1068</v>
      </c>
      <c r="E1154" s="17"/>
      <c r="F1154" s="17"/>
      <c r="G1154" s="17"/>
      <c r="H1154" s="10" t="s">
        <v>31</v>
      </c>
      <c r="J1154" s="7" t="s">
        <v>43</v>
      </c>
      <c r="K1154" s="23" t="s">
        <v>33</v>
      </c>
      <c r="L1154" s="31" t="s">
        <v>1069</v>
      </c>
      <c r="N1154" s="16"/>
      <c r="O1154" s="16"/>
      <c r="P1154" s="16"/>
      <c r="Q1154" s="17">
        <f t="shared" si="107"/>
        <v>45481</v>
      </c>
      <c r="S1154" s="20"/>
      <c r="T1154" s="68" t="str">
        <f>VLOOKUP(A1154,'Calendar ID'!$A:$C,3,false)</f>
        <v>pauline@grapperagency.com</v>
      </c>
      <c r="U1154" s="71" t="b">
        <v>0</v>
      </c>
      <c r="V1154" s="68" t="str">
        <f>VLOOKUP($A1154,'Calendar ID'!$A:$C,2,false)</f>
        <v>c_a715193c206b2aa1e4b81b8a3772df33bf92c92611202a890a6bccecb2131fcb@group.calendar.google.com</v>
      </c>
      <c r="W1154" s="71" t="b">
        <v>0</v>
      </c>
      <c r="X1154" s="68" t="str">
        <f>VLOOKUP($A1154,'Calendar ID'!$A:$C,2,false)</f>
        <v>c_a715193c206b2aa1e4b81b8a3772df33bf92c92611202a890a6bccecb2131fcb@group.calendar.google.com</v>
      </c>
      <c r="Y1154" s="20"/>
      <c r="Z1154" s="20"/>
      <c r="AA1154" s="20"/>
      <c r="AB1154" s="20"/>
      <c r="AC1154" s="20"/>
    </row>
    <row r="1155" hidden="1">
      <c r="A1155" s="16" t="s">
        <v>29</v>
      </c>
      <c r="B1155" s="17">
        <v>45523.0</v>
      </c>
      <c r="C1155" s="16" t="s">
        <v>678</v>
      </c>
      <c r="E1155" s="17"/>
      <c r="G1155" s="17"/>
      <c r="H1155" s="10" t="s">
        <v>31</v>
      </c>
      <c r="J1155" s="16" t="s">
        <v>266</v>
      </c>
      <c r="K1155" s="23" t="s">
        <v>33</v>
      </c>
      <c r="L1155" s="31" t="s">
        <v>56</v>
      </c>
      <c r="N1155" s="16"/>
      <c r="O1155" s="16"/>
      <c r="P1155" s="16"/>
      <c r="Q1155" s="17">
        <f t="shared" si="107"/>
        <v>45523</v>
      </c>
      <c r="S1155" s="20"/>
      <c r="T1155" s="68" t="str">
        <f>VLOOKUP(A1155,'Calendar ID'!$A:$C,3,false)</f>
        <v>pauline@grapperagency.com</v>
      </c>
      <c r="U1155" s="78" t="b">
        <v>0</v>
      </c>
      <c r="V1155" s="68" t="str">
        <f>VLOOKUP($A1155,'Calendar ID'!$A:$C,2,false)</f>
        <v>c_a715193c206b2aa1e4b81b8a3772df33bf92c92611202a890a6bccecb2131fcb@group.calendar.google.com</v>
      </c>
      <c r="W1155" s="71" t="b">
        <v>0</v>
      </c>
      <c r="X1155" s="68" t="str">
        <f>VLOOKUP($A1155,'Calendar ID'!$A:$C,2,false)</f>
        <v>c_a715193c206b2aa1e4b81b8a3772df33bf92c92611202a890a6bccecb2131fcb@group.calendar.google.com</v>
      </c>
      <c r="AA1155" s="16"/>
    </row>
    <row r="1156" hidden="1">
      <c r="A1156" s="16" t="s">
        <v>29</v>
      </c>
      <c r="B1156" s="17">
        <v>45510.0</v>
      </c>
      <c r="C1156" s="16" t="s">
        <v>634</v>
      </c>
      <c r="E1156" s="17"/>
      <c r="F1156" s="17"/>
      <c r="G1156" s="17"/>
      <c r="H1156" s="10" t="s">
        <v>31</v>
      </c>
      <c r="J1156" s="16" t="s">
        <v>97</v>
      </c>
      <c r="K1156" s="23" t="s">
        <v>33</v>
      </c>
      <c r="L1156" s="31" t="s">
        <v>56</v>
      </c>
      <c r="N1156" s="55" t="s">
        <v>1070</v>
      </c>
      <c r="O1156" s="16"/>
      <c r="P1156" s="16"/>
      <c r="Q1156" s="17">
        <f t="shared" si="107"/>
        <v>45510</v>
      </c>
      <c r="S1156" s="20"/>
      <c r="T1156" s="68" t="str">
        <f>VLOOKUP(A1156,'Calendar ID'!$A:$C,3,false)</f>
        <v>pauline@grapperagency.com</v>
      </c>
      <c r="U1156" s="69" t="b">
        <v>0</v>
      </c>
      <c r="V1156" s="68" t="str">
        <f>VLOOKUP($A1156,'Calendar ID'!$A:$C,2,false)</f>
        <v>c_a715193c206b2aa1e4b81b8a3772df33bf92c92611202a890a6bccecb2131fcb@group.calendar.google.com</v>
      </c>
      <c r="W1156" s="69" t="b">
        <v>0</v>
      </c>
      <c r="X1156" s="68" t="str">
        <f>VLOOKUP($A1156,'Calendar ID'!$A:$C,2,false)</f>
        <v>c_a715193c206b2aa1e4b81b8a3772df33bf92c92611202a890a6bccecb2131fcb@group.calendar.google.com</v>
      </c>
      <c r="Y1156" s="20"/>
      <c r="Z1156" s="20"/>
      <c r="AA1156" s="16"/>
      <c r="AB1156" s="20"/>
      <c r="AC1156" s="20"/>
    </row>
    <row r="1157" hidden="1">
      <c r="A1157" s="16" t="s">
        <v>29</v>
      </c>
      <c r="B1157" s="17">
        <v>45533.0</v>
      </c>
      <c r="C1157" s="16" t="s">
        <v>968</v>
      </c>
      <c r="E1157" s="17"/>
      <c r="G1157" s="17"/>
      <c r="H1157" s="10" t="s">
        <v>31</v>
      </c>
      <c r="J1157" s="16" t="s">
        <v>266</v>
      </c>
      <c r="K1157" s="23" t="s">
        <v>33</v>
      </c>
      <c r="L1157" s="31" t="s">
        <v>56</v>
      </c>
      <c r="N1157" s="16"/>
      <c r="O1157" s="16"/>
      <c r="P1157" s="16"/>
      <c r="Q1157" s="17">
        <f t="shared" si="107"/>
        <v>45533</v>
      </c>
      <c r="S1157" s="20"/>
      <c r="T1157" s="68" t="str">
        <f>VLOOKUP(A1157,'Calendar ID'!$A:$C,3,false)</f>
        <v>pauline@grapperagency.com</v>
      </c>
      <c r="U1157" s="78" t="b">
        <v>0</v>
      </c>
      <c r="V1157" s="68" t="str">
        <f>VLOOKUP($A1157,'Calendar ID'!$A:$C,2,false)</f>
        <v>c_a715193c206b2aa1e4b81b8a3772df33bf92c92611202a890a6bccecb2131fcb@group.calendar.google.com</v>
      </c>
      <c r="W1157" s="71" t="b">
        <v>0</v>
      </c>
      <c r="X1157" s="68" t="str">
        <f>VLOOKUP($A1157,'Calendar ID'!$A:$C,2,false)</f>
        <v>c_a715193c206b2aa1e4b81b8a3772df33bf92c92611202a890a6bccecb2131fcb@group.calendar.google.com</v>
      </c>
    </row>
    <row r="1158" hidden="1">
      <c r="A1158" s="16" t="s">
        <v>29</v>
      </c>
      <c r="B1158" s="17">
        <v>45546.0</v>
      </c>
      <c r="C1158" s="16" t="s">
        <v>410</v>
      </c>
      <c r="E1158" s="17"/>
      <c r="G1158" s="17"/>
      <c r="H1158" s="10" t="s">
        <v>31</v>
      </c>
      <c r="J1158" s="16" t="s">
        <v>266</v>
      </c>
      <c r="K1158" s="23" t="s">
        <v>33</v>
      </c>
      <c r="L1158" s="31" t="s">
        <v>56</v>
      </c>
      <c r="N1158" s="16"/>
      <c r="O1158" s="16"/>
      <c r="P1158" s="16"/>
      <c r="Q1158" s="17">
        <f t="shared" si="107"/>
        <v>45546</v>
      </c>
      <c r="S1158" s="20"/>
      <c r="T1158" s="68" t="str">
        <f>VLOOKUP(A1158,'Calendar ID'!$A:$C,3,false)</f>
        <v>pauline@grapperagency.com</v>
      </c>
      <c r="U1158" s="78" t="b">
        <v>0</v>
      </c>
      <c r="V1158" s="68" t="str">
        <f>VLOOKUP($A1158,'Calendar ID'!$A:$C,2,false)</f>
        <v>c_a715193c206b2aa1e4b81b8a3772df33bf92c92611202a890a6bccecb2131fcb@group.calendar.google.com</v>
      </c>
      <c r="W1158" s="71" t="b">
        <v>0</v>
      </c>
      <c r="X1158" s="68" t="str">
        <f>VLOOKUP($A1158,'Calendar ID'!$A:$C,2,false)</f>
        <v>c_a715193c206b2aa1e4b81b8a3772df33bf92c92611202a890a6bccecb2131fcb@group.calendar.google.com</v>
      </c>
    </row>
    <row r="1159" hidden="1">
      <c r="A1159" s="16" t="s">
        <v>29</v>
      </c>
      <c r="B1159" s="17">
        <v>45548.0</v>
      </c>
      <c r="C1159" s="16" t="s">
        <v>226</v>
      </c>
      <c r="E1159" s="17"/>
      <c r="G1159" s="17"/>
      <c r="H1159" s="10" t="s">
        <v>31</v>
      </c>
      <c r="J1159" s="16" t="s">
        <v>266</v>
      </c>
      <c r="K1159" s="23" t="s">
        <v>33</v>
      </c>
      <c r="L1159" s="31" t="s">
        <v>56</v>
      </c>
      <c r="N1159" s="65" t="s">
        <v>1071</v>
      </c>
      <c r="O1159" s="16"/>
      <c r="P1159" s="16"/>
      <c r="Q1159" s="17">
        <f t="shared" si="107"/>
        <v>45548</v>
      </c>
      <c r="S1159" s="20"/>
      <c r="T1159" s="68" t="str">
        <f>VLOOKUP(A1159,'Calendar ID'!$A:$C,3,false)</f>
        <v>pauline@grapperagency.com</v>
      </c>
      <c r="U1159" s="78" t="b">
        <v>0</v>
      </c>
      <c r="V1159" s="68" t="str">
        <f>VLOOKUP($A1159,'Calendar ID'!$A:$C,2,false)</f>
        <v>c_a715193c206b2aa1e4b81b8a3772df33bf92c92611202a890a6bccecb2131fcb@group.calendar.google.com</v>
      </c>
      <c r="W1159" s="71" t="b">
        <v>0</v>
      </c>
      <c r="X1159" s="68" t="str">
        <f>VLOOKUP($A1159,'Calendar ID'!$A:$C,2,false)</f>
        <v>c_a715193c206b2aa1e4b81b8a3772df33bf92c92611202a890a6bccecb2131fcb@group.calendar.google.com</v>
      </c>
    </row>
    <row r="1160" hidden="1">
      <c r="A1160" s="16" t="s">
        <v>29</v>
      </c>
      <c r="B1160" s="17">
        <v>45552.0</v>
      </c>
      <c r="C1160" s="16" t="s">
        <v>62</v>
      </c>
      <c r="E1160" s="17"/>
      <c r="G1160" s="17"/>
      <c r="H1160" s="10" t="s">
        <v>31</v>
      </c>
      <c r="J1160" s="16" t="s">
        <v>266</v>
      </c>
      <c r="K1160" s="23" t="s">
        <v>33</v>
      </c>
      <c r="L1160" s="31" t="s">
        <v>56</v>
      </c>
      <c r="N1160" s="16"/>
      <c r="O1160" s="16"/>
      <c r="P1160" s="16"/>
      <c r="Q1160" s="17">
        <f t="shared" si="107"/>
        <v>45552</v>
      </c>
      <c r="S1160" s="20"/>
      <c r="T1160" s="68" t="str">
        <f>VLOOKUP(A1160,'Calendar ID'!$A:$C,3,false)</f>
        <v>pauline@grapperagency.com</v>
      </c>
      <c r="U1160" s="78" t="b">
        <v>0</v>
      </c>
      <c r="V1160" s="68" t="str">
        <f>VLOOKUP($A1160,'Calendar ID'!$A:$C,2,false)</f>
        <v>c_a715193c206b2aa1e4b81b8a3772df33bf92c92611202a890a6bccecb2131fcb@group.calendar.google.com</v>
      </c>
      <c r="W1160" s="71" t="b">
        <v>0</v>
      </c>
      <c r="X1160" s="68" t="str">
        <f>VLOOKUP($A1160,'Calendar ID'!$A:$C,2,false)</f>
        <v>c_a715193c206b2aa1e4b81b8a3772df33bf92c92611202a890a6bccecb2131fcb@group.calendar.google.com</v>
      </c>
    </row>
    <row r="1161" hidden="1">
      <c r="A1161" s="16" t="s">
        <v>29</v>
      </c>
      <c r="B1161" s="17">
        <v>45560.0</v>
      </c>
      <c r="C1161" s="16" t="s">
        <v>1072</v>
      </c>
      <c r="E1161" s="17"/>
      <c r="G1161" s="17"/>
      <c r="H1161" s="10" t="s">
        <v>31</v>
      </c>
      <c r="J1161" s="16" t="s">
        <v>266</v>
      </c>
      <c r="K1161" s="23" t="s">
        <v>33</v>
      </c>
      <c r="L1161" s="31" t="s">
        <v>56</v>
      </c>
      <c r="N1161" s="16"/>
      <c r="O1161" s="16"/>
      <c r="P1161" s="16"/>
      <c r="Q1161" s="17">
        <f t="shared" si="107"/>
        <v>45560</v>
      </c>
      <c r="S1161" s="20"/>
      <c r="T1161" s="68" t="str">
        <f>VLOOKUP(A1161,'Calendar ID'!$A:$C,3,false)</f>
        <v>pauline@grapperagency.com</v>
      </c>
      <c r="U1161" s="78" t="b">
        <v>0</v>
      </c>
      <c r="V1161" s="68" t="str">
        <f>VLOOKUP($A1161,'Calendar ID'!$A:$C,2,false)</f>
        <v>c_a715193c206b2aa1e4b81b8a3772df33bf92c92611202a890a6bccecb2131fcb@group.calendar.google.com</v>
      </c>
      <c r="W1161" s="71" t="b">
        <v>0</v>
      </c>
      <c r="X1161" s="68" t="str">
        <f>VLOOKUP($A1161,'Calendar ID'!$A:$C,2,false)</f>
        <v>c_a715193c206b2aa1e4b81b8a3772df33bf92c92611202a890a6bccecb2131fcb@group.calendar.google.com</v>
      </c>
    </row>
    <row r="1162" hidden="1">
      <c r="A1162" s="153" t="s">
        <v>29</v>
      </c>
      <c r="B1162" s="17">
        <v>45565.0</v>
      </c>
      <c r="C1162" s="16" t="s">
        <v>1073</v>
      </c>
      <c r="E1162" s="17"/>
      <c r="G1162" s="17"/>
      <c r="H1162" s="10" t="s">
        <v>31</v>
      </c>
      <c r="J1162" s="16" t="s">
        <v>266</v>
      </c>
      <c r="K1162" s="23" t="s">
        <v>33</v>
      </c>
      <c r="L1162" s="31" t="s">
        <v>56</v>
      </c>
      <c r="N1162" s="16"/>
      <c r="O1162" s="16"/>
      <c r="P1162" s="16"/>
      <c r="Q1162" s="17">
        <f t="shared" si="107"/>
        <v>45565</v>
      </c>
      <c r="S1162" s="20"/>
      <c r="T1162" s="68" t="str">
        <f>VLOOKUP(A1162,'Calendar ID'!$A:$C,3,false)</f>
        <v>pauline@grapperagency.com</v>
      </c>
      <c r="U1162" s="78" t="b">
        <v>0</v>
      </c>
      <c r="V1162" s="68" t="str">
        <f>VLOOKUP($A1162,'Calendar ID'!$A:$C,2,false)</f>
        <v>c_a715193c206b2aa1e4b81b8a3772df33bf92c92611202a890a6bccecb2131fcb@group.calendar.google.com</v>
      </c>
      <c r="W1162" s="71" t="b">
        <v>0</v>
      </c>
      <c r="X1162" s="68" t="str">
        <f>VLOOKUP($A1162,'Calendar ID'!$A:$C,2,false)</f>
        <v>c_a715193c206b2aa1e4b81b8a3772df33bf92c92611202a890a6bccecb2131fcb@group.calendar.google.com</v>
      </c>
    </row>
    <row r="1163" hidden="1">
      <c r="A1163" s="195" t="s">
        <v>29</v>
      </c>
      <c r="B1163" s="17">
        <v>45572.0</v>
      </c>
      <c r="C1163" s="16" t="s">
        <v>226</v>
      </c>
      <c r="E1163" s="17"/>
      <c r="G1163" s="17"/>
      <c r="H1163" s="10" t="s">
        <v>31</v>
      </c>
      <c r="J1163" s="16" t="s">
        <v>266</v>
      </c>
      <c r="K1163" s="23" t="s">
        <v>33</v>
      </c>
      <c r="L1163" s="31" t="s">
        <v>56</v>
      </c>
      <c r="N1163" s="16"/>
      <c r="O1163" s="16"/>
      <c r="P1163" s="16"/>
      <c r="Q1163" s="17">
        <f t="shared" si="107"/>
        <v>45572</v>
      </c>
      <c r="S1163" s="20"/>
      <c r="T1163" s="68" t="str">
        <f>VLOOKUP(A1163,'Calendar ID'!$A:$C,3,false)</f>
        <v>pauline@grapperagency.com</v>
      </c>
      <c r="U1163" s="78" t="b">
        <v>0</v>
      </c>
      <c r="V1163" s="68" t="str">
        <f>VLOOKUP($A1163,'Calendar ID'!$A:$C,2,false)</f>
        <v>c_a715193c206b2aa1e4b81b8a3772df33bf92c92611202a890a6bccecb2131fcb@group.calendar.google.com</v>
      </c>
      <c r="W1163" s="71" t="b">
        <v>0</v>
      </c>
      <c r="X1163" s="68" t="str">
        <f>VLOOKUP($A1163,'Calendar ID'!$A:$C,2,false)</f>
        <v>c_a715193c206b2aa1e4b81b8a3772df33bf92c92611202a890a6bccecb2131fcb@group.calendar.google.com</v>
      </c>
    </row>
    <row r="1164" hidden="1">
      <c r="A1164" s="16" t="s">
        <v>29</v>
      </c>
      <c r="B1164" s="17">
        <v>45580.0</v>
      </c>
      <c r="C1164" s="16" t="s">
        <v>774</v>
      </c>
      <c r="E1164" s="17"/>
      <c r="G1164" s="17"/>
      <c r="H1164" s="10" t="s">
        <v>31</v>
      </c>
      <c r="J1164" s="7" t="s">
        <v>266</v>
      </c>
      <c r="K1164" s="23" t="s">
        <v>33</v>
      </c>
      <c r="L1164" s="14" t="s">
        <v>56</v>
      </c>
      <c r="N1164" s="16"/>
      <c r="O1164" s="16"/>
      <c r="P1164" s="16"/>
      <c r="Q1164" s="17">
        <f t="shared" si="107"/>
        <v>45580</v>
      </c>
      <c r="S1164" s="20"/>
      <c r="T1164" s="68" t="str">
        <f>VLOOKUP(A1164,'Calendar ID'!$A:$C,3,false)</f>
        <v>pauline@grapperagency.com</v>
      </c>
      <c r="U1164" s="78" t="b">
        <v>0</v>
      </c>
      <c r="V1164" s="68" t="str">
        <f>VLOOKUP($A1164,'Calendar ID'!$A:$C,2,false)</f>
        <v>c_a715193c206b2aa1e4b81b8a3772df33bf92c92611202a890a6bccecb2131fcb@group.calendar.google.com</v>
      </c>
      <c r="W1164" s="71" t="b">
        <v>0</v>
      </c>
      <c r="X1164" s="68" t="str">
        <f>VLOOKUP($A1164,'Calendar ID'!$A:$C,2,false)</f>
        <v>c_a715193c206b2aa1e4b81b8a3772df33bf92c92611202a890a6bccecb2131fcb@group.calendar.google.com</v>
      </c>
    </row>
    <row r="1165" hidden="1">
      <c r="A1165" s="16" t="s">
        <v>29</v>
      </c>
      <c r="B1165" s="17">
        <v>45489.0</v>
      </c>
      <c r="C1165" s="16" t="s">
        <v>191</v>
      </c>
      <c r="E1165" s="162"/>
      <c r="G1165" s="17"/>
      <c r="H1165" s="10" t="s">
        <v>31</v>
      </c>
      <c r="J1165" s="16" t="s">
        <v>97</v>
      </c>
      <c r="K1165" s="23" t="s">
        <v>33</v>
      </c>
      <c r="L1165" s="31" t="s">
        <v>56</v>
      </c>
      <c r="N1165" s="16"/>
      <c r="O1165" s="16"/>
      <c r="P1165" s="16"/>
      <c r="Q1165" s="17">
        <f t="shared" si="107"/>
        <v>45489</v>
      </c>
      <c r="S1165" s="20"/>
      <c r="T1165" s="68" t="str">
        <f>VLOOKUP(A1165,'Calendar ID'!$A:$C,3,false)</f>
        <v>pauline@grapperagency.com</v>
      </c>
      <c r="U1165" s="71" t="b">
        <v>0</v>
      </c>
      <c r="V1165" s="68" t="str">
        <f>VLOOKUP($A1165,'Calendar ID'!$A:$C,2,false)</f>
        <v>c_a715193c206b2aa1e4b81b8a3772df33bf92c92611202a890a6bccecb2131fcb@group.calendar.google.com</v>
      </c>
      <c r="W1165" s="71" t="b">
        <v>0</v>
      </c>
      <c r="X1165" s="68" t="str">
        <f>VLOOKUP($A1165,'Calendar ID'!$A:$C,2,false)</f>
        <v>c_a715193c206b2aa1e4b81b8a3772df33bf92c92611202a890a6bccecb2131fcb@group.calendar.google.com</v>
      </c>
      <c r="Y1165" s="20"/>
      <c r="Z1165" s="20"/>
      <c r="AA1165" s="20"/>
      <c r="AB1165" s="20"/>
      <c r="AC1165" s="20"/>
    </row>
    <row r="1166" hidden="1">
      <c r="A1166" s="195" t="s">
        <v>29</v>
      </c>
      <c r="B1166" s="17">
        <v>45691.0</v>
      </c>
      <c r="C1166" s="16" t="s">
        <v>327</v>
      </c>
      <c r="D1166" s="16" t="s">
        <v>1074</v>
      </c>
      <c r="E1166" s="17"/>
      <c r="G1166" s="17"/>
      <c r="H1166" s="10" t="s">
        <v>31</v>
      </c>
      <c r="J1166" s="16" t="s">
        <v>43</v>
      </c>
      <c r="K1166" s="23" t="s">
        <v>33</v>
      </c>
      <c r="L1166" s="31">
        <v>150.0</v>
      </c>
      <c r="N1166" s="16"/>
      <c r="O1166" s="16" t="s">
        <v>1075</v>
      </c>
      <c r="P1166" s="16" t="s">
        <v>34</v>
      </c>
      <c r="Q1166" s="17">
        <f t="shared" si="107"/>
        <v>45691</v>
      </c>
      <c r="R1166" s="18">
        <f>L1166*0.2</f>
        <v>30</v>
      </c>
      <c r="S1166" s="20"/>
      <c r="T1166" s="68" t="str">
        <f>VLOOKUP(A1166,'Calendar ID'!$A:$C,3,false)</f>
        <v>pauline@grapperagency.com</v>
      </c>
      <c r="U1166" s="69" t="b">
        <v>0</v>
      </c>
      <c r="V1166" s="68" t="str">
        <f>VLOOKUP($A1166,'Calendar ID'!$A:$C,2,false)</f>
        <v>c_a715193c206b2aa1e4b81b8a3772df33bf92c92611202a890a6bccecb2131fcb@group.calendar.google.com</v>
      </c>
      <c r="W1166" s="69" t="b">
        <v>0</v>
      </c>
      <c r="X1166" s="68" t="str">
        <f>VLOOKUP($A1166,'Calendar ID'!$A:$C,2,false)</f>
        <v>c_a715193c206b2aa1e4b81b8a3772df33bf92c92611202a890a6bccecb2131fcb@group.calendar.google.com</v>
      </c>
    </row>
    <row r="1167" hidden="1">
      <c r="A1167" s="16" t="s">
        <v>110</v>
      </c>
      <c r="B1167" s="17">
        <v>45446.0</v>
      </c>
      <c r="C1167" s="16" t="s">
        <v>1076</v>
      </c>
      <c r="E1167" s="17"/>
      <c r="F1167" s="139">
        <v>45451.0</v>
      </c>
      <c r="G1167" s="139">
        <v>45451.0</v>
      </c>
      <c r="H1167" s="10" t="s">
        <v>31</v>
      </c>
      <c r="J1167" s="16" t="s">
        <v>43</v>
      </c>
      <c r="K1167" s="16" t="s">
        <v>33</v>
      </c>
      <c r="L1167" s="31" t="s">
        <v>56</v>
      </c>
      <c r="N1167" s="16"/>
      <c r="O1167" s="16"/>
      <c r="P1167" s="16"/>
      <c r="Q1167" s="17">
        <f t="shared" si="107"/>
        <v>45446</v>
      </c>
      <c r="S1167" s="20"/>
      <c r="T1167" s="19"/>
      <c r="U1167" s="19" t="b">
        <v>0</v>
      </c>
      <c r="V1167" s="20" t="str">
        <f>VLOOKUP(A1167,'Calendar ID'!$A$2:$C$15,2)</f>
        <v>c_3454aaede6db5cd8de24b4c70b8c6f3570b98e436e1f71e91d12b7a673ab3f97@group.calendar.google.com</v>
      </c>
      <c r="W1167" s="19" t="b">
        <v>0</v>
      </c>
      <c r="X1167" s="20" t="str">
        <f>VLOOKUP(A1167,'Calendar ID'!$A$2:$C$15,2)</f>
        <v>c_3454aaede6db5cd8de24b4c70b8c6f3570b98e436e1f71e91d12b7a673ab3f97@group.calendar.google.com</v>
      </c>
      <c r="Y1167" s="20"/>
      <c r="Z1167" s="20"/>
      <c r="AA1167" s="20"/>
      <c r="AB1167" s="20"/>
      <c r="AC1167" s="20"/>
    </row>
    <row r="1168" hidden="1">
      <c r="A1168" s="16" t="s">
        <v>110</v>
      </c>
      <c r="B1168" s="17">
        <v>45461.0</v>
      </c>
      <c r="C1168" s="16" t="s">
        <v>918</v>
      </c>
      <c r="E1168" s="17"/>
      <c r="F1168" s="53">
        <v>45463.0</v>
      </c>
      <c r="G1168" s="64">
        <v>45484.0</v>
      </c>
      <c r="H1168" s="16" t="s">
        <v>31</v>
      </c>
      <c r="J1168" s="16" t="s">
        <v>43</v>
      </c>
      <c r="K1168" s="16" t="s">
        <v>33</v>
      </c>
      <c r="L1168" s="31" t="s">
        <v>56</v>
      </c>
      <c r="N1168" s="55" t="s">
        <v>1077</v>
      </c>
      <c r="O1168" s="16"/>
      <c r="P1168" s="16"/>
      <c r="Q1168" s="17">
        <f t="shared" si="107"/>
        <v>45461</v>
      </c>
      <c r="S1168" s="20"/>
      <c r="T1168" s="20" t="str">
        <f>VLOOKUP(A1168,'Calendar ID'!$A:$C,3,false)</f>
        <v>terpperrine@gmail.com</v>
      </c>
      <c r="U1168" s="20" t="b">
        <v>0</v>
      </c>
      <c r="V1168" s="20" t="str">
        <f>VLOOKUP($A1168,'Calendar ID'!$A:$C,2,false)</f>
        <v>c_3454aaede6db5cd8de24b4c70b8c6f3570b98e436e1f71e91d12b7a673ab3f97@group.calendar.google.com</v>
      </c>
      <c r="W1168" s="19" t="b">
        <v>1</v>
      </c>
      <c r="X1168" s="19" t="s">
        <v>82</v>
      </c>
      <c r="Y1168" s="20"/>
      <c r="Z1168" s="20"/>
      <c r="AA1168" s="20"/>
      <c r="AB1168" s="20"/>
      <c r="AC1168" s="20"/>
    </row>
    <row r="1169" hidden="1">
      <c r="A1169" s="195" t="s">
        <v>110</v>
      </c>
      <c r="B1169" s="17">
        <v>45446.0</v>
      </c>
      <c r="C1169" s="16" t="s">
        <v>683</v>
      </c>
      <c r="E1169" s="17"/>
      <c r="F1169" s="53">
        <v>45463.0</v>
      </c>
      <c r="G1169" s="67">
        <v>45488.0</v>
      </c>
      <c r="H1169" s="16" t="s">
        <v>31</v>
      </c>
      <c r="I1169" s="16" t="s">
        <v>111</v>
      </c>
      <c r="J1169" s="16" t="s">
        <v>43</v>
      </c>
      <c r="K1169" s="16" t="s">
        <v>33</v>
      </c>
      <c r="L1169" s="31" t="s">
        <v>56</v>
      </c>
      <c r="N1169" s="65" t="s">
        <v>1078</v>
      </c>
      <c r="O1169" s="16"/>
      <c r="P1169" s="16"/>
      <c r="Q1169" s="17">
        <f t="shared" si="107"/>
        <v>45446</v>
      </c>
      <c r="S1169" s="20"/>
      <c r="T1169" s="20" t="str">
        <f>VLOOKUP(A1169,'Calendar ID'!$A:$C,3,false)</f>
        <v>terpperrine@gmail.com</v>
      </c>
      <c r="U1169" s="20" t="b">
        <v>0</v>
      </c>
      <c r="V1169" s="20" t="str">
        <f>VLOOKUP($A1169,'Calendar ID'!$A:$C,2,false)</f>
        <v>c_3454aaede6db5cd8de24b4c70b8c6f3570b98e436e1f71e91d12b7a673ab3f97@group.calendar.google.com</v>
      </c>
      <c r="W1169" s="19" t="b">
        <v>0</v>
      </c>
      <c r="X1169" s="20" t="str">
        <f>VLOOKUP($A1169,'Calendar ID'!$A:$C,2,false)</f>
        <v>c_3454aaede6db5cd8de24b4c70b8c6f3570b98e436e1f71e91d12b7a673ab3f97@group.calendar.google.com</v>
      </c>
      <c r="Y1169" s="20"/>
      <c r="Z1169" s="20"/>
      <c r="AA1169" s="20"/>
      <c r="AB1169" s="20"/>
      <c r="AC1169" s="20"/>
    </row>
    <row r="1170" hidden="1">
      <c r="A1170" s="23" t="s">
        <v>110</v>
      </c>
      <c r="B1170" s="17">
        <v>45467.0</v>
      </c>
      <c r="C1170" s="16" t="s">
        <v>840</v>
      </c>
      <c r="E1170" s="17"/>
      <c r="F1170" s="58">
        <v>45470.0</v>
      </c>
      <c r="G1170" s="67">
        <v>45489.0</v>
      </c>
      <c r="H1170" s="16" t="s">
        <v>31</v>
      </c>
      <c r="J1170" s="16" t="s">
        <v>682</v>
      </c>
      <c r="K1170" s="16" t="s">
        <v>33</v>
      </c>
      <c r="L1170" s="31" t="s">
        <v>56</v>
      </c>
      <c r="N1170" s="55" t="s">
        <v>1079</v>
      </c>
      <c r="O1170" s="16"/>
      <c r="P1170" s="16"/>
      <c r="Q1170" s="17">
        <f t="shared" si="107"/>
        <v>45467</v>
      </c>
      <c r="S1170" s="20"/>
      <c r="T1170" s="20" t="str">
        <f>VLOOKUP(A1170,'Calendar ID'!$A:$C,3,false)</f>
        <v>terpperrine@gmail.com</v>
      </c>
      <c r="U1170" s="20" t="b">
        <v>0</v>
      </c>
      <c r="V1170" s="20" t="str">
        <f>VLOOKUP($A1170,'Calendar ID'!$A:$C,2,false)</f>
        <v>c_3454aaede6db5cd8de24b4c70b8c6f3570b98e436e1f71e91d12b7a673ab3f97@group.calendar.google.com</v>
      </c>
      <c r="W1170" s="19" t="b">
        <v>1</v>
      </c>
      <c r="X1170" s="19" t="s">
        <v>82</v>
      </c>
      <c r="Y1170" s="20"/>
      <c r="Z1170" s="20"/>
      <c r="AA1170" s="20"/>
      <c r="AB1170" s="20"/>
      <c r="AC1170" s="20"/>
    </row>
    <row r="1171" hidden="1">
      <c r="A1171" s="16" t="s">
        <v>110</v>
      </c>
      <c r="B1171" s="17">
        <v>45490.0</v>
      </c>
      <c r="C1171" s="16" t="s">
        <v>1059</v>
      </c>
      <c r="E1171" s="17"/>
      <c r="F1171" s="17"/>
      <c r="G1171" s="73">
        <v>45513.0</v>
      </c>
      <c r="H1171" s="10" t="s">
        <v>31</v>
      </c>
      <c r="J1171" s="16" t="s">
        <v>97</v>
      </c>
      <c r="K1171" s="23" t="s">
        <v>33</v>
      </c>
      <c r="L1171" s="31" t="s">
        <v>56</v>
      </c>
      <c r="N1171" s="16"/>
      <c r="O1171" s="16"/>
      <c r="P1171" s="16"/>
      <c r="Q1171" s="17">
        <f t="shared" si="107"/>
        <v>45490</v>
      </c>
      <c r="S1171" s="20"/>
      <c r="T1171" s="68" t="str">
        <f>VLOOKUP(A1171,'Calendar ID'!$A:$C,3,false)</f>
        <v>terpperrine@gmail.com</v>
      </c>
      <c r="U1171" s="71" t="b">
        <v>0</v>
      </c>
      <c r="V1171" s="68" t="str">
        <f>VLOOKUP($A1171,'Calendar ID'!$A:$C,2,false)</f>
        <v>c_3454aaede6db5cd8de24b4c70b8c6f3570b98e436e1f71e91d12b7a673ab3f97@group.calendar.google.com</v>
      </c>
      <c r="W1171" s="69" t="b">
        <v>1</v>
      </c>
      <c r="X1171" s="70" t="s">
        <v>82</v>
      </c>
      <c r="Y1171" s="20"/>
      <c r="Z1171" s="20"/>
      <c r="AA1171" s="20"/>
      <c r="AB1171" s="20"/>
      <c r="AC1171" s="20"/>
    </row>
    <row r="1172" hidden="1">
      <c r="A1172" s="195" t="s">
        <v>110</v>
      </c>
      <c r="B1172" s="17">
        <v>45503.0</v>
      </c>
      <c r="C1172" s="16" t="s">
        <v>690</v>
      </c>
      <c r="E1172" s="17"/>
      <c r="G1172" s="17">
        <v>45522.0</v>
      </c>
      <c r="H1172" s="10" t="s">
        <v>31</v>
      </c>
      <c r="I1172" s="16" t="s">
        <v>857</v>
      </c>
      <c r="J1172" s="16" t="s">
        <v>97</v>
      </c>
      <c r="K1172" s="23" t="s">
        <v>33</v>
      </c>
      <c r="L1172" s="31" t="s">
        <v>56</v>
      </c>
      <c r="N1172" s="55" t="s">
        <v>1080</v>
      </c>
      <c r="O1172" s="16"/>
      <c r="P1172" s="16"/>
      <c r="Q1172" s="17">
        <f t="shared" si="107"/>
        <v>45503</v>
      </c>
      <c r="S1172" s="20"/>
      <c r="T1172" s="68" t="str">
        <f>VLOOKUP(A1172,'Calendar ID'!$A:$C,3,false)</f>
        <v>terpperrine@gmail.com</v>
      </c>
      <c r="U1172" s="71" t="b">
        <v>0</v>
      </c>
      <c r="V1172" s="68" t="str">
        <f>VLOOKUP($A1172,'Calendar ID'!$A:$C,2,false)</f>
        <v>c_3454aaede6db5cd8de24b4c70b8c6f3570b98e436e1f71e91d12b7a673ab3f97@group.calendar.google.com</v>
      </c>
      <c r="W1172" s="69" t="b">
        <v>0</v>
      </c>
      <c r="X1172" s="68" t="str">
        <f>VLOOKUP($A1172,'Calendar ID'!$A:$C,2,false)</f>
        <v>c_3454aaede6db5cd8de24b4c70b8c6f3570b98e436e1f71e91d12b7a673ab3f97@group.calendar.google.com</v>
      </c>
      <c r="Y1172" s="20"/>
      <c r="Z1172" s="20"/>
      <c r="AA1172" s="19" t="s">
        <v>158</v>
      </c>
      <c r="AB1172" s="20"/>
      <c r="AC1172" s="20"/>
    </row>
    <row r="1173" hidden="1">
      <c r="A1173" s="195" t="s">
        <v>110</v>
      </c>
      <c r="B1173" s="17">
        <v>45530.0</v>
      </c>
      <c r="C1173" s="16" t="s">
        <v>819</v>
      </c>
      <c r="D1173" s="16" t="s">
        <v>641</v>
      </c>
      <c r="E1173" s="17"/>
      <c r="F1173" s="17">
        <v>45533.0</v>
      </c>
      <c r="G1173" s="17">
        <v>45554.0</v>
      </c>
      <c r="H1173" s="10" t="s">
        <v>31</v>
      </c>
      <c r="J1173" s="16" t="s">
        <v>43</v>
      </c>
      <c r="K1173" s="23" t="s">
        <v>33</v>
      </c>
      <c r="L1173" s="31" t="s">
        <v>56</v>
      </c>
      <c r="N1173" s="55" t="s">
        <v>1081</v>
      </c>
      <c r="O1173" s="16"/>
      <c r="P1173" s="16"/>
      <c r="Q1173" s="17">
        <f t="shared" si="107"/>
        <v>45530</v>
      </c>
      <c r="S1173" s="20"/>
      <c r="T1173" s="68" t="str">
        <f>VLOOKUP(A1173,'Calendar ID'!$A:$C,3,false)</f>
        <v>terpperrine@gmail.com</v>
      </c>
      <c r="U1173" s="78" t="b">
        <v>0</v>
      </c>
      <c r="V1173" s="68" t="str">
        <f>VLOOKUP($A1173,'Calendar ID'!$A:$C,2,false)</f>
        <v>c_3454aaede6db5cd8de24b4c70b8c6f3570b98e436e1f71e91d12b7a673ab3f97@group.calendar.google.com</v>
      </c>
      <c r="W1173" s="69" t="b">
        <v>1</v>
      </c>
      <c r="X1173" s="70" t="s">
        <v>82</v>
      </c>
    </row>
    <row r="1174" hidden="1">
      <c r="A1174" s="16" t="s">
        <v>110</v>
      </c>
      <c r="B1174" s="54">
        <v>45546.0</v>
      </c>
      <c r="C1174" s="16" t="s">
        <v>692</v>
      </c>
      <c r="E1174" s="17"/>
      <c r="F1174" s="17">
        <v>45536.0</v>
      </c>
      <c r="G1174" s="17">
        <v>45560.0</v>
      </c>
      <c r="H1174" s="10" t="s">
        <v>31</v>
      </c>
      <c r="J1174" s="16" t="s">
        <v>43</v>
      </c>
      <c r="K1174" s="23" t="s">
        <v>33</v>
      </c>
      <c r="L1174" s="31" t="s">
        <v>56</v>
      </c>
      <c r="N1174" s="16"/>
      <c r="O1174" s="16"/>
      <c r="P1174" s="16"/>
      <c r="Q1174" s="17">
        <f t="shared" si="107"/>
        <v>45546</v>
      </c>
      <c r="S1174" s="20"/>
      <c r="T1174" s="68" t="str">
        <f>VLOOKUP(A1174,'Calendar ID'!$A:$C,3,false)</f>
        <v>terpperrine@gmail.com</v>
      </c>
      <c r="U1174" s="78" t="b">
        <v>0</v>
      </c>
      <c r="V1174" s="68" t="str">
        <f>VLOOKUP($A1174,'Calendar ID'!$A:$C,2,false)</f>
        <v>c_3454aaede6db5cd8de24b4c70b8c6f3570b98e436e1f71e91d12b7a673ab3f97@group.calendar.google.com</v>
      </c>
      <c r="W1174" s="69" t="b">
        <v>1</v>
      </c>
      <c r="X1174" s="70" t="s">
        <v>82</v>
      </c>
      <c r="Y1174" s="17">
        <v>45539.0</v>
      </c>
      <c r="AA1174" s="29"/>
    </row>
    <row r="1175" hidden="1">
      <c r="A1175" s="16" t="s">
        <v>110</v>
      </c>
      <c r="B1175" s="17">
        <v>45530.0</v>
      </c>
      <c r="C1175" s="16" t="s">
        <v>220</v>
      </c>
      <c r="D1175" s="16" t="s">
        <v>696</v>
      </c>
      <c r="E1175" s="17"/>
      <c r="F1175" s="165">
        <v>45558.0</v>
      </c>
      <c r="G1175" s="17">
        <v>45582.0</v>
      </c>
      <c r="H1175" s="10" t="s">
        <v>31</v>
      </c>
      <c r="J1175" s="16" t="s">
        <v>43</v>
      </c>
      <c r="K1175" s="23" t="s">
        <v>33</v>
      </c>
      <c r="L1175" s="31" t="s">
        <v>56</v>
      </c>
      <c r="N1175" s="16"/>
      <c r="O1175" s="16"/>
      <c r="P1175" s="16"/>
      <c r="Q1175" s="17">
        <f t="shared" si="107"/>
        <v>45530</v>
      </c>
      <c r="S1175" s="20"/>
      <c r="T1175" s="68" t="str">
        <f>VLOOKUP(A1175,'Calendar ID'!$A:$C,3,false)</f>
        <v>terpperrine@gmail.com</v>
      </c>
      <c r="U1175" s="78" t="b">
        <v>0</v>
      </c>
      <c r="V1175" s="68" t="str">
        <f>VLOOKUP($A1175,'Calendar ID'!$A:$C,2,false)</f>
        <v>c_3454aaede6db5cd8de24b4c70b8c6f3570b98e436e1f71e91d12b7a673ab3f97@group.calendar.google.com</v>
      </c>
      <c r="W1175" s="69" t="b">
        <v>1</v>
      </c>
      <c r="X1175" s="70" t="s">
        <v>82</v>
      </c>
      <c r="AA1175" s="16"/>
    </row>
    <row r="1176" hidden="1">
      <c r="A1176" s="16" t="s">
        <v>110</v>
      </c>
      <c r="B1176" s="17">
        <v>45560.0</v>
      </c>
      <c r="C1176" s="16" t="s">
        <v>700</v>
      </c>
      <c r="D1176" s="16" t="s">
        <v>701</v>
      </c>
      <c r="E1176" s="17"/>
      <c r="F1176" s="17">
        <v>45563.0</v>
      </c>
      <c r="G1176" s="17">
        <v>45585.0</v>
      </c>
      <c r="H1176" s="10" t="s">
        <v>31</v>
      </c>
      <c r="J1176" s="16" t="s">
        <v>266</v>
      </c>
      <c r="K1176" s="23" t="s">
        <v>33</v>
      </c>
      <c r="L1176" s="31" t="s">
        <v>56</v>
      </c>
      <c r="N1176" s="65" t="s">
        <v>1082</v>
      </c>
      <c r="O1176" s="16"/>
      <c r="P1176" s="16"/>
      <c r="Q1176" s="17">
        <f t="shared" si="107"/>
        <v>45560</v>
      </c>
      <c r="S1176" s="20"/>
      <c r="T1176" s="68" t="str">
        <f>VLOOKUP(A1176,'Calendar ID'!$A:$C,3,false)</f>
        <v>terpperrine@gmail.com</v>
      </c>
      <c r="U1176" s="78" t="b">
        <v>0</v>
      </c>
      <c r="V1176" s="68" t="str">
        <f>VLOOKUP($A1176,'Calendar ID'!$A:$C,2,false)</f>
        <v>c_3454aaede6db5cd8de24b4c70b8c6f3570b98e436e1f71e91d12b7a673ab3f97@group.calendar.google.com</v>
      </c>
      <c r="W1176" s="69" t="b">
        <v>1</v>
      </c>
      <c r="X1176" s="70" t="s">
        <v>82</v>
      </c>
    </row>
    <row r="1177" hidden="1">
      <c r="A1177" s="16" t="s">
        <v>110</v>
      </c>
      <c r="B1177" s="17">
        <v>45590.0</v>
      </c>
      <c r="C1177" s="16" t="s">
        <v>256</v>
      </c>
      <c r="E1177" s="17"/>
      <c r="F1177" s="82">
        <v>45590.0</v>
      </c>
      <c r="G1177" s="82">
        <v>45611.0</v>
      </c>
      <c r="H1177" s="10" t="s">
        <v>31</v>
      </c>
      <c r="J1177" s="16" t="s">
        <v>43</v>
      </c>
      <c r="K1177" s="23" t="s">
        <v>33</v>
      </c>
      <c r="L1177" s="31" t="s">
        <v>56</v>
      </c>
      <c r="N1177" s="55" t="s">
        <v>1083</v>
      </c>
      <c r="O1177" s="16"/>
      <c r="P1177" s="16"/>
      <c r="Q1177" s="17">
        <f t="shared" si="107"/>
        <v>45590</v>
      </c>
      <c r="S1177" s="20"/>
      <c r="T1177" s="68" t="str">
        <f>VLOOKUP(A1177,'Calendar ID'!$A:$C,3,false)</f>
        <v>terpperrine@gmail.com</v>
      </c>
      <c r="U1177" s="77" t="b">
        <v>0</v>
      </c>
      <c r="V1177" s="68" t="str">
        <f>VLOOKUP($A1177,'Calendar ID'!$A:$C,2,false)</f>
        <v>c_3454aaede6db5cd8de24b4c70b8c6f3570b98e436e1f71e91d12b7a673ab3f97@group.calendar.google.com</v>
      </c>
      <c r="W1177" s="77" t="b">
        <v>1</v>
      </c>
      <c r="X1177" s="70" t="s">
        <v>82</v>
      </c>
    </row>
    <row r="1178" hidden="1">
      <c r="A1178" s="16" t="s">
        <v>110</v>
      </c>
      <c r="B1178" s="17">
        <v>45593.0</v>
      </c>
      <c r="C1178" s="16" t="s">
        <v>1084</v>
      </c>
      <c r="D1178" s="16" t="s">
        <v>1085</v>
      </c>
      <c r="E1178" s="17"/>
      <c r="F1178" s="82">
        <v>45595.0</v>
      </c>
      <c r="G1178" s="82">
        <v>45616.0</v>
      </c>
      <c r="H1178" s="10" t="s">
        <v>31</v>
      </c>
      <c r="J1178" s="16" t="s">
        <v>593</v>
      </c>
      <c r="K1178" s="23" t="s">
        <v>33</v>
      </c>
      <c r="L1178" s="31" t="s">
        <v>56</v>
      </c>
      <c r="N1178" s="16"/>
      <c r="O1178" s="16"/>
      <c r="P1178" s="16"/>
      <c r="Q1178" s="17">
        <f t="shared" si="107"/>
        <v>45593</v>
      </c>
      <c r="S1178" s="20"/>
      <c r="T1178" s="68" t="str">
        <f>VLOOKUP(A1178,'Calendar ID'!$A:$C,3,false)</f>
        <v>terpperrine@gmail.com</v>
      </c>
      <c r="U1178" s="77" t="b">
        <v>0</v>
      </c>
      <c r="V1178" s="68" t="str">
        <f>VLOOKUP($A1178,'Calendar ID'!$A:$C,2,false)</f>
        <v>c_3454aaede6db5cd8de24b4c70b8c6f3570b98e436e1f71e91d12b7a673ab3f97@group.calendar.google.com</v>
      </c>
      <c r="W1178" s="77" t="b">
        <v>1</v>
      </c>
      <c r="X1178" s="70" t="s">
        <v>82</v>
      </c>
    </row>
    <row r="1179" hidden="1">
      <c r="A1179" s="16" t="s">
        <v>110</v>
      </c>
      <c r="B1179" s="17">
        <v>45594.0</v>
      </c>
      <c r="C1179" s="16" t="s">
        <v>864</v>
      </c>
      <c r="E1179" s="162"/>
      <c r="F1179" s="82">
        <v>45595.0</v>
      </c>
      <c r="G1179" s="82">
        <v>45616.0</v>
      </c>
      <c r="H1179" s="10" t="s">
        <v>31</v>
      </c>
      <c r="J1179" s="16" t="s">
        <v>593</v>
      </c>
      <c r="K1179" s="23" t="s">
        <v>33</v>
      </c>
      <c r="L1179" s="31" t="s">
        <v>56</v>
      </c>
      <c r="N1179" s="16"/>
      <c r="O1179" s="16"/>
      <c r="P1179" s="16"/>
      <c r="Q1179" s="17">
        <f t="shared" si="107"/>
        <v>45594</v>
      </c>
      <c r="S1179" s="20"/>
      <c r="T1179" s="68" t="str">
        <f>VLOOKUP(A1179,'Calendar ID'!$A:$C,3,false)</f>
        <v>terpperrine@gmail.com</v>
      </c>
      <c r="U1179" s="77" t="b">
        <v>0</v>
      </c>
      <c r="V1179" s="68" t="str">
        <f>VLOOKUP($A1179,'Calendar ID'!$A:$C,2,false)</f>
        <v>c_3454aaede6db5cd8de24b4c70b8c6f3570b98e436e1f71e91d12b7a673ab3f97@group.calendar.google.com</v>
      </c>
      <c r="W1179" s="77" t="b">
        <v>1</v>
      </c>
      <c r="X1179" s="70" t="s">
        <v>82</v>
      </c>
    </row>
    <row r="1180" hidden="1">
      <c r="A1180" s="16" t="s">
        <v>110</v>
      </c>
      <c r="B1180" s="17">
        <v>45625.0</v>
      </c>
      <c r="C1180" s="16" t="s">
        <v>901</v>
      </c>
      <c r="E1180" s="17"/>
      <c r="F1180" s="17">
        <v>45628.0</v>
      </c>
      <c r="G1180" s="17">
        <v>45649.0</v>
      </c>
      <c r="H1180" s="10" t="s">
        <v>31</v>
      </c>
      <c r="J1180" s="16" t="s">
        <v>593</v>
      </c>
      <c r="K1180" s="23" t="s">
        <v>33</v>
      </c>
      <c r="L1180" s="31" t="s">
        <v>56</v>
      </c>
      <c r="N1180" s="16"/>
      <c r="O1180" s="16"/>
      <c r="P1180" s="16"/>
      <c r="Q1180" s="17">
        <f t="shared" si="107"/>
        <v>45625</v>
      </c>
      <c r="S1180" s="20"/>
      <c r="T1180" s="68" t="str">
        <f>VLOOKUP(A1180,'Calendar ID'!$A:$C,3,false)</f>
        <v>terpperrine@gmail.com</v>
      </c>
      <c r="U1180" s="71" t="b">
        <v>0</v>
      </c>
      <c r="V1180" s="68" t="str">
        <f>VLOOKUP($A1180,'Calendar ID'!$A:$C,2,false)</f>
        <v>c_3454aaede6db5cd8de24b4c70b8c6f3570b98e436e1f71e91d12b7a673ab3f97@group.calendar.google.com</v>
      </c>
      <c r="W1180" s="69" t="b">
        <v>1</v>
      </c>
      <c r="X1180" s="70" t="s">
        <v>82</v>
      </c>
    </row>
    <row r="1181" hidden="1">
      <c r="A1181" s="16" t="s">
        <v>110</v>
      </c>
      <c r="B1181" s="17">
        <v>45628.0</v>
      </c>
      <c r="C1181" s="16" t="s">
        <v>651</v>
      </c>
      <c r="E1181" s="17"/>
      <c r="F1181" s="17">
        <v>45630.0</v>
      </c>
      <c r="G1181" s="17">
        <v>45651.0</v>
      </c>
      <c r="H1181" s="10" t="s">
        <v>31</v>
      </c>
      <c r="J1181" s="16" t="s">
        <v>593</v>
      </c>
      <c r="K1181" s="23" t="s">
        <v>33</v>
      </c>
      <c r="L1181" s="31" t="s">
        <v>56</v>
      </c>
      <c r="N1181" s="16"/>
      <c r="O1181" s="16"/>
      <c r="P1181" s="16"/>
      <c r="Q1181" s="17">
        <f t="shared" si="107"/>
        <v>45628</v>
      </c>
      <c r="S1181" s="20"/>
      <c r="T1181" s="68" t="str">
        <f>VLOOKUP(A1181,'Calendar ID'!$A:$C,3,false)</f>
        <v>terpperrine@gmail.com</v>
      </c>
      <c r="U1181" s="71" t="b">
        <v>0</v>
      </c>
      <c r="V1181" s="68" t="str">
        <f>VLOOKUP($A1181,'Calendar ID'!$A:$C,2,false)</f>
        <v>c_3454aaede6db5cd8de24b4c70b8c6f3570b98e436e1f71e91d12b7a673ab3f97@group.calendar.google.com</v>
      </c>
      <c r="W1181" s="71" t="b">
        <v>0</v>
      </c>
      <c r="X1181" s="68" t="str">
        <f>VLOOKUP($A1181,'Calendar ID'!$A:$C,2,false)</f>
        <v>c_3454aaede6db5cd8de24b4c70b8c6f3570b98e436e1f71e91d12b7a673ab3f97@group.calendar.google.com</v>
      </c>
    </row>
    <row r="1182" hidden="1">
      <c r="A1182" s="16" t="s">
        <v>110</v>
      </c>
      <c r="B1182" s="17">
        <v>45630.0</v>
      </c>
      <c r="C1182" s="16" t="s">
        <v>636</v>
      </c>
      <c r="E1182" s="17"/>
      <c r="F1182" s="17">
        <v>45632.0</v>
      </c>
      <c r="G1182" s="17">
        <v>45651.0</v>
      </c>
      <c r="H1182" s="10" t="s">
        <v>31</v>
      </c>
      <c r="J1182" s="16" t="s">
        <v>593</v>
      </c>
      <c r="K1182" s="23" t="s">
        <v>33</v>
      </c>
      <c r="L1182" s="31" t="s">
        <v>56</v>
      </c>
      <c r="N1182" s="16"/>
      <c r="O1182" s="16"/>
      <c r="P1182" s="16"/>
      <c r="Q1182" s="17">
        <f t="shared" si="107"/>
        <v>45630</v>
      </c>
      <c r="S1182" s="20"/>
      <c r="T1182" s="68" t="str">
        <f>VLOOKUP(A1182,'Calendar ID'!$A:$C,3,false)</f>
        <v>terpperrine@gmail.com</v>
      </c>
      <c r="U1182" s="77" t="b">
        <v>0</v>
      </c>
      <c r="V1182" s="68" t="str">
        <f>VLOOKUP($A1182,'Calendar ID'!$A:$C,2,false)</f>
        <v>c_3454aaede6db5cd8de24b4c70b8c6f3570b98e436e1f71e91d12b7a673ab3f97@group.calendar.google.com</v>
      </c>
      <c r="W1182" s="77" t="b">
        <v>1</v>
      </c>
      <c r="X1182" s="70" t="s">
        <v>82</v>
      </c>
    </row>
    <row r="1183" hidden="1">
      <c r="A1183" s="16" t="s">
        <v>272</v>
      </c>
      <c r="B1183" s="17">
        <v>45625.0</v>
      </c>
      <c r="C1183" s="16" t="s">
        <v>245</v>
      </c>
      <c r="D1183" s="16" t="s">
        <v>302</v>
      </c>
      <c r="E1183" s="17"/>
      <c r="G1183" s="17"/>
      <c r="H1183" s="10" t="s">
        <v>31</v>
      </c>
      <c r="J1183" s="16" t="s">
        <v>43</v>
      </c>
      <c r="K1183" s="23" t="s">
        <v>33</v>
      </c>
      <c r="L1183" s="31">
        <v>500.0</v>
      </c>
      <c r="N1183" s="16"/>
      <c r="O1183" s="16"/>
      <c r="P1183" s="23" t="s">
        <v>34</v>
      </c>
      <c r="Q1183" s="17">
        <f t="shared" si="107"/>
        <v>45625</v>
      </c>
      <c r="R1183" s="18">
        <f>L1183*0.3</f>
        <v>150</v>
      </c>
      <c r="S1183" s="20"/>
      <c r="T1183" s="68" t="str">
        <f>VLOOKUP(A1183,'Calendar ID'!$A:$C,3,false)</f>
        <v>truttirachel@gmail.com</v>
      </c>
      <c r="U1183" s="69" t="b">
        <v>1</v>
      </c>
      <c r="V1183" s="70" t="s">
        <v>247</v>
      </c>
      <c r="W1183" s="69" t="b">
        <v>1</v>
      </c>
      <c r="X1183" s="68" t="str">
        <f>VLOOKUP($A1183,'Calendar ID'!$A:$C,2,false)</f>
        <v>c_14943542450de5ffc0c20a93db15c7c0757a89aaa373292182138a3a691be245@group.calendar.google.com</v>
      </c>
    </row>
    <row r="1184" hidden="1">
      <c r="A1184" s="23" t="s">
        <v>110</v>
      </c>
      <c r="B1184" s="17">
        <v>45680.0</v>
      </c>
      <c r="C1184" s="16" t="s">
        <v>645</v>
      </c>
      <c r="E1184" s="17"/>
      <c r="F1184" s="105">
        <v>45684.0</v>
      </c>
      <c r="G1184" s="86">
        <v>45698.0</v>
      </c>
      <c r="H1184" s="10" t="s">
        <v>31</v>
      </c>
      <c r="J1184" s="16" t="s">
        <v>641</v>
      </c>
      <c r="K1184" s="23" t="s">
        <v>33</v>
      </c>
      <c r="L1184" s="31" t="s">
        <v>56</v>
      </c>
      <c r="N1184" s="65" t="s">
        <v>1086</v>
      </c>
      <c r="O1184" s="16"/>
      <c r="P1184" s="16"/>
      <c r="Q1184" s="17">
        <f t="shared" si="107"/>
        <v>45680</v>
      </c>
      <c r="S1184" s="20"/>
      <c r="T1184" s="68" t="str">
        <f>VLOOKUP(A1184,'Calendar ID'!$A:$C,3,false)</f>
        <v>terpperrine@gmail.com</v>
      </c>
      <c r="U1184" s="71" t="b">
        <v>0</v>
      </c>
      <c r="V1184" s="68" t="str">
        <f>VLOOKUP($A1184,'Calendar ID'!$A:$C,2,false)</f>
        <v>c_3454aaede6db5cd8de24b4c70b8c6f3570b98e436e1f71e91d12b7a673ab3f97@group.calendar.google.com</v>
      </c>
      <c r="W1184" s="69" t="b">
        <v>1</v>
      </c>
      <c r="X1184" s="70" t="s">
        <v>82</v>
      </c>
    </row>
    <row r="1185" hidden="1">
      <c r="A1185" s="160" t="s">
        <v>110</v>
      </c>
      <c r="B1185" s="17">
        <v>45711.0</v>
      </c>
      <c r="C1185" s="16" t="s">
        <v>640</v>
      </c>
      <c r="E1185" s="17"/>
      <c r="F1185" s="107">
        <v>45715.0</v>
      </c>
      <c r="G1185" s="122">
        <v>45736.0</v>
      </c>
      <c r="H1185" s="10" t="s">
        <v>31</v>
      </c>
      <c r="J1185" s="16" t="s">
        <v>641</v>
      </c>
      <c r="K1185" s="16" t="s">
        <v>33</v>
      </c>
      <c r="L1185" s="31" t="s">
        <v>56</v>
      </c>
      <c r="N1185" s="16"/>
      <c r="O1185" s="16"/>
      <c r="P1185" s="16"/>
      <c r="Q1185" s="17">
        <f t="shared" si="107"/>
        <v>45711</v>
      </c>
      <c r="S1185" s="20"/>
      <c r="T1185" s="68" t="str">
        <f>VLOOKUP(A1185,'Calendar ID'!$A:$C,3,false)</f>
        <v>terpperrine@gmail.com</v>
      </c>
      <c r="U1185" s="71" t="b">
        <v>0</v>
      </c>
      <c r="V1185" s="68" t="str">
        <f>VLOOKUP($A1185,'Calendar ID'!$A:$C,2,false)</f>
        <v>c_3454aaede6db5cd8de24b4c70b8c6f3570b98e436e1f71e91d12b7a673ab3f97@group.calendar.google.com</v>
      </c>
      <c r="W1185" s="69" t="b">
        <v>1</v>
      </c>
      <c r="X1185" s="70" t="s">
        <v>82</v>
      </c>
    </row>
    <row r="1186" hidden="1">
      <c r="A1186" s="16" t="s">
        <v>110</v>
      </c>
      <c r="B1186" s="17">
        <v>45679.0</v>
      </c>
      <c r="C1186" s="16" t="s">
        <v>1059</v>
      </c>
      <c r="E1186" s="17"/>
      <c r="F1186" s="105">
        <v>45685.0</v>
      </c>
      <c r="G1186" s="122">
        <v>45737.0</v>
      </c>
      <c r="H1186" s="10" t="s">
        <v>31</v>
      </c>
      <c r="J1186" s="16" t="s">
        <v>641</v>
      </c>
      <c r="K1186" s="23" t="s">
        <v>33</v>
      </c>
      <c r="L1186" s="31" t="s">
        <v>56</v>
      </c>
      <c r="N1186" s="16"/>
      <c r="O1186" s="16"/>
      <c r="P1186" s="16"/>
      <c r="Q1186" s="17">
        <f t="shared" si="107"/>
        <v>45679</v>
      </c>
      <c r="S1186" s="20"/>
      <c r="T1186" s="68" t="str">
        <f>VLOOKUP(A1186,'Calendar ID'!$A:$C,3,false)</f>
        <v>terpperrine@gmail.com</v>
      </c>
      <c r="U1186" s="78" t="b">
        <v>0</v>
      </c>
      <c r="V1186" s="68" t="str">
        <f>VLOOKUP($A1186,'Calendar ID'!$A:$C,2,false)</f>
        <v>c_3454aaede6db5cd8de24b4c70b8c6f3570b98e436e1f71e91d12b7a673ab3f97@group.calendar.google.com</v>
      </c>
      <c r="W1186" s="69" t="b">
        <v>1</v>
      </c>
      <c r="X1186" s="70" t="s">
        <v>82</v>
      </c>
    </row>
    <row r="1187" hidden="1">
      <c r="A1187" s="153" t="s">
        <v>110</v>
      </c>
      <c r="B1187" s="17">
        <v>45776.0</v>
      </c>
      <c r="C1187" s="16" t="s">
        <v>1087</v>
      </c>
      <c r="E1187" s="17"/>
      <c r="F1187" s="36">
        <v>45778.0</v>
      </c>
      <c r="G1187" s="43">
        <v>45792.0</v>
      </c>
      <c r="H1187" s="10" t="s">
        <v>31</v>
      </c>
      <c r="J1187" s="16" t="s">
        <v>43</v>
      </c>
      <c r="K1187" s="16" t="s">
        <v>33</v>
      </c>
      <c r="L1187" s="31" t="s">
        <v>56</v>
      </c>
      <c r="N1187" s="16"/>
      <c r="O1187" s="16"/>
      <c r="P1187" s="23"/>
      <c r="Q1187" s="17">
        <f t="shared" si="107"/>
        <v>45776</v>
      </c>
      <c r="R1187" s="15"/>
      <c r="S1187" s="20"/>
      <c r="T1187" s="68"/>
      <c r="U1187" s="77"/>
      <c r="V1187" s="68"/>
      <c r="W1187" s="71"/>
      <c r="X1187" s="20"/>
    </row>
    <row r="1188" hidden="1">
      <c r="A1188" s="153" t="s">
        <v>110</v>
      </c>
      <c r="B1188" s="17">
        <v>45433.0</v>
      </c>
      <c r="C1188" s="16" t="s">
        <v>410</v>
      </c>
      <c r="D1188" s="16" t="s">
        <v>802</v>
      </c>
      <c r="E1188" s="17"/>
      <c r="G1188" s="17"/>
      <c r="H1188" s="16" t="s">
        <v>31</v>
      </c>
      <c r="J1188" s="16" t="s">
        <v>97</v>
      </c>
      <c r="K1188" s="16" t="s">
        <v>33</v>
      </c>
      <c r="L1188" s="31" t="s">
        <v>56</v>
      </c>
      <c r="N1188" s="16"/>
      <c r="O1188" s="16"/>
      <c r="P1188" s="16"/>
      <c r="Q1188" s="17">
        <f t="shared" si="107"/>
        <v>45433</v>
      </c>
      <c r="S1188" s="20"/>
      <c r="T1188" s="20" t="str">
        <f>VLOOKUP(A1188,'Calendar ID'!$A:$C,3,false)</f>
        <v>terpperrine@gmail.com</v>
      </c>
      <c r="U1188" s="20" t="b">
        <v>0</v>
      </c>
      <c r="V1188" s="20" t="str">
        <f>VLOOKUP($A1188,'Calendar ID'!$A:$C,2,false)</f>
        <v>c_3454aaede6db5cd8de24b4c70b8c6f3570b98e436e1f71e91d12b7a673ab3f97@group.calendar.google.com</v>
      </c>
      <c r="W1188" s="19" t="b">
        <v>0</v>
      </c>
      <c r="X1188" s="20" t="str">
        <f>VLOOKUP($A1188,'Calendar ID'!$A:$C,2,false)</f>
        <v>c_3454aaede6db5cd8de24b4c70b8c6f3570b98e436e1f71e91d12b7a673ab3f97@group.calendar.google.com</v>
      </c>
      <c r="Y1188" s="20"/>
      <c r="Z1188" s="20"/>
      <c r="AA1188" s="20"/>
      <c r="AB1188" s="20"/>
      <c r="AC1188" s="20"/>
    </row>
    <row r="1189" hidden="1">
      <c r="A1189" s="153" t="s">
        <v>110</v>
      </c>
      <c r="B1189" s="17">
        <v>45450.0</v>
      </c>
      <c r="C1189" s="7" t="s">
        <v>901</v>
      </c>
      <c r="E1189" s="17"/>
      <c r="G1189" s="17"/>
      <c r="H1189" s="16" t="s">
        <v>31</v>
      </c>
      <c r="J1189" s="16" t="s">
        <v>97</v>
      </c>
      <c r="K1189" s="16" t="s">
        <v>33</v>
      </c>
      <c r="L1189" s="31" t="s">
        <v>56</v>
      </c>
      <c r="N1189" s="16"/>
      <c r="O1189" s="16"/>
      <c r="P1189" s="16"/>
      <c r="Q1189" s="17">
        <f t="shared" si="107"/>
        <v>45450</v>
      </c>
      <c r="S1189" s="20"/>
      <c r="T1189" s="20" t="str">
        <f>VLOOKUP(A1189,'Calendar ID'!$A:$C,3,false)</f>
        <v>terpperrine@gmail.com</v>
      </c>
      <c r="U1189" s="20" t="b">
        <v>0</v>
      </c>
      <c r="V1189" s="20" t="str">
        <f>VLOOKUP($A1189,'Calendar ID'!$A:$C,2,false)</f>
        <v>c_3454aaede6db5cd8de24b4c70b8c6f3570b98e436e1f71e91d12b7a673ab3f97@group.calendar.google.com</v>
      </c>
      <c r="W1189" s="19" t="b">
        <v>0</v>
      </c>
      <c r="X1189" s="20" t="str">
        <f>VLOOKUP($A1189,'Calendar ID'!$A:$C,2,false)</f>
        <v>c_3454aaede6db5cd8de24b4c70b8c6f3570b98e436e1f71e91d12b7a673ab3f97@group.calendar.google.com</v>
      </c>
      <c r="Y1189" s="20"/>
      <c r="Z1189" s="20"/>
      <c r="AA1189" s="20"/>
      <c r="AB1189" s="20"/>
      <c r="AC1189" s="20"/>
    </row>
    <row r="1190" hidden="1">
      <c r="A1190" s="195" t="s">
        <v>110</v>
      </c>
      <c r="B1190" s="11">
        <v>45511.0</v>
      </c>
      <c r="C1190" s="16" t="s">
        <v>724</v>
      </c>
      <c r="E1190" s="17"/>
      <c r="G1190" s="17"/>
      <c r="H1190" s="10" t="s">
        <v>31</v>
      </c>
      <c r="J1190" s="16" t="s">
        <v>97</v>
      </c>
      <c r="K1190" s="23" t="s">
        <v>33</v>
      </c>
      <c r="L1190" s="31" t="s">
        <v>56</v>
      </c>
      <c r="N1190" s="16"/>
      <c r="O1190" s="16"/>
      <c r="P1190" s="16"/>
      <c r="Q1190" s="17">
        <f t="shared" si="107"/>
        <v>45511</v>
      </c>
      <c r="S1190" s="20"/>
      <c r="T1190" s="68" t="str">
        <f>VLOOKUP(A1190,'Calendar ID'!$A:$C,3,false)</f>
        <v>terpperrine@gmail.com</v>
      </c>
      <c r="U1190" s="78" t="b">
        <v>0</v>
      </c>
      <c r="V1190" s="68" t="str">
        <f>VLOOKUP($A1190,'Calendar ID'!$A:$C,2,false)</f>
        <v>c_3454aaede6db5cd8de24b4c70b8c6f3570b98e436e1f71e91d12b7a673ab3f97@group.calendar.google.com</v>
      </c>
      <c r="W1190" s="71" t="b">
        <v>0</v>
      </c>
      <c r="X1190" s="68" t="str">
        <f>VLOOKUP($A1190,'Calendar ID'!$A:$C,2,false)</f>
        <v>c_3454aaede6db5cd8de24b4c70b8c6f3570b98e436e1f71e91d12b7a673ab3f97@group.calendar.google.com</v>
      </c>
      <c r="AA1190" s="16" t="s">
        <v>158</v>
      </c>
    </row>
    <row r="1191" hidden="1">
      <c r="A1191" s="153" t="s">
        <v>110</v>
      </c>
      <c r="B1191" s="17">
        <v>45454.0</v>
      </c>
      <c r="C1191" s="16" t="s">
        <v>287</v>
      </c>
      <c r="E1191" s="17"/>
      <c r="G1191" s="17"/>
      <c r="H1191" s="16" t="s">
        <v>31</v>
      </c>
      <c r="J1191" s="16" t="s">
        <v>97</v>
      </c>
      <c r="K1191" s="16" t="s">
        <v>33</v>
      </c>
      <c r="L1191" s="31" t="s">
        <v>56</v>
      </c>
      <c r="N1191" s="16"/>
      <c r="O1191" s="16"/>
      <c r="P1191" s="16"/>
      <c r="Q1191" s="17">
        <f t="shared" si="107"/>
        <v>45454</v>
      </c>
      <c r="S1191" s="20"/>
      <c r="T1191" s="20" t="str">
        <f>VLOOKUP(A1191,'Calendar ID'!$A:$C,3,false)</f>
        <v>terpperrine@gmail.com</v>
      </c>
      <c r="U1191" s="20" t="b">
        <v>0</v>
      </c>
      <c r="V1191" s="20" t="str">
        <f>VLOOKUP($A1191,'Calendar ID'!$A:$C,2,false)</f>
        <v>c_3454aaede6db5cd8de24b4c70b8c6f3570b98e436e1f71e91d12b7a673ab3f97@group.calendar.google.com</v>
      </c>
      <c r="W1191" s="19" t="b">
        <v>0</v>
      </c>
      <c r="X1191" s="20" t="str">
        <f>VLOOKUP($A1191,'Calendar ID'!$A:$C,2,false)</f>
        <v>c_3454aaede6db5cd8de24b4c70b8c6f3570b98e436e1f71e91d12b7a673ab3f97@group.calendar.google.com</v>
      </c>
      <c r="Y1191" s="20"/>
      <c r="Z1191" s="20"/>
      <c r="AA1191" s="20"/>
      <c r="AB1191" s="20"/>
      <c r="AC1191" s="20"/>
    </row>
    <row r="1192" hidden="1">
      <c r="A1192" s="197" t="s">
        <v>110</v>
      </c>
      <c r="B1192" s="11">
        <v>45511.0</v>
      </c>
      <c r="C1192" s="16" t="s">
        <v>140</v>
      </c>
      <c r="E1192" s="17"/>
      <c r="G1192" s="17"/>
      <c r="H1192" s="10" t="s">
        <v>31</v>
      </c>
      <c r="I1192" s="16" t="s">
        <v>775</v>
      </c>
      <c r="J1192" s="16" t="s">
        <v>97</v>
      </c>
      <c r="K1192" s="23" t="s">
        <v>33</v>
      </c>
      <c r="L1192" s="31" t="s">
        <v>56</v>
      </c>
      <c r="N1192" s="16"/>
      <c r="O1192" s="16"/>
      <c r="P1192" s="16"/>
      <c r="Q1192" s="17">
        <f t="shared" si="107"/>
        <v>45511</v>
      </c>
      <c r="S1192" s="20"/>
      <c r="T1192" s="68" t="str">
        <f>VLOOKUP(A1192,'Calendar ID'!$A:$C,3,false)</f>
        <v>terpperrine@gmail.com</v>
      </c>
      <c r="U1192" s="78" t="b">
        <v>0</v>
      </c>
      <c r="V1192" s="68" t="str">
        <f>VLOOKUP($A1192,'Calendar ID'!$A:$C,2,false)</f>
        <v>c_3454aaede6db5cd8de24b4c70b8c6f3570b98e436e1f71e91d12b7a673ab3f97@group.calendar.google.com</v>
      </c>
      <c r="W1192" s="71" t="b">
        <v>0</v>
      </c>
      <c r="X1192" s="68" t="str">
        <f>VLOOKUP($A1192,'Calendar ID'!$A:$C,2,false)</f>
        <v>c_3454aaede6db5cd8de24b4c70b8c6f3570b98e436e1f71e91d12b7a673ab3f97@group.calendar.google.com</v>
      </c>
      <c r="AA1192" s="16"/>
    </row>
    <row r="1193" hidden="1">
      <c r="A1193" s="153" t="s">
        <v>110</v>
      </c>
      <c r="B1193" s="17">
        <v>45527.0</v>
      </c>
      <c r="C1193" s="16" t="s">
        <v>727</v>
      </c>
      <c r="E1193" s="17"/>
      <c r="G1193" s="17"/>
      <c r="H1193" s="10" t="s">
        <v>31</v>
      </c>
      <c r="J1193" s="16" t="s">
        <v>266</v>
      </c>
      <c r="K1193" s="23" t="s">
        <v>33</v>
      </c>
      <c r="L1193" s="31" t="s">
        <v>56</v>
      </c>
      <c r="N1193" s="16"/>
      <c r="O1193" s="16"/>
      <c r="P1193" s="16"/>
      <c r="Q1193" s="17">
        <f t="shared" si="107"/>
        <v>45527</v>
      </c>
      <c r="S1193" s="20"/>
      <c r="T1193" s="68" t="str">
        <f>VLOOKUP(A1193,'Calendar ID'!$A:$C,3,false)</f>
        <v>terpperrine@gmail.com</v>
      </c>
      <c r="U1193" s="78" t="b">
        <v>0</v>
      </c>
      <c r="V1193" s="68" t="str">
        <f>VLOOKUP($A1193,'Calendar ID'!$A:$C,2,false)</f>
        <v>c_3454aaede6db5cd8de24b4c70b8c6f3570b98e436e1f71e91d12b7a673ab3f97@group.calendar.google.com</v>
      </c>
      <c r="W1193" s="71" t="b">
        <v>0</v>
      </c>
      <c r="X1193" s="68" t="str">
        <f>VLOOKUP($A1193,'Calendar ID'!$A:$C,2,false)</f>
        <v>c_3454aaede6db5cd8de24b4c70b8c6f3570b98e436e1f71e91d12b7a673ab3f97@group.calendar.google.com</v>
      </c>
      <c r="AA1193" s="16"/>
    </row>
    <row r="1194" hidden="1">
      <c r="A1194" s="195" t="s">
        <v>110</v>
      </c>
      <c r="B1194" s="11">
        <v>45511.0</v>
      </c>
      <c r="C1194" s="16" t="s">
        <v>160</v>
      </c>
      <c r="E1194" s="17"/>
      <c r="G1194" s="17"/>
      <c r="H1194" s="10" t="s">
        <v>31</v>
      </c>
      <c r="J1194" s="16" t="s">
        <v>97</v>
      </c>
      <c r="K1194" s="23" t="s">
        <v>33</v>
      </c>
      <c r="L1194" s="31" t="s">
        <v>56</v>
      </c>
      <c r="N1194" s="16"/>
      <c r="O1194" s="16"/>
      <c r="P1194" s="16"/>
      <c r="Q1194" s="17">
        <f t="shared" si="107"/>
        <v>45511</v>
      </c>
      <c r="S1194" s="20"/>
      <c r="T1194" s="68" t="str">
        <f>VLOOKUP(A1194,'Calendar ID'!$A:$C,3,false)</f>
        <v>terpperrine@gmail.com</v>
      </c>
      <c r="U1194" s="78" t="b">
        <v>0</v>
      </c>
      <c r="V1194" s="68" t="str">
        <f>VLOOKUP($A1194,'Calendar ID'!$A:$C,2,false)</f>
        <v>c_3454aaede6db5cd8de24b4c70b8c6f3570b98e436e1f71e91d12b7a673ab3f97@group.calendar.google.com</v>
      </c>
      <c r="W1194" s="71" t="b">
        <v>0</v>
      </c>
      <c r="X1194" s="68" t="str">
        <f>VLOOKUP($A1194,'Calendar ID'!$A:$C,2,false)</f>
        <v>c_3454aaede6db5cd8de24b4c70b8c6f3570b98e436e1f71e91d12b7a673ab3f97@group.calendar.google.com</v>
      </c>
      <c r="AA1194" s="16" t="s">
        <v>158</v>
      </c>
    </row>
    <row r="1195" hidden="1">
      <c r="A1195" s="153" t="s">
        <v>110</v>
      </c>
      <c r="B1195" s="17">
        <v>45545.0</v>
      </c>
      <c r="C1195" s="16" t="s">
        <v>1088</v>
      </c>
      <c r="E1195" s="17"/>
      <c r="G1195" s="17"/>
      <c r="H1195" s="10" t="s">
        <v>31</v>
      </c>
      <c r="J1195" s="16" t="s">
        <v>266</v>
      </c>
      <c r="K1195" s="23" t="s">
        <v>33</v>
      </c>
      <c r="L1195" s="31" t="s">
        <v>56</v>
      </c>
      <c r="N1195" s="16"/>
      <c r="O1195" s="16"/>
      <c r="P1195" s="16"/>
      <c r="Q1195" s="17">
        <f t="shared" si="107"/>
        <v>45545</v>
      </c>
      <c r="S1195" s="20"/>
      <c r="T1195" s="68" t="str">
        <f>VLOOKUP(A1195,'Calendar ID'!$A:$C,3,false)</f>
        <v>terpperrine@gmail.com</v>
      </c>
      <c r="U1195" s="78" t="b">
        <v>0</v>
      </c>
      <c r="V1195" s="68" t="str">
        <f>VLOOKUP($A1195,'Calendar ID'!$A:$C,2,false)</f>
        <v>c_3454aaede6db5cd8de24b4c70b8c6f3570b98e436e1f71e91d12b7a673ab3f97@group.calendar.google.com</v>
      </c>
      <c r="W1195" s="71" t="b">
        <v>0</v>
      </c>
      <c r="X1195" s="68" t="str">
        <f>VLOOKUP($A1195,'Calendar ID'!$A:$C,2,false)</f>
        <v>c_3454aaede6db5cd8de24b4c70b8c6f3570b98e436e1f71e91d12b7a673ab3f97@group.calendar.google.com</v>
      </c>
    </row>
    <row r="1196" hidden="1">
      <c r="A1196" s="197" t="s">
        <v>110</v>
      </c>
      <c r="B1196" s="17">
        <v>45503.0</v>
      </c>
      <c r="C1196" s="16" t="s">
        <v>191</v>
      </c>
      <c r="E1196" s="17"/>
      <c r="G1196" s="17"/>
      <c r="H1196" s="10" t="s">
        <v>31</v>
      </c>
      <c r="J1196" s="16" t="s">
        <v>97</v>
      </c>
      <c r="K1196" s="23" t="s">
        <v>33</v>
      </c>
      <c r="L1196" s="31" t="s">
        <v>56</v>
      </c>
      <c r="N1196" s="16"/>
      <c r="O1196" s="16"/>
      <c r="P1196" s="16"/>
      <c r="Q1196" s="17">
        <f t="shared" si="107"/>
        <v>45503</v>
      </c>
      <c r="S1196" s="20"/>
      <c r="T1196" s="68" t="str">
        <f>VLOOKUP(A1196,'Calendar ID'!$A:$C,3,false)</f>
        <v>terpperrine@gmail.com</v>
      </c>
      <c r="U1196" s="71" t="b">
        <v>0</v>
      </c>
      <c r="V1196" s="68" t="str">
        <f>VLOOKUP($A1196,'Calendar ID'!$A:$C,2,false)</f>
        <v>c_3454aaede6db5cd8de24b4c70b8c6f3570b98e436e1f71e91d12b7a673ab3f97@group.calendar.google.com</v>
      </c>
      <c r="W1196" s="69" t="b">
        <v>0</v>
      </c>
      <c r="X1196" s="68" t="str">
        <f>VLOOKUP($A1196,'Calendar ID'!$A:$C,2,false)</f>
        <v>c_3454aaede6db5cd8de24b4c70b8c6f3570b98e436e1f71e91d12b7a673ab3f97@group.calendar.google.com</v>
      </c>
      <c r="Y1196" s="20"/>
      <c r="Z1196" s="20"/>
      <c r="AA1196" s="20"/>
      <c r="AB1196" s="20"/>
      <c r="AC1196" s="20"/>
    </row>
    <row r="1197" hidden="1">
      <c r="A1197" s="197" t="s">
        <v>110</v>
      </c>
      <c r="B1197" s="17">
        <v>45625.0</v>
      </c>
      <c r="C1197" s="16" t="s">
        <v>733</v>
      </c>
      <c r="E1197" s="17"/>
      <c r="G1197" s="17"/>
      <c r="H1197" s="10" t="s">
        <v>31</v>
      </c>
      <c r="J1197" s="16" t="s">
        <v>97</v>
      </c>
      <c r="K1197" s="23" t="s">
        <v>33</v>
      </c>
      <c r="L1197" s="31" t="s">
        <v>56</v>
      </c>
      <c r="N1197" s="16"/>
      <c r="O1197" s="16"/>
      <c r="P1197" s="16"/>
      <c r="Q1197" s="17">
        <f t="shared" si="107"/>
        <v>45625</v>
      </c>
      <c r="S1197" s="20"/>
      <c r="T1197" s="68" t="str">
        <f>VLOOKUP(A1197,'Calendar ID'!$A:$C,3,false)</f>
        <v>terpperrine@gmail.com</v>
      </c>
      <c r="U1197" s="71" t="b">
        <v>0</v>
      </c>
      <c r="V1197" s="68" t="str">
        <f>VLOOKUP($A1197,'Calendar ID'!$A:$C,2,false)</f>
        <v>c_3454aaede6db5cd8de24b4c70b8c6f3570b98e436e1f71e91d12b7a673ab3f97@group.calendar.google.com</v>
      </c>
      <c r="W1197" s="71" t="b">
        <v>0</v>
      </c>
      <c r="X1197" s="68" t="str">
        <f>VLOOKUP($A1197,'Calendar ID'!$A:$C,2,false)</f>
        <v>c_3454aaede6db5cd8de24b4c70b8c6f3570b98e436e1f71e91d12b7a673ab3f97@group.calendar.google.com</v>
      </c>
    </row>
    <row r="1198" hidden="1">
      <c r="A1198" s="195" t="s">
        <v>213</v>
      </c>
      <c r="B1198" s="17">
        <v>45596.0</v>
      </c>
      <c r="C1198" s="16" t="s">
        <v>1089</v>
      </c>
      <c r="E1198" s="162"/>
      <c r="G1198" s="17"/>
      <c r="H1198" s="10" t="s">
        <v>31</v>
      </c>
      <c r="J1198" s="16" t="s">
        <v>266</v>
      </c>
      <c r="K1198" s="23" t="s">
        <v>33</v>
      </c>
      <c r="L1198" s="31" t="s">
        <v>56</v>
      </c>
      <c r="N1198" s="16"/>
      <c r="O1198" s="16"/>
      <c r="P1198" s="16"/>
      <c r="Q1198" s="17">
        <f t="shared" si="107"/>
        <v>45596</v>
      </c>
      <c r="S1198" s="20"/>
      <c r="T1198" s="68" t="str">
        <f>VLOOKUP(A1198,'Calendar ID'!$A:$C,3,false)</f>
        <v>anaiswry@yahoo.fr</v>
      </c>
      <c r="U1198" s="77" t="b">
        <v>0</v>
      </c>
      <c r="V1198" s="68" t="str">
        <f>VLOOKUP($A1198,'Calendar ID'!$A:$C,2,false)</f>
        <v>c_2754856c5047affc6767bb85fb787591389bf7d14d3afd368efdff9979492ab5@group.calendar.google.com</v>
      </c>
      <c r="W1198" s="77" t="b">
        <v>0</v>
      </c>
      <c r="X1198" s="68" t="str">
        <f>VLOOKUP($A1198,'Calendar ID'!$A:$C,2,false)</f>
        <v>c_2754856c5047affc6767bb85fb787591389bf7d14d3afd368efdff9979492ab5@group.calendar.google.com</v>
      </c>
    </row>
    <row r="1199" hidden="1">
      <c r="A1199" s="195" t="s">
        <v>1090</v>
      </c>
      <c r="B1199" s="17">
        <v>45386.0</v>
      </c>
      <c r="C1199" s="16" t="s">
        <v>630</v>
      </c>
      <c r="E1199" s="8"/>
      <c r="F1199" s="28">
        <v>45387.0</v>
      </c>
      <c r="G1199" s="35">
        <v>45408.0</v>
      </c>
      <c r="H1199" s="10" t="s">
        <v>31</v>
      </c>
      <c r="I1199" s="16" t="s">
        <v>747</v>
      </c>
      <c r="J1199" s="16" t="s">
        <v>43</v>
      </c>
      <c r="K1199" s="16" t="s">
        <v>33</v>
      </c>
      <c r="L1199" s="14" t="s">
        <v>56</v>
      </c>
      <c r="Q1199" s="17">
        <f t="shared" si="107"/>
        <v>45386</v>
      </c>
      <c r="S1199" s="20"/>
      <c r="T1199" s="20"/>
      <c r="U1199" s="20"/>
      <c r="V1199" s="20"/>
      <c r="W1199" s="20"/>
      <c r="X1199" s="20"/>
      <c r="Y1199" s="20"/>
      <c r="Z1199" s="20"/>
      <c r="AA1199" s="20"/>
      <c r="AB1199" s="20"/>
      <c r="AC1199" s="20"/>
    </row>
    <row r="1200" hidden="1">
      <c r="A1200" s="202" t="s">
        <v>1090</v>
      </c>
      <c r="B1200" s="17">
        <v>45401.0</v>
      </c>
      <c r="C1200" s="16" t="s">
        <v>894</v>
      </c>
      <c r="G1200" s="38">
        <v>45421.0</v>
      </c>
      <c r="H1200" s="16" t="s">
        <v>31</v>
      </c>
      <c r="I1200" s="16" t="s">
        <v>658</v>
      </c>
      <c r="J1200" s="16" t="s">
        <v>659</v>
      </c>
      <c r="K1200" s="14" t="s">
        <v>33</v>
      </c>
      <c r="L1200" s="16" t="s">
        <v>56</v>
      </c>
      <c r="Q1200" s="17">
        <f t="shared" si="107"/>
        <v>45401</v>
      </c>
      <c r="S1200" s="20"/>
      <c r="T1200" s="20"/>
      <c r="U1200" s="20"/>
      <c r="V1200" s="20"/>
      <c r="W1200" s="20"/>
      <c r="X1200" s="20"/>
      <c r="Y1200" s="20"/>
      <c r="Z1200" s="20"/>
      <c r="AA1200" s="20"/>
      <c r="AB1200" s="20"/>
      <c r="AC1200" s="20"/>
    </row>
    <row r="1201" hidden="1">
      <c r="A1201" s="195" t="s">
        <v>1090</v>
      </c>
      <c r="B1201" s="17">
        <v>45425.0</v>
      </c>
      <c r="C1201" s="16" t="s">
        <v>713</v>
      </c>
      <c r="E1201" s="17"/>
      <c r="G1201" s="139">
        <v>45448.0</v>
      </c>
      <c r="H1201" s="16" t="s">
        <v>31</v>
      </c>
      <c r="I1201" s="16" t="s">
        <v>670</v>
      </c>
      <c r="J1201" s="16" t="s">
        <v>659</v>
      </c>
      <c r="K1201" s="16" t="s">
        <v>33</v>
      </c>
      <c r="L1201" s="31" t="s">
        <v>56</v>
      </c>
      <c r="N1201" s="55" t="s">
        <v>1091</v>
      </c>
      <c r="O1201" s="16"/>
      <c r="P1201" s="16"/>
      <c r="Q1201" s="17">
        <f t="shared" si="107"/>
        <v>45425</v>
      </c>
      <c r="S1201" s="20"/>
      <c r="T1201" s="20"/>
      <c r="U1201" s="20"/>
      <c r="V1201" s="20"/>
      <c r="W1201" s="20"/>
      <c r="X1201" s="20"/>
      <c r="Y1201" s="20"/>
      <c r="Z1201" s="20"/>
      <c r="AA1201" s="20"/>
      <c r="AB1201" s="20"/>
      <c r="AC1201" s="20"/>
    </row>
    <row r="1202" hidden="1">
      <c r="A1202" s="195" t="s">
        <v>1090</v>
      </c>
      <c r="B1202" s="17">
        <v>45428.0</v>
      </c>
      <c r="C1202" s="29" t="s">
        <v>626</v>
      </c>
      <c r="E1202" s="17"/>
      <c r="G1202" s="58">
        <v>45473.0</v>
      </c>
      <c r="H1202" s="16" t="s">
        <v>31</v>
      </c>
      <c r="J1202" s="7" t="s">
        <v>859</v>
      </c>
      <c r="K1202" s="23" t="s">
        <v>33</v>
      </c>
      <c r="L1202" s="14" t="s">
        <v>56</v>
      </c>
      <c r="N1202" s="16"/>
      <c r="O1202" s="16"/>
      <c r="P1202" s="16"/>
      <c r="Q1202" s="17">
        <f t="shared" si="107"/>
        <v>45428</v>
      </c>
      <c r="S1202" s="20"/>
      <c r="T1202" s="20" t="str">
        <f>VLOOKUP(A1202,'Calendar ID'!$A:$C,3,false)</f>
        <v>#N/A</v>
      </c>
      <c r="U1202" s="20" t="b">
        <v>0</v>
      </c>
      <c r="V1202" s="20" t="str">
        <f>VLOOKUP($A1202,'Calendar ID'!$A:$C,2,false)</f>
        <v>#N/A</v>
      </c>
      <c r="W1202" s="19" t="b">
        <v>0</v>
      </c>
      <c r="X1202" s="20" t="str">
        <f>VLOOKUP($A1202,'Calendar ID'!$A:$C,2,false)</f>
        <v>#N/A</v>
      </c>
      <c r="Y1202" s="20"/>
      <c r="Z1202" s="20"/>
      <c r="AA1202" s="20"/>
      <c r="AB1202" s="20"/>
      <c r="AC1202" s="20"/>
    </row>
    <row r="1203" hidden="1">
      <c r="A1203" s="195" t="s">
        <v>1090</v>
      </c>
      <c r="B1203" s="17">
        <v>45369.0</v>
      </c>
      <c r="C1203" s="29" t="s">
        <v>626</v>
      </c>
      <c r="F1203" s="122">
        <v>45373.0</v>
      </c>
      <c r="G1203" s="10"/>
      <c r="H1203" s="10" t="s">
        <v>31</v>
      </c>
      <c r="I1203" s="16" t="s">
        <v>1092</v>
      </c>
      <c r="L1203" s="16" t="s">
        <v>808</v>
      </c>
      <c r="M1203" s="104"/>
      <c r="Q1203" s="17">
        <f t="shared" si="107"/>
        <v>45369</v>
      </c>
      <c r="R1203" s="18"/>
      <c r="S1203" s="20"/>
      <c r="T1203" s="20"/>
      <c r="U1203" s="20"/>
      <c r="V1203" s="20"/>
      <c r="W1203" s="20"/>
      <c r="X1203" s="20"/>
      <c r="Y1203" s="20"/>
      <c r="Z1203" s="20"/>
      <c r="AA1203" s="20"/>
      <c r="AB1203" s="20"/>
      <c r="AC1203" s="20"/>
    </row>
    <row r="1204" hidden="1">
      <c r="A1204" s="195" t="s">
        <v>1090</v>
      </c>
      <c r="B1204" s="17">
        <v>45371.0</v>
      </c>
      <c r="C1204" s="7" t="s">
        <v>901</v>
      </c>
      <c r="F1204" s="122">
        <v>45008.0</v>
      </c>
      <c r="G1204" s="10"/>
      <c r="H1204" s="10" t="s">
        <v>31</v>
      </c>
      <c r="I1204" s="16" t="s">
        <v>902</v>
      </c>
      <c r="J1204" s="7" t="s">
        <v>97</v>
      </c>
      <c r="K1204" s="16" t="s">
        <v>33</v>
      </c>
      <c r="L1204" s="14" t="s">
        <v>56</v>
      </c>
      <c r="M1204" s="104"/>
      <c r="N1204" s="7"/>
      <c r="O1204" s="7"/>
      <c r="P1204" s="7"/>
      <c r="Q1204" s="17">
        <f t="shared" si="107"/>
        <v>45371</v>
      </c>
      <c r="S1204" s="20"/>
      <c r="T1204" s="20"/>
      <c r="U1204" s="20"/>
      <c r="V1204" s="20"/>
      <c r="W1204" s="20"/>
      <c r="X1204" s="20"/>
      <c r="Y1204" s="20"/>
      <c r="Z1204" s="20"/>
      <c r="AA1204" s="20"/>
      <c r="AB1204" s="20"/>
      <c r="AC1204" s="20"/>
    </row>
    <row r="1205" hidden="1">
      <c r="A1205" s="202" t="s">
        <v>1090</v>
      </c>
      <c r="B1205" s="17">
        <v>45407.0</v>
      </c>
      <c r="C1205" s="16" t="s">
        <v>287</v>
      </c>
      <c r="E1205" s="17"/>
      <c r="H1205" s="16" t="s">
        <v>31</v>
      </c>
      <c r="J1205" s="16" t="s">
        <v>97</v>
      </c>
      <c r="K1205" s="14" t="s">
        <v>33</v>
      </c>
      <c r="L1205" s="31" t="s">
        <v>56</v>
      </c>
      <c r="N1205" s="55" t="s">
        <v>1093</v>
      </c>
      <c r="O1205" s="16"/>
      <c r="P1205" s="16"/>
      <c r="Q1205" s="17">
        <f t="shared" si="107"/>
        <v>45407</v>
      </c>
      <c r="S1205" s="20"/>
      <c r="T1205" s="20"/>
      <c r="U1205" s="20"/>
      <c r="V1205" s="20"/>
      <c r="W1205" s="20"/>
      <c r="X1205" s="20"/>
      <c r="Y1205" s="20"/>
      <c r="Z1205" s="20"/>
      <c r="AA1205" s="20"/>
      <c r="AB1205" s="20"/>
      <c r="AC1205" s="20"/>
    </row>
    <row r="1206" hidden="1">
      <c r="A1206" s="195" t="s">
        <v>1090</v>
      </c>
      <c r="B1206" s="7"/>
      <c r="C1206" s="7" t="s">
        <v>410</v>
      </c>
      <c r="D1206" s="7" t="s">
        <v>734</v>
      </c>
      <c r="E1206" s="7"/>
      <c r="F1206" s="177">
        <v>45352.0</v>
      </c>
      <c r="H1206" s="10" t="s">
        <v>31</v>
      </c>
      <c r="I1206" s="167"/>
      <c r="J1206" s="7" t="s">
        <v>97</v>
      </c>
      <c r="K1206" s="7" t="s">
        <v>33</v>
      </c>
      <c r="L1206" s="7" t="s">
        <v>56</v>
      </c>
      <c r="M1206" s="104"/>
      <c r="Q1206" s="17" t="str">
        <f t="shared" si="107"/>
        <v/>
      </c>
      <c r="S1206" s="20"/>
      <c r="T1206" s="20"/>
      <c r="U1206" s="20"/>
      <c r="V1206" s="20"/>
      <c r="W1206" s="20"/>
      <c r="X1206" s="20"/>
      <c r="Y1206" s="20"/>
      <c r="Z1206" s="20"/>
      <c r="AA1206" s="20"/>
      <c r="AB1206" s="20"/>
      <c r="AC1206" s="20"/>
    </row>
    <row r="1207" hidden="1">
      <c r="A1207" s="195" t="s">
        <v>215</v>
      </c>
      <c r="B1207" s="17">
        <v>45561.0</v>
      </c>
      <c r="C1207" s="16" t="s">
        <v>245</v>
      </c>
      <c r="E1207" s="26"/>
      <c r="F1207" s="17"/>
      <c r="G1207" s="204">
        <v>45612.0</v>
      </c>
      <c r="H1207" s="10" t="s">
        <v>31</v>
      </c>
      <c r="I1207" s="16" t="s">
        <v>1094</v>
      </c>
      <c r="J1207" s="16" t="s">
        <v>43</v>
      </c>
      <c r="K1207" s="23" t="s">
        <v>33</v>
      </c>
      <c r="L1207" s="51">
        <v>300.0</v>
      </c>
      <c r="N1207" s="65" t="s">
        <v>1095</v>
      </c>
      <c r="O1207" s="16"/>
      <c r="P1207" s="16" t="s">
        <v>34</v>
      </c>
      <c r="Q1207" s="17">
        <f t="shared" si="107"/>
        <v>45561</v>
      </c>
      <c r="R1207" s="81">
        <f>L1207*0.3</f>
        <v>90</v>
      </c>
      <c r="S1207" s="20"/>
      <c r="T1207" s="68" t="str">
        <f>VLOOKUP(A1207,'Calendar ID'!$A:$C,3,false)</f>
        <v>iimslmapro@outlook.fr</v>
      </c>
      <c r="U1207" s="78" t="b">
        <v>0</v>
      </c>
      <c r="V1207" s="68" t="str">
        <f>VLOOKUP($A1207,'Calendar ID'!$A:$C,2,false)</f>
        <v>c_a80d776e58d8881ef4e876da99555e813842eeed9733f23e6f4b85d237e1fdec@group.calendar.google.com</v>
      </c>
      <c r="W1207" s="71" t="b">
        <v>0</v>
      </c>
      <c r="X1207" s="68" t="str">
        <f>VLOOKUP($A1207,'Calendar ID'!$A:$C,2,false)</f>
        <v>c_a80d776e58d8881ef4e876da99555e813842eeed9733f23e6f4b85d237e1fdec@group.calendar.google.com</v>
      </c>
    </row>
    <row r="1208" hidden="1">
      <c r="A1208" s="195" t="s">
        <v>1090</v>
      </c>
      <c r="B1208" s="7"/>
      <c r="C1208" s="7" t="s">
        <v>738</v>
      </c>
      <c r="D1208" s="7" t="s">
        <v>734</v>
      </c>
      <c r="E1208" s="7"/>
      <c r="F1208" s="177">
        <v>45352.0</v>
      </c>
      <c r="G1208" s="10"/>
      <c r="H1208" s="10" t="s">
        <v>31</v>
      </c>
      <c r="I1208" s="167"/>
      <c r="J1208" s="7" t="s">
        <v>97</v>
      </c>
      <c r="K1208" s="7" t="s">
        <v>33</v>
      </c>
      <c r="L1208" s="7" t="s">
        <v>56</v>
      </c>
      <c r="M1208" s="104"/>
      <c r="Q1208" s="17" t="str">
        <f t="shared" si="107"/>
        <v/>
      </c>
      <c r="R1208" s="18"/>
      <c r="S1208" s="20"/>
      <c r="T1208" s="20"/>
      <c r="U1208" s="20"/>
      <c r="V1208" s="20"/>
      <c r="W1208" s="20"/>
      <c r="X1208" s="20"/>
      <c r="Y1208" s="20"/>
      <c r="Z1208" s="20"/>
      <c r="AA1208" s="20"/>
      <c r="AB1208" s="20"/>
      <c r="AC1208" s="20"/>
    </row>
    <row r="1209" hidden="1">
      <c r="A1209" s="153" t="s">
        <v>1090</v>
      </c>
      <c r="B1209" s="7"/>
      <c r="C1209" s="7" t="s">
        <v>840</v>
      </c>
      <c r="D1209" s="7" t="s">
        <v>736</v>
      </c>
      <c r="E1209" s="7"/>
      <c r="F1209" s="177">
        <v>45352.0</v>
      </c>
      <c r="H1209" s="10" t="s">
        <v>31</v>
      </c>
      <c r="I1209" s="167"/>
      <c r="J1209" s="7" t="s">
        <v>898</v>
      </c>
      <c r="K1209" s="14" t="s">
        <v>33</v>
      </c>
      <c r="L1209" s="14" t="s">
        <v>56</v>
      </c>
      <c r="M1209" s="104"/>
      <c r="Q1209" s="17" t="str">
        <f t="shared" si="107"/>
        <v/>
      </c>
      <c r="R1209" s="18"/>
      <c r="S1209" s="20" t="b">
        <v>0</v>
      </c>
      <c r="T1209" s="20"/>
      <c r="U1209" s="20"/>
      <c r="V1209" s="20"/>
      <c r="W1209" s="20"/>
      <c r="X1209" s="20"/>
      <c r="Y1209" s="20"/>
      <c r="Z1209" s="20"/>
      <c r="AA1209" s="20"/>
      <c r="AB1209" s="20"/>
      <c r="AC1209" s="20"/>
    </row>
    <row r="1210" hidden="1">
      <c r="A1210" s="195" t="s">
        <v>1090</v>
      </c>
      <c r="C1210" s="29" t="s">
        <v>626</v>
      </c>
      <c r="D1210" s="16" t="s">
        <v>1096</v>
      </c>
      <c r="H1210" s="10" t="s">
        <v>31</v>
      </c>
      <c r="J1210" s="7" t="s">
        <v>898</v>
      </c>
      <c r="K1210" s="14" t="s">
        <v>33</v>
      </c>
      <c r="L1210" s="14" t="s">
        <v>56</v>
      </c>
      <c r="M1210" s="104"/>
      <c r="Q1210" s="17" t="str">
        <f t="shared" si="107"/>
        <v/>
      </c>
      <c r="S1210" s="20"/>
      <c r="T1210" s="20"/>
      <c r="U1210" s="20"/>
      <c r="V1210" s="20"/>
      <c r="W1210" s="20"/>
      <c r="X1210" s="20"/>
      <c r="Y1210" s="20"/>
      <c r="Z1210" s="20"/>
      <c r="AA1210" s="20"/>
      <c r="AB1210" s="20"/>
      <c r="AC1210" s="20"/>
    </row>
    <row r="1211" hidden="1">
      <c r="A1211" s="153" t="s">
        <v>215</v>
      </c>
      <c r="B1211" s="17">
        <v>45496.0</v>
      </c>
      <c r="C1211" s="16" t="s">
        <v>220</v>
      </c>
      <c r="E1211" s="17"/>
      <c r="F1211" s="66">
        <v>45499.0</v>
      </c>
      <c r="G1211" s="72">
        <v>45508.0</v>
      </c>
      <c r="H1211" s="10" t="s">
        <v>31</v>
      </c>
      <c r="J1211" s="7" t="s">
        <v>43</v>
      </c>
      <c r="K1211" s="23" t="s">
        <v>33</v>
      </c>
      <c r="L1211" s="31" t="s">
        <v>56</v>
      </c>
      <c r="M1211" s="104"/>
      <c r="N1211" s="55" t="s">
        <v>1097</v>
      </c>
      <c r="O1211" s="16"/>
      <c r="P1211" s="16"/>
      <c r="Q1211" s="17">
        <f t="shared" si="107"/>
        <v>45496</v>
      </c>
      <c r="S1211" s="20"/>
      <c r="T1211" s="68" t="str">
        <f>VLOOKUP(A1211,'Calendar ID'!$A:$C,3,false)</f>
        <v>iimslmapro@outlook.fr</v>
      </c>
      <c r="U1211" s="71" t="b">
        <v>0</v>
      </c>
      <c r="V1211" s="68" t="str">
        <f>VLOOKUP($A1211,'Calendar ID'!$A:$C,2,false)</f>
        <v>c_a80d776e58d8881ef4e876da99555e813842eeed9733f23e6f4b85d237e1fdec@group.calendar.google.com</v>
      </c>
      <c r="W1211" s="69" t="b">
        <v>1</v>
      </c>
      <c r="X1211" s="70" t="s">
        <v>82</v>
      </c>
      <c r="Y1211" s="20"/>
      <c r="Z1211" s="20"/>
      <c r="AA1211" s="20"/>
      <c r="AB1211" s="20"/>
      <c r="AC1211" s="20"/>
    </row>
    <row r="1212" hidden="1">
      <c r="A1212" s="197" t="s">
        <v>215</v>
      </c>
      <c r="B1212" s="17">
        <v>45497.0</v>
      </c>
      <c r="C1212" s="10" t="s">
        <v>816</v>
      </c>
      <c r="E1212" s="17"/>
      <c r="G1212" s="17">
        <v>45520.0</v>
      </c>
      <c r="H1212" s="10" t="s">
        <v>31</v>
      </c>
      <c r="I1212" s="16" t="s">
        <v>111</v>
      </c>
      <c r="J1212" s="16" t="s">
        <v>97</v>
      </c>
      <c r="K1212" s="23" t="s">
        <v>33</v>
      </c>
      <c r="L1212" s="31" t="s">
        <v>56</v>
      </c>
      <c r="N1212" s="55" t="s">
        <v>1098</v>
      </c>
      <c r="O1212" s="16"/>
      <c r="P1212" s="16"/>
      <c r="Q1212" s="17">
        <f t="shared" si="107"/>
        <v>45497</v>
      </c>
      <c r="S1212" s="20"/>
      <c r="T1212" s="68" t="str">
        <f>VLOOKUP(A1212,'Calendar ID'!$A:$C,3,false)</f>
        <v>iimslmapro@outlook.fr</v>
      </c>
      <c r="U1212" s="71" t="b">
        <v>0</v>
      </c>
      <c r="V1212" s="68" t="str">
        <f>VLOOKUP($A1212,'Calendar ID'!$A:$C,2,false)</f>
        <v>c_a80d776e58d8881ef4e876da99555e813842eeed9733f23e6f4b85d237e1fdec@group.calendar.google.com</v>
      </c>
      <c r="W1212" s="69" t="b">
        <v>1</v>
      </c>
      <c r="X1212" s="70" t="s">
        <v>82</v>
      </c>
      <c r="Y1212" s="20"/>
      <c r="Z1212" s="20"/>
      <c r="AA1212" s="20"/>
      <c r="AB1212" s="20"/>
      <c r="AC1212" s="20"/>
    </row>
    <row r="1213" hidden="1">
      <c r="A1213" s="153" t="s">
        <v>215</v>
      </c>
      <c r="B1213" s="17">
        <v>45503.0</v>
      </c>
      <c r="C1213" s="16" t="s">
        <v>690</v>
      </c>
      <c r="E1213" s="17"/>
      <c r="G1213" s="17">
        <v>45522.0</v>
      </c>
      <c r="H1213" s="10" t="s">
        <v>31</v>
      </c>
      <c r="I1213" s="16" t="s">
        <v>158</v>
      </c>
      <c r="J1213" s="16" t="s">
        <v>97</v>
      </c>
      <c r="K1213" s="23" t="s">
        <v>33</v>
      </c>
      <c r="L1213" s="31" t="s">
        <v>56</v>
      </c>
      <c r="N1213" s="65" t="s">
        <v>1099</v>
      </c>
      <c r="O1213" s="16"/>
      <c r="P1213" s="16"/>
      <c r="Q1213" s="17">
        <f t="shared" si="107"/>
        <v>45503</v>
      </c>
      <c r="S1213" s="20"/>
      <c r="T1213" s="68" t="str">
        <f>VLOOKUP(A1213,'Calendar ID'!$A:$C,3,false)</f>
        <v>iimslmapro@outlook.fr</v>
      </c>
      <c r="U1213" s="71" t="b">
        <v>0</v>
      </c>
      <c r="V1213" s="68" t="str">
        <f>VLOOKUP($A1213,'Calendar ID'!$A:$C,2,false)</f>
        <v>c_a80d776e58d8881ef4e876da99555e813842eeed9733f23e6f4b85d237e1fdec@group.calendar.google.com</v>
      </c>
      <c r="W1213" s="69" t="b">
        <v>0</v>
      </c>
      <c r="X1213" s="68" t="str">
        <f>VLOOKUP($A1213,'Calendar ID'!$A:$C,2,false)</f>
        <v>c_a80d776e58d8881ef4e876da99555e813842eeed9733f23e6f4b85d237e1fdec@group.calendar.google.com</v>
      </c>
      <c r="Y1213" s="20"/>
      <c r="Z1213" s="20"/>
      <c r="AA1213" s="20"/>
      <c r="AB1213" s="20"/>
      <c r="AC1213" s="20"/>
    </row>
    <row r="1214" hidden="1">
      <c r="A1214" s="195" t="s">
        <v>215</v>
      </c>
      <c r="B1214" s="17">
        <v>45510.0</v>
      </c>
      <c r="C1214" s="16" t="s">
        <v>694</v>
      </c>
      <c r="E1214" s="17"/>
      <c r="G1214" s="17">
        <v>45523.0</v>
      </c>
      <c r="H1214" s="10" t="s">
        <v>31</v>
      </c>
      <c r="J1214" s="16" t="s">
        <v>97</v>
      </c>
      <c r="K1214" s="16" t="s">
        <v>33</v>
      </c>
      <c r="L1214" s="31" t="s">
        <v>56</v>
      </c>
      <c r="N1214" s="55" t="s">
        <v>1100</v>
      </c>
      <c r="O1214" s="16"/>
      <c r="P1214" s="16"/>
      <c r="Q1214" s="17">
        <f t="shared" si="107"/>
        <v>45510</v>
      </c>
      <c r="S1214" s="20"/>
      <c r="T1214" s="68" t="str">
        <f>VLOOKUP(A1214,'Calendar ID'!$A:$C,3,false)</f>
        <v>iimslmapro@outlook.fr</v>
      </c>
      <c r="U1214" s="71" t="b">
        <v>0</v>
      </c>
      <c r="V1214" s="68" t="str">
        <f>VLOOKUP($A1214,'Calendar ID'!$A:$C,2,false)</f>
        <v>c_a80d776e58d8881ef4e876da99555e813842eeed9733f23e6f4b85d237e1fdec@group.calendar.google.com</v>
      </c>
      <c r="W1214" s="69" t="b">
        <v>1</v>
      </c>
      <c r="X1214" s="70" t="s">
        <v>82</v>
      </c>
      <c r="Y1214" s="20"/>
      <c r="Z1214" s="20"/>
      <c r="AA1214" s="20"/>
      <c r="AB1214" s="20"/>
      <c r="AC1214" s="20"/>
    </row>
    <row r="1215" hidden="1">
      <c r="A1215" s="153" t="s">
        <v>215</v>
      </c>
      <c r="B1215" s="17">
        <v>45518.0</v>
      </c>
      <c r="C1215" s="16" t="s">
        <v>694</v>
      </c>
      <c r="E1215" s="17"/>
      <c r="G1215" s="17">
        <v>45536.0</v>
      </c>
      <c r="H1215" s="10" t="s">
        <v>31</v>
      </c>
      <c r="J1215" s="16" t="s">
        <v>97</v>
      </c>
      <c r="K1215" s="16" t="s">
        <v>33</v>
      </c>
      <c r="L1215" s="31" t="s">
        <v>56</v>
      </c>
      <c r="N1215" s="55" t="s">
        <v>1101</v>
      </c>
      <c r="O1215" s="16"/>
      <c r="P1215" s="16"/>
      <c r="Q1215" s="17">
        <f t="shared" si="107"/>
        <v>45518</v>
      </c>
      <c r="S1215" s="20"/>
      <c r="T1215" s="68" t="str">
        <f>VLOOKUP(A1215,'Calendar ID'!$A:$C,3,false)</f>
        <v>iimslmapro@outlook.fr</v>
      </c>
      <c r="U1215" s="71" t="b">
        <v>0</v>
      </c>
      <c r="V1215" s="68" t="str">
        <f>VLOOKUP($A1215,'Calendar ID'!$A:$C,2,false)</f>
        <v>c_a80d776e58d8881ef4e876da99555e813842eeed9733f23e6f4b85d237e1fdec@group.calendar.google.com</v>
      </c>
      <c r="W1215" s="69" t="b">
        <v>1</v>
      </c>
      <c r="X1215" s="70" t="s">
        <v>82</v>
      </c>
      <c r="Y1215" s="20"/>
      <c r="Z1215" s="20"/>
      <c r="AA1215" s="20"/>
      <c r="AB1215" s="20"/>
      <c r="AC1215" s="20"/>
    </row>
    <row r="1216" hidden="1">
      <c r="A1216" s="195" t="s">
        <v>215</v>
      </c>
      <c r="B1216" s="17">
        <v>45536.0</v>
      </c>
      <c r="C1216" s="16" t="s">
        <v>1102</v>
      </c>
      <c r="E1216" s="17"/>
      <c r="G1216" s="17">
        <v>45553.0</v>
      </c>
      <c r="H1216" s="10" t="s">
        <v>31</v>
      </c>
      <c r="I1216" s="16" t="s">
        <v>1103</v>
      </c>
      <c r="J1216" s="16" t="s">
        <v>1104</v>
      </c>
      <c r="K1216" s="23" t="s">
        <v>33</v>
      </c>
      <c r="L1216" s="31" t="s">
        <v>1104</v>
      </c>
      <c r="N1216" s="16"/>
      <c r="O1216" s="16"/>
      <c r="P1216" s="16"/>
      <c r="Q1216" s="17">
        <f t="shared" si="107"/>
        <v>45536</v>
      </c>
      <c r="S1216" s="20"/>
      <c r="T1216" s="20"/>
      <c r="U1216" s="20"/>
      <c r="V1216" s="20"/>
      <c r="W1216" s="20"/>
      <c r="X1216" s="20"/>
    </row>
    <row r="1217" hidden="1">
      <c r="A1217" s="153" t="s">
        <v>215</v>
      </c>
      <c r="B1217" s="17">
        <v>45703.0</v>
      </c>
      <c r="C1217" s="16" t="s">
        <v>245</v>
      </c>
      <c r="D1217" s="16" t="s">
        <v>1105</v>
      </c>
      <c r="E1217" s="17"/>
      <c r="G1217" s="125">
        <v>45743.0</v>
      </c>
      <c r="H1217" s="10" t="s">
        <v>31</v>
      </c>
      <c r="J1217" s="16" t="s">
        <v>43</v>
      </c>
      <c r="K1217" s="16" t="s">
        <v>33</v>
      </c>
      <c r="L1217" s="31">
        <v>300.0</v>
      </c>
      <c r="N1217" s="16"/>
      <c r="O1217" s="16"/>
      <c r="P1217" s="23" t="s">
        <v>34</v>
      </c>
      <c r="Q1217" s="17">
        <f t="shared" si="107"/>
        <v>45703</v>
      </c>
      <c r="R1217" s="18">
        <f>L1217*0.3</f>
        <v>90</v>
      </c>
      <c r="S1217" s="20"/>
      <c r="T1217" s="68" t="str">
        <f>VLOOKUP(A1217,'Calendar ID'!$A:$C,3,false)</f>
        <v>iimslmapro@outlook.fr</v>
      </c>
      <c r="U1217" s="71" t="b">
        <v>0</v>
      </c>
      <c r="V1217" s="68" t="str">
        <f>VLOOKUP($A1217,'Calendar ID'!$A:$C,2,false)</f>
        <v>c_a80d776e58d8881ef4e876da99555e813842eeed9733f23e6f4b85d237e1fdec@group.calendar.google.com</v>
      </c>
      <c r="W1217" s="69" t="b">
        <v>1</v>
      </c>
      <c r="X1217" s="70" t="s">
        <v>82</v>
      </c>
    </row>
    <row r="1218" hidden="1">
      <c r="A1218" s="195" t="s">
        <v>215</v>
      </c>
      <c r="B1218" s="17">
        <v>45530.0</v>
      </c>
      <c r="C1218" s="16" t="s">
        <v>819</v>
      </c>
      <c r="D1218" s="16" t="s">
        <v>641</v>
      </c>
      <c r="E1218" s="17"/>
      <c r="F1218" s="17">
        <v>45533.0</v>
      </c>
      <c r="G1218" s="17">
        <v>45554.0</v>
      </c>
      <c r="H1218" s="10" t="s">
        <v>31</v>
      </c>
      <c r="J1218" s="16" t="s">
        <v>43</v>
      </c>
      <c r="K1218" s="23" t="s">
        <v>33</v>
      </c>
      <c r="L1218" s="31" t="s">
        <v>56</v>
      </c>
      <c r="N1218" s="65" t="s">
        <v>1106</v>
      </c>
      <c r="O1218" s="16"/>
      <c r="P1218" s="16"/>
      <c r="Q1218" s="17">
        <f t="shared" si="107"/>
        <v>45530</v>
      </c>
      <c r="S1218" s="20"/>
      <c r="T1218" s="68" t="str">
        <f>VLOOKUP(A1218,'Calendar ID'!$A:$C,3,false)</f>
        <v>iimslmapro@outlook.fr</v>
      </c>
      <c r="U1218" s="78" t="b">
        <v>0</v>
      </c>
      <c r="V1218" s="68" t="str">
        <f>VLOOKUP($A1218,'Calendar ID'!$A:$C,2,false)</f>
        <v>c_a80d776e58d8881ef4e876da99555e813842eeed9733f23e6f4b85d237e1fdec@group.calendar.google.com</v>
      </c>
      <c r="W1218" s="69" t="b">
        <v>1</v>
      </c>
      <c r="X1218" s="70" t="s">
        <v>82</v>
      </c>
    </row>
    <row r="1219" hidden="1">
      <c r="A1219" s="153" t="s">
        <v>215</v>
      </c>
      <c r="B1219" s="17">
        <v>45497.0</v>
      </c>
      <c r="C1219" s="16" t="s">
        <v>678</v>
      </c>
      <c r="E1219" s="17"/>
      <c r="F1219" s="17">
        <v>45530.0</v>
      </c>
      <c r="G1219" s="17">
        <v>45555.0</v>
      </c>
      <c r="H1219" s="10" t="s">
        <v>31</v>
      </c>
      <c r="J1219" s="16" t="s">
        <v>43</v>
      </c>
      <c r="K1219" s="23" t="s">
        <v>33</v>
      </c>
      <c r="L1219" s="31" t="s">
        <v>56</v>
      </c>
      <c r="N1219" s="55" t="s">
        <v>1107</v>
      </c>
      <c r="O1219" s="16"/>
      <c r="P1219" s="16"/>
      <c r="Q1219" s="17">
        <f t="shared" si="107"/>
        <v>45497</v>
      </c>
      <c r="S1219" s="20"/>
      <c r="T1219" s="68" t="str">
        <f>VLOOKUP(A1219,'Calendar ID'!$A:$C,3,false)</f>
        <v>iimslmapro@outlook.fr</v>
      </c>
      <c r="U1219" s="71" t="b">
        <v>0</v>
      </c>
      <c r="V1219" s="68" t="str">
        <f>VLOOKUP($A1219,'Calendar ID'!$A:$C,2,false)</f>
        <v>c_a80d776e58d8881ef4e876da99555e813842eeed9733f23e6f4b85d237e1fdec@group.calendar.google.com</v>
      </c>
      <c r="W1219" s="69" t="b">
        <v>1</v>
      </c>
      <c r="X1219" s="70" t="s">
        <v>82</v>
      </c>
      <c r="Y1219" s="20"/>
      <c r="Z1219" s="20"/>
      <c r="AA1219" s="20"/>
      <c r="AB1219" s="20"/>
      <c r="AC1219" s="20"/>
    </row>
    <row r="1220" hidden="1">
      <c r="A1220" s="195" t="s">
        <v>215</v>
      </c>
      <c r="B1220" s="17">
        <v>45525.0</v>
      </c>
      <c r="C1220" s="16" t="s">
        <v>175</v>
      </c>
      <c r="E1220" s="17"/>
      <c r="F1220" s="17">
        <v>45537.0</v>
      </c>
      <c r="G1220" s="17">
        <v>45557.0</v>
      </c>
      <c r="H1220" s="10" t="s">
        <v>31</v>
      </c>
      <c r="J1220" s="16" t="s">
        <v>43</v>
      </c>
      <c r="K1220" s="23" t="s">
        <v>33</v>
      </c>
      <c r="L1220" s="31" t="s">
        <v>56</v>
      </c>
      <c r="N1220" s="16"/>
      <c r="O1220" s="16"/>
      <c r="P1220" s="16"/>
      <c r="Q1220" s="17">
        <f t="shared" si="107"/>
        <v>45525</v>
      </c>
      <c r="S1220" s="20"/>
      <c r="T1220" s="68" t="str">
        <f>VLOOKUP(A1220,'Calendar ID'!$A:$C,3,false)</f>
        <v>iimslmapro@outlook.fr</v>
      </c>
      <c r="U1220" s="78" t="b">
        <v>0</v>
      </c>
      <c r="V1220" s="68" t="str">
        <f>VLOOKUP($A1220,'Calendar ID'!$A:$C,2,false)</f>
        <v>c_a80d776e58d8881ef4e876da99555e813842eeed9733f23e6f4b85d237e1fdec@group.calendar.google.com</v>
      </c>
      <c r="W1220" s="69" t="b">
        <v>1</v>
      </c>
      <c r="X1220" s="70" t="s">
        <v>82</v>
      </c>
      <c r="AA1220" s="16"/>
    </row>
    <row r="1221" hidden="1">
      <c r="A1221" s="153" t="s">
        <v>215</v>
      </c>
      <c r="B1221" s="17">
        <v>45551.0</v>
      </c>
      <c r="C1221" s="16" t="s">
        <v>694</v>
      </c>
      <c r="E1221" s="17"/>
      <c r="F1221" s="17">
        <v>45547.0</v>
      </c>
      <c r="G1221" s="17">
        <f>F1221+15</f>
        <v>45562</v>
      </c>
      <c r="H1221" s="10" t="s">
        <v>31</v>
      </c>
      <c r="J1221" s="16" t="s">
        <v>97</v>
      </c>
      <c r="K1221" s="16" t="s">
        <v>33</v>
      </c>
      <c r="L1221" s="31" t="s">
        <v>56</v>
      </c>
      <c r="N1221" s="65" t="s">
        <v>1108</v>
      </c>
      <c r="O1221" s="16"/>
      <c r="P1221" s="16"/>
      <c r="Q1221" s="17">
        <f t="shared" si="107"/>
        <v>45551</v>
      </c>
      <c r="S1221" s="20"/>
      <c r="T1221" s="68" t="str">
        <f>VLOOKUP(A1221,'Calendar ID'!$A:$C,3,false)</f>
        <v>iimslmapro@outlook.fr</v>
      </c>
      <c r="U1221" s="71" t="b">
        <v>0</v>
      </c>
      <c r="V1221" s="68" t="str">
        <f>VLOOKUP($A1221,'Calendar ID'!$A:$C,2,false)</f>
        <v>c_a80d776e58d8881ef4e876da99555e813842eeed9733f23e6f4b85d237e1fdec@group.calendar.google.com</v>
      </c>
      <c r="W1221" s="69" t="b">
        <v>0</v>
      </c>
      <c r="X1221" s="68" t="str">
        <f>VLOOKUP($A1221,'Calendar ID'!$A:$C,2,false)</f>
        <v>c_a80d776e58d8881ef4e876da99555e813842eeed9733f23e6f4b85d237e1fdec@group.calendar.google.com</v>
      </c>
    </row>
    <row r="1222" hidden="1">
      <c r="A1222" s="16" t="s">
        <v>215</v>
      </c>
      <c r="B1222" s="82">
        <v>45579.0</v>
      </c>
      <c r="C1222" s="16" t="s">
        <v>630</v>
      </c>
      <c r="D1222" s="16" t="s">
        <v>631</v>
      </c>
      <c r="E1222" s="17"/>
      <c r="F1222" s="82">
        <v>45581.0</v>
      </c>
      <c r="G1222" s="82">
        <v>45595.0</v>
      </c>
      <c r="H1222" s="10" t="s">
        <v>31</v>
      </c>
      <c r="J1222" s="16" t="s">
        <v>43</v>
      </c>
      <c r="K1222" s="23" t="s">
        <v>33</v>
      </c>
      <c r="L1222" s="31" t="s">
        <v>56</v>
      </c>
      <c r="N1222" s="55" t="s">
        <v>1109</v>
      </c>
      <c r="O1222" s="16"/>
      <c r="P1222" s="16"/>
      <c r="Q1222" s="17">
        <f t="shared" si="107"/>
        <v>45579</v>
      </c>
      <c r="S1222" s="20"/>
      <c r="T1222" s="68" t="str">
        <f>VLOOKUP(A1222,'Calendar ID'!$A:$C,3,false)</f>
        <v>iimslmapro@outlook.fr</v>
      </c>
      <c r="U1222" s="78" t="b">
        <v>0</v>
      </c>
      <c r="V1222" s="68" t="str">
        <f>VLOOKUP($A1222,'Calendar ID'!$A:$C,2,false)</f>
        <v>c_a80d776e58d8881ef4e876da99555e813842eeed9733f23e6f4b85d237e1fdec@group.calendar.google.com</v>
      </c>
      <c r="W1222" s="69" t="b">
        <v>1</v>
      </c>
      <c r="X1222" s="70" t="s">
        <v>82</v>
      </c>
    </row>
    <row r="1223" hidden="1">
      <c r="A1223" s="16" t="s">
        <v>215</v>
      </c>
      <c r="B1223" s="17">
        <v>45587.0</v>
      </c>
      <c r="C1223" s="16" t="s">
        <v>757</v>
      </c>
      <c r="E1223" s="17"/>
      <c r="F1223" s="82" t="s">
        <v>1055</v>
      </c>
      <c r="G1223" s="17">
        <v>45611.0</v>
      </c>
      <c r="H1223" s="10" t="s">
        <v>31</v>
      </c>
      <c r="J1223" s="16" t="s">
        <v>43</v>
      </c>
      <c r="K1223" s="23" t="s">
        <v>33</v>
      </c>
      <c r="L1223" s="14" t="s">
        <v>56</v>
      </c>
      <c r="N1223" s="16"/>
      <c r="O1223" s="16"/>
      <c r="Q1223" s="17">
        <f t="shared" si="107"/>
        <v>45587</v>
      </c>
      <c r="S1223" s="20"/>
      <c r="T1223" s="68" t="str">
        <f>VLOOKUP(A1223,'Calendar ID'!$A:$C,3,false)</f>
        <v>iimslmapro@outlook.fr</v>
      </c>
      <c r="U1223" s="78" t="b">
        <v>0</v>
      </c>
      <c r="V1223" s="68" t="str">
        <f>VLOOKUP($A1223,'Calendar ID'!$A:$C,2,false)</f>
        <v>c_a80d776e58d8881ef4e876da99555e813842eeed9733f23e6f4b85d237e1fdec@group.calendar.google.com</v>
      </c>
      <c r="W1223" s="69" t="b">
        <v>1</v>
      </c>
      <c r="X1223" s="70" t="s">
        <v>82</v>
      </c>
    </row>
    <row r="1224" hidden="1">
      <c r="A1224" s="16" t="s">
        <v>215</v>
      </c>
      <c r="B1224" s="17">
        <v>45571.0</v>
      </c>
      <c r="C1224" s="16" t="s">
        <v>1110</v>
      </c>
      <c r="E1224" s="17"/>
      <c r="F1224" s="17">
        <v>45604.0</v>
      </c>
      <c r="G1224" s="17">
        <v>45623.0</v>
      </c>
      <c r="H1224" s="10" t="s">
        <v>31</v>
      </c>
      <c r="J1224" s="16" t="s">
        <v>593</v>
      </c>
      <c r="K1224" s="23" t="s">
        <v>33</v>
      </c>
      <c r="L1224" s="31" t="s">
        <v>56</v>
      </c>
      <c r="N1224" s="65" t="s">
        <v>1111</v>
      </c>
      <c r="O1224" s="16"/>
      <c r="P1224" s="16"/>
      <c r="Q1224" s="17">
        <f t="shared" si="107"/>
        <v>45571</v>
      </c>
      <c r="S1224" s="20"/>
      <c r="T1224" s="68" t="str">
        <f>VLOOKUP(A1224,'Calendar ID'!$A:$C,3,false)</f>
        <v>iimslmapro@outlook.fr</v>
      </c>
      <c r="U1224" s="77" t="b">
        <v>0</v>
      </c>
      <c r="V1224" s="68" t="str">
        <f>VLOOKUP($A1224,'Calendar ID'!$A:$C,2,false)</f>
        <v>c_a80d776e58d8881ef4e876da99555e813842eeed9733f23e6f4b85d237e1fdec@group.calendar.google.com</v>
      </c>
      <c r="W1224" s="77" t="b">
        <v>1</v>
      </c>
      <c r="X1224" s="70" t="s">
        <v>82</v>
      </c>
    </row>
    <row r="1225" hidden="1">
      <c r="A1225" s="16" t="s">
        <v>215</v>
      </c>
      <c r="B1225" s="17">
        <v>45611.0</v>
      </c>
      <c r="C1225" s="16" t="s">
        <v>650</v>
      </c>
      <c r="E1225" s="17"/>
      <c r="F1225" s="17">
        <v>45614.0</v>
      </c>
      <c r="G1225" s="17">
        <v>45635.0</v>
      </c>
      <c r="H1225" s="10" t="s">
        <v>31</v>
      </c>
      <c r="J1225" s="16" t="s">
        <v>593</v>
      </c>
      <c r="K1225" s="23" t="s">
        <v>33</v>
      </c>
      <c r="L1225" s="31" t="s">
        <v>56</v>
      </c>
      <c r="N1225" s="16"/>
      <c r="O1225" s="16"/>
      <c r="P1225" s="16"/>
      <c r="Q1225" s="17">
        <f t="shared" si="107"/>
        <v>45611</v>
      </c>
      <c r="S1225" s="20"/>
      <c r="T1225" s="68" t="str">
        <f>VLOOKUP(A1225,'Calendar ID'!$A:$C,3,false)</f>
        <v>iimslmapro@outlook.fr</v>
      </c>
      <c r="U1225" s="77" t="b">
        <v>0</v>
      </c>
      <c r="V1225" s="68" t="str">
        <f>VLOOKUP($A1225,'Calendar ID'!$A:$C,2,false)</f>
        <v>c_a80d776e58d8881ef4e876da99555e813842eeed9733f23e6f4b85d237e1fdec@group.calendar.google.com</v>
      </c>
      <c r="W1225" s="77" t="b">
        <v>1</v>
      </c>
      <c r="X1225" s="70" t="s">
        <v>82</v>
      </c>
    </row>
    <row r="1226" hidden="1">
      <c r="A1226" s="16" t="s">
        <v>215</v>
      </c>
      <c r="B1226" s="17">
        <v>45636.0</v>
      </c>
      <c r="C1226" s="16" t="s">
        <v>927</v>
      </c>
      <c r="E1226" s="17"/>
      <c r="F1226" s="95">
        <v>45297.0</v>
      </c>
      <c r="G1226" s="96">
        <v>45663.0</v>
      </c>
      <c r="H1226" s="10" t="s">
        <v>31</v>
      </c>
      <c r="J1226" s="16" t="s">
        <v>43</v>
      </c>
      <c r="K1226" s="23" t="s">
        <v>33</v>
      </c>
      <c r="L1226" s="31" t="s">
        <v>56</v>
      </c>
      <c r="N1226" s="16"/>
      <c r="O1226" s="16"/>
      <c r="P1226" s="16"/>
      <c r="Q1226" s="17">
        <f t="shared" si="107"/>
        <v>45636</v>
      </c>
      <c r="S1226" s="20"/>
      <c r="T1226" s="68" t="str">
        <f>VLOOKUP(A1226,'Calendar ID'!$A:$C,3,false)</f>
        <v>iimslmapro@outlook.fr</v>
      </c>
      <c r="U1226" s="77" t="b">
        <v>0</v>
      </c>
      <c r="V1226" s="68" t="str">
        <f>VLOOKUP($A1226,'Calendar ID'!$A:$C,2,false)</f>
        <v>c_a80d776e58d8881ef4e876da99555e813842eeed9733f23e6f4b85d237e1fdec@group.calendar.google.com</v>
      </c>
      <c r="W1226" s="77" t="b">
        <v>1</v>
      </c>
      <c r="X1226" s="70" t="s">
        <v>82</v>
      </c>
    </row>
    <row r="1227" hidden="1">
      <c r="A1227" s="16" t="s">
        <v>215</v>
      </c>
      <c r="B1227" s="17">
        <v>45664.0</v>
      </c>
      <c r="C1227" s="16" t="s">
        <v>651</v>
      </c>
      <c r="E1227" s="162"/>
      <c r="F1227" s="96">
        <v>45666.0</v>
      </c>
      <c r="G1227" s="106">
        <v>45695.0</v>
      </c>
      <c r="H1227" s="10" t="s">
        <v>31</v>
      </c>
      <c r="J1227" s="16" t="s">
        <v>593</v>
      </c>
      <c r="K1227" s="23" t="s">
        <v>33</v>
      </c>
      <c r="L1227" s="31" t="s">
        <v>56</v>
      </c>
      <c r="N1227" s="65" t="s">
        <v>1112</v>
      </c>
      <c r="O1227" s="16"/>
      <c r="P1227" s="16"/>
      <c r="Q1227" s="17">
        <f t="shared" si="107"/>
        <v>45664</v>
      </c>
      <c r="S1227" s="20"/>
      <c r="T1227" s="68" t="str">
        <f>VLOOKUP(A1227,'Calendar ID'!$A:$C,3,false)</f>
        <v>iimslmapro@outlook.fr</v>
      </c>
      <c r="U1227" s="69" t="b">
        <v>0</v>
      </c>
      <c r="V1227" s="68" t="str">
        <f>VLOOKUP($A1227,'Calendar ID'!$A:$C,2,false)</f>
        <v>c_a80d776e58d8881ef4e876da99555e813842eeed9733f23e6f4b85d237e1fdec@group.calendar.google.com</v>
      </c>
      <c r="W1227" s="69" t="b">
        <v>1</v>
      </c>
      <c r="X1227" s="70" t="s">
        <v>82</v>
      </c>
    </row>
    <row r="1228" hidden="1">
      <c r="A1228" s="23" t="s">
        <v>215</v>
      </c>
      <c r="B1228" s="17">
        <v>45680.0</v>
      </c>
      <c r="C1228" s="16" t="s">
        <v>645</v>
      </c>
      <c r="E1228" s="17"/>
      <c r="F1228" s="105">
        <v>45684.0</v>
      </c>
      <c r="G1228" s="86">
        <v>45698.0</v>
      </c>
      <c r="H1228" s="10" t="s">
        <v>31</v>
      </c>
      <c r="J1228" s="16" t="s">
        <v>641</v>
      </c>
      <c r="K1228" s="23" t="s">
        <v>33</v>
      </c>
      <c r="L1228" s="31" t="s">
        <v>56</v>
      </c>
      <c r="N1228" s="55" t="s">
        <v>1113</v>
      </c>
      <c r="O1228" s="16"/>
      <c r="P1228" s="16"/>
      <c r="Q1228" s="17">
        <f t="shared" si="107"/>
        <v>45680</v>
      </c>
      <c r="S1228" s="20"/>
      <c r="T1228" s="68" t="str">
        <f>VLOOKUP(A1228,'Calendar ID'!$A:$C,3,false)</f>
        <v>iimslmapro@outlook.fr</v>
      </c>
      <c r="U1228" s="71" t="b">
        <v>0</v>
      </c>
      <c r="V1228" s="68" t="str">
        <f>VLOOKUP($A1228,'Calendar ID'!$A:$C,2,false)</f>
        <v>c_a80d776e58d8881ef4e876da99555e813842eeed9733f23e6f4b85d237e1fdec@group.calendar.google.com</v>
      </c>
      <c r="W1228" s="69" t="b">
        <v>1</v>
      </c>
      <c r="X1228" s="70" t="s">
        <v>82</v>
      </c>
    </row>
    <row r="1229" hidden="1">
      <c r="A1229" s="16" t="s">
        <v>215</v>
      </c>
      <c r="B1229" s="17">
        <v>45660.0</v>
      </c>
      <c r="C1229" s="16" t="s">
        <v>220</v>
      </c>
      <c r="D1229" s="16" t="s">
        <v>1114</v>
      </c>
      <c r="E1229" s="17"/>
      <c r="F1229" s="106">
        <v>45691.0</v>
      </c>
      <c r="G1229" s="107">
        <v>45709.0</v>
      </c>
      <c r="H1229" s="10" t="s">
        <v>31</v>
      </c>
      <c r="K1229" s="16"/>
      <c r="L1229" s="31"/>
      <c r="N1229" s="65" t="s">
        <v>1115</v>
      </c>
      <c r="O1229" s="16"/>
      <c r="P1229" s="16"/>
      <c r="Q1229" s="17">
        <f t="shared" si="107"/>
        <v>45660</v>
      </c>
      <c r="S1229" s="20"/>
      <c r="T1229" s="20"/>
      <c r="U1229" s="20"/>
      <c r="V1229" s="20"/>
      <c r="W1229" s="20"/>
      <c r="X1229" s="20"/>
    </row>
    <row r="1230" hidden="1">
      <c r="A1230" s="16" t="s">
        <v>215</v>
      </c>
      <c r="B1230" s="17">
        <v>45674.0</v>
      </c>
      <c r="C1230" s="16" t="s">
        <v>630</v>
      </c>
      <c r="E1230" s="17"/>
      <c r="F1230" s="97">
        <v>45677.0</v>
      </c>
      <c r="G1230" s="107">
        <v>45711.0</v>
      </c>
      <c r="H1230" s="10" t="s">
        <v>31</v>
      </c>
      <c r="J1230" s="16" t="s">
        <v>43</v>
      </c>
      <c r="K1230" s="23" t="s">
        <v>33</v>
      </c>
      <c r="L1230" s="31" t="s">
        <v>56</v>
      </c>
      <c r="N1230" s="65" t="s">
        <v>1116</v>
      </c>
      <c r="Q1230" s="17">
        <f t="shared" si="107"/>
        <v>45674</v>
      </c>
      <c r="S1230" s="20"/>
      <c r="T1230" s="68" t="str">
        <f>VLOOKUP(A1230,'Calendar ID'!$A:$C,3,false)</f>
        <v>iimslmapro@outlook.fr</v>
      </c>
      <c r="U1230" s="77" t="b">
        <v>0</v>
      </c>
      <c r="V1230" s="68" t="str">
        <f>VLOOKUP($A1230,'Calendar ID'!$A:$C,2,false)</f>
        <v>c_a80d776e58d8881ef4e876da99555e813842eeed9733f23e6f4b85d237e1fdec@group.calendar.google.com</v>
      </c>
      <c r="W1230" s="77" t="b">
        <v>1</v>
      </c>
      <c r="X1230" s="70" t="s">
        <v>82</v>
      </c>
    </row>
    <row r="1231" hidden="1">
      <c r="A1231" s="160" t="s">
        <v>215</v>
      </c>
      <c r="B1231" s="17">
        <v>45711.0</v>
      </c>
      <c r="C1231" s="16" t="s">
        <v>640</v>
      </c>
      <c r="E1231" s="17"/>
      <c r="F1231" s="107">
        <v>45715.0</v>
      </c>
      <c r="G1231" s="122">
        <v>45736.0</v>
      </c>
      <c r="H1231" s="10" t="s">
        <v>31</v>
      </c>
      <c r="J1231" s="16" t="s">
        <v>641</v>
      </c>
      <c r="K1231" s="16" t="s">
        <v>33</v>
      </c>
      <c r="L1231" s="31" t="s">
        <v>56</v>
      </c>
      <c r="N1231" s="65" t="s">
        <v>1117</v>
      </c>
      <c r="O1231" s="16"/>
      <c r="P1231" s="16"/>
      <c r="Q1231" s="17">
        <f t="shared" si="107"/>
        <v>45711</v>
      </c>
      <c r="S1231" s="20"/>
      <c r="T1231" s="68" t="str">
        <f>VLOOKUP(A1231,'Calendar ID'!$A:$C,3,false)</f>
        <v>iimslmapro@outlook.fr</v>
      </c>
      <c r="U1231" s="71" t="b">
        <v>0</v>
      </c>
      <c r="V1231" s="68" t="str">
        <f>VLOOKUP($A1231,'Calendar ID'!$A:$C,2,false)</f>
        <v>c_a80d776e58d8881ef4e876da99555e813842eeed9733f23e6f4b85d237e1fdec@group.calendar.google.com</v>
      </c>
      <c r="W1231" s="69" t="b">
        <v>1</v>
      </c>
      <c r="X1231" s="70" t="s">
        <v>82</v>
      </c>
    </row>
    <row r="1232" hidden="1">
      <c r="A1232" s="16" t="s">
        <v>215</v>
      </c>
      <c r="B1232" s="17">
        <v>45695.0</v>
      </c>
      <c r="C1232" s="16" t="s">
        <v>652</v>
      </c>
      <c r="E1232" s="163"/>
      <c r="F1232" s="94">
        <v>45722.0</v>
      </c>
      <c r="G1232" s="122">
        <v>45737.0</v>
      </c>
      <c r="H1232" s="10" t="s">
        <v>31</v>
      </c>
      <c r="I1232" s="89" t="s">
        <v>653</v>
      </c>
      <c r="J1232" s="16" t="s">
        <v>43</v>
      </c>
      <c r="K1232" s="16" t="s">
        <v>33</v>
      </c>
      <c r="L1232" s="31" t="s">
        <v>56</v>
      </c>
      <c r="N1232" s="16"/>
      <c r="O1232" s="16"/>
      <c r="P1232" s="16"/>
      <c r="Q1232" s="17">
        <f t="shared" si="107"/>
        <v>45695</v>
      </c>
      <c r="S1232" s="20"/>
      <c r="T1232" s="68" t="str">
        <f>VLOOKUP(A1232,'Calendar ID'!$A:$C,3,false)</f>
        <v>iimslmapro@outlook.fr</v>
      </c>
      <c r="U1232" s="69" t="b">
        <v>0</v>
      </c>
      <c r="V1232" s="68" t="str">
        <f>VLOOKUP($A1232,'Calendar ID'!$A:$C,2,false)</f>
        <v>c_a80d776e58d8881ef4e876da99555e813842eeed9733f23e6f4b85d237e1fdec@group.calendar.google.com</v>
      </c>
      <c r="W1232" s="69" t="b">
        <v>1</v>
      </c>
      <c r="X1232" s="70" t="s">
        <v>82</v>
      </c>
    </row>
    <row r="1233" hidden="1">
      <c r="A1233" s="16" t="s">
        <v>215</v>
      </c>
      <c r="B1233" s="17">
        <v>45734.0</v>
      </c>
      <c r="C1233" s="16" t="s">
        <v>630</v>
      </c>
      <c r="D1233" s="16" t="s">
        <v>878</v>
      </c>
      <c r="E1233" s="17"/>
      <c r="F1233" s="94">
        <v>45741.0</v>
      </c>
      <c r="G1233" s="28">
        <v>45753.0</v>
      </c>
      <c r="H1233" s="10" t="s">
        <v>31</v>
      </c>
      <c r="J1233" s="16" t="s">
        <v>43</v>
      </c>
      <c r="K1233" s="16" t="s">
        <v>33</v>
      </c>
      <c r="L1233" s="31" t="s">
        <v>56</v>
      </c>
      <c r="N1233" s="16"/>
      <c r="O1233" s="16"/>
      <c r="P1233" s="23"/>
      <c r="Q1233" s="17">
        <f t="shared" si="107"/>
        <v>45734</v>
      </c>
      <c r="R1233" s="15"/>
      <c r="S1233" s="20"/>
      <c r="T1233" s="68" t="str">
        <f>VLOOKUP(A1233,'Calendar ID'!$A:$C,3,false)</f>
        <v>iimslmapro@outlook.fr</v>
      </c>
      <c r="U1233" s="71" t="b">
        <v>0</v>
      </c>
      <c r="V1233" s="68" t="str">
        <f>VLOOKUP($A1233,'Calendar ID'!$A:$C,2,false)</f>
        <v>c_a80d776e58d8881ef4e876da99555e813842eeed9733f23e6f4b85d237e1fdec@group.calendar.google.com</v>
      </c>
      <c r="W1233" s="69" t="b">
        <v>1</v>
      </c>
      <c r="X1233" s="70" t="s">
        <v>82</v>
      </c>
    </row>
    <row r="1234" hidden="1">
      <c r="A1234" s="16" t="s">
        <v>215</v>
      </c>
      <c r="B1234" s="17">
        <v>45491.0</v>
      </c>
      <c r="C1234" s="16" t="s">
        <v>901</v>
      </c>
      <c r="E1234" s="17"/>
      <c r="G1234" s="17"/>
      <c r="H1234" s="10" t="s">
        <v>31</v>
      </c>
      <c r="J1234" s="16" t="s">
        <v>97</v>
      </c>
      <c r="K1234" s="23" t="s">
        <v>33</v>
      </c>
      <c r="L1234" s="31" t="s">
        <v>56</v>
      </c>
      <c r="N1234" s="16"/>
      <c r="O1234" s="16"/>
      <c r="P1234" s="16"/>
      <c r="Q1234" s="17">
        <f t="shared" si="107"/>
        <v>45491</v>
      </c>
      <c r="S1234" s="20"/>
      <c r="T1234" s="68" t="str">
        <f>VLOOKUP(A1234,'Calendar ID'!$A:$C,3,false)</f>
        <v>iimslmapro@outlook.fr</v>
      </c>
      <c r="U1234" s="71" t="b">
        <v>0</v>
      </c>
      <c r="V1234" s="68" t="str">
        <f>VLOOKUP($A1234,'Calendar ID'!$A:$C,2,false)</f>
        <v>c_a80d776e58d8881ef4e876da99555e813842eeed9733f23e6f4b85d237e1fdec@group.calendar.google.com</v>
      </c>
      <c r="W1234" s="71" t="b">
        <v>0</v>
      </c>
      <c r="X1234" s="68" t="str">
        <f>VLOOKUP($A1234,'Calendar ID'!$A:$C,2,false)</f>
        <v>c_a80d776e58d8881ef4e876da99555e813842eeed9733f23e6f4b85d237e1fdec@group.calendar.google.com</v>
      </c>
      <c r="Y1234" s="20"/>
      <c r="Z1234" s="20"/>
      <c r="AA1234" s="20"/>
      <c r="AB1234" s="20"/>
      <c r="AC1234" s="20"/>
    </row>
    <row r="1235" hidden="1">
      <c r="A1235" s="16" t="s">
        <v>215</v>
      </c>
      <c r="B1235" s="11">
        <v>45511.0</v>
      </c>
      <c r="C1235" s="16" t="s">
        <v>724</v>
      </c>
      <c r="E1235" s="17"/>
      <c r="G1235" s="17"/>
      <c r="H1235" s="10" t="s">
        <v>31</v>
      </c>
      <c r="J1235" s="16" t="s">
        <v>97</v>
      </c>
      <c r="K1235" s="23" t="s">
        <v>33</v>
      </c>
      <c r="L1235" s="31" t="s">
        <v>56</v>
      </c>
      <c r="N1235" s="16"/>
      <c r="O1235" s="16"/>
      <c r="P1235" s="16"/>
      <c r="Q1235" s="17">
        <f t="shared" si="107"/>
        <v>45511</v>
      </c>
      <c r="S1235" s="20"/>
      <c r="T1235" s="68" t="str">
        <f>VLOOKUP(A1235,'Calendar ID'!$A:$C,3,false)</f>
        <v>iimslmapro@outlook.fr</v>
      </c>
      <c r="U1235" s="78" t="b">
        <v>0</v>
      </c>
      <c r="V1235" s="68" t="str">
        <f>VLOOKUP($A1235,'Calendar ID'!$A:$C,2,false)</f>
        <v>c_a80d776e58d8881ef4e876da99555e813842eeed9733f23e6f4b85d237e1fdec@group.calendar.google.com</v>
      </c>
      <c r="W1235" s="71" t="b">
        <v>0</v>
      </c>
      <c r="X1235" s="68" t="str">
        <f>VLOOKUP($A1235,'Calendar ID'!$A:$C,2,false)</f>
        <v>c_a80d776e58d8881ef4e876da99555e813842eeed9733f23e6f4b85d237e1fdec@group.calendar.google.com</v>
      </c>
      <c r="AA1235" s="16" t="s">
        <v>807</v>
      </c>
    </row>
    <row r="1236">
      <c r="A1236" s="16" t="s">
        <v>436</v>
      </c>
      <c r="B1236" s="17">
        <v>45830.0</v>
      </c>
      <c r="C1236" s="16" t="s">
        <v>553</v>
      </c>
      <c r="E1236" s="72">
        <v>45867.0</v>
      </c>
      <c r="F1236" s="17"/>
      <c r="G1236" s="17"/>
      <c r="H1236" s="10" t="s">
        <v>567</v>
      </c>
      <c r="I1236" s="16" t="s">
        <v>1118</v>
      </c>
      <c r="J1236" s="16" t="s">
        <v>43</v>
      </c>
      <c r="K1236" s="23" t="s">
        <v>33</v>
      </c>
      <c r="L1236" s="31">
        <v>300.0</v>
      </c>
      <c r="N1236" s="16"/>
      <c r="O1236" s="16"/>
      <c r="P1236" s="16" t="s">
        <v>34</v>
      </c>
      <c r="Q1236" s="17">
        <f t="shared" si="107"/>
        <v>45830</v>
      </c>
      <c r="R1236" s="18">
        <f t="shared" ref="R1236:R1241" si="116">L1236*0.3</f>
        <v>90</v>
      </c>
      <c r="S1236" s="20"/>
      <c r="T1236" s="68"/>
      <c r="U1236" s="77"/>
      <c r="V1236" s="68"/>
      <c r="W1236" s="71"/>
      <c r="X1236" s="20"/>
    </row>
    <row r="1237">
      <c r="A1237" s="16" t="s">
        <v>213</v>
      </c>
      <c r="B1237" s="17">
        <v>45826.0</v>
      </c>
      <c r="C1237" s="16" t="s">
        <v>79</v>
      </c>
      <c r="D1237" s="16" t="s">
        <v>1119</v>
      </c>
      <c r="E1237" s="72">
        <v>45867.0</v>
      </c>
      <c r="F1237" s="17"/>
      <c r="G1237" s="17"/>
      <c r="H1237" s="10"/>
      <c r="I1237" s="16" t="s">
        <v>1120</v>
      </c>
      <c r="J1237" s="16" t="s">
        <v>43</v>
      </c>
      <c r="K1237" s="23" t="s">
        <v>33</v>
      </c>
      <c r="L1237" s="31">
        <f t="shared" ref="L1237:L1238" si="117">3000/5</f>
        <v>600</v>
      </c>
      <c r="N1237" s="16"/>
      <c r="O1237" s="16"/>
      <c r="P1237" s="16" t="s">
        <v>34</v>
      </c>
      <c r="Q1237" s="17">
        <f t="shared" si="107"/>
        <v>45826</v>
      </c>
      <c r="R1237" s="18">
        <f t="shared" si="116"/>
        <v>180</v>
      </c>
      <c r="S1237" s="20"/>
      <c r="T1237" s="68"/>
      <c r="U1237" s="77"/>
      <c r="V1237" s="68"/>
      <c r="W1237" s="71"/>
      <c r="X1237" s="20"/>
    </row>
    <row r="1238">
      <c r="A1238" s="16" t="s">
        <v>213</v>
      </c>
      <c r="B1238" s="17">
        <v>45826.0</v>
      </c>
      <c r="C1238" s="16" t="s">
        <v>79</v>
      </c>
      <c r="D1238" s="16" t="s">
        <v>1121</v>
      </c>
      <c r="E1238" s="72">
        <v>45867.0</v>
      </c>
      <c r="F1238" s="17"/>
      <c r="G1238" s="17"/>
      <c r="H1238" s="10"/>
      <c r="I1238" s="16" t="s">
        <v>1120</v>
      </c>
      <c r="J1238" s="16" t="s">
        <v>43</v>
      </c>
      <c r="K1238" s="23" t="s">
        <v>33</v>
      </c>
      <c r="L1238" s="31">
        <f t="shared" si="117"/>
        <v>600</v>
      </c>
      <c r="N1238" s="16"/>
      <c r="O1238" s="16"/>
      <c r="P1238" s="16" t="s">
        <v>34</v>
      </c>
      <c r="Q1238" s="17">
        <f t="shared" si="107"/>
        <v>45826</v>
      </c>
      <c r="R1238" s="18">
        <f t="shared" si="116"/>
        <v>180</v>
      </c>
      <c r="S1238" s="20"/>
      <c r="T1238" s="68"/>
      <c r="U1238" s="77"/>
      <c r="V1238" s="68"/>
      <c r="W1238" s="71"/>
      <c r="X1238" s="20"/>
    </row>
    <row r="1239">
      <c r="A1239" s="16" t="s">
        <v>436</v>
      </c>
      <c r="B1239" s="17">
        <v>45827.0</v>
      </c>
      <c r="C1239" s="16" t="s">
        <v>304</v>
      </c>
      <c r="E1239" s="72">
        <v>45867.0</v>
      </c>
      <c r="F1239" s="17"/>
      <c r="G1239" s="17"/>
      <c r="H1239" s="10" t="s">
        <v>566</v>
      </c>
      <c r="J1239" s="16" t="s">
        <v>43</v>
      </c>
      <c r="K1239" s="23" t="s">
        <v>33</v>
      </c>
      <c r="L1239" s="31">
        <f t="shared" ref="L1239:L1241" si="118">2800/3</f>
        <v>933.3333333</v>
      </c>
      <c r="N1239" s="16"/>
      <c r="O1239" s="16"/>
      <c r="P1239" s="16" t="s">
        <v>34</v>
      </c>
      <c r="Q1239" s="17">
        <f t="shared" si="107"/>
        <v>45827</v>
      </c>
      <c r="R1239" s="18">
        <f t="shared" si="116"/>
        <v>280</v>
      </c>
      <c r="S1239" s="20"/>
      <c r="T1239" s="68"/>
      <c r="U1239" s="77"/>
      <c r="V1239" s="68"/>
      <c r="W1239" s="71"/>
      <c r="X1239" s="20"/>
    </row>
    <row r="1240">
      <c r="A1240" s="16" t="s">
        <v>436</v>
      </c>
      <c r="B1240" s="17">
        <v>45827.0</v>
      </c>
      <c r="C1240" s="16" t="s">
        <v>304</v>
      </c>
      <c r="E1240" s="72">
        <v>45867.0</v>
      </c>
      <c r="F1240" s="17"/>
      <c r="G1240" s="17"/>
      <c r="H1240" s="10" t="s">
        <v>567</v>
      </c>
      <c r="J1240" s="16" t="s">
        <v>43</v>
      </c>
      <c r="K1240" s="23" t="s">
        <v>33</v>
      </c>
      <c r="L1240" s="31">
        <f t="shared" si="118"/>
        <v>933.3333333</v>
      </c>
      <c r="N1240" s="16"/>
      <c r="O1240" s="16"/>
      <c r="P1240" s="16" t="s">
        <v>34</v>
      </c>
      <c r="Q1240" s="17">
        <f t="shared" si="107"/>
        <v>45827</v>
      </c>
      <c r="R1240" s="18">
        <f t="shared" si="116"/>
        <v>280</v>
      </c>
      <c r="S1240" s="20"/>
      <c r="T1240" s="68"/>
      <c r="U1240" s="77"/>
      <c r="V1240" s="68"/>
      <c r="W1240" s="71"/>
      <c r="X1240" s="20"/>
    </row>
    <row r="1241">
      <c r="A1241" s="16" t="s">
        <v>436</v>
      </c>
      <c r="B1241" s="17">
        <v>45827.0</v>
      </c>
      <c r="C1241" s="16" t="s">
        <v>304</v>
      </c>
      <c r="E1241" s="72">
        <v>45867.0</v>
      </c>
      <c r="F1241" s="17"/>
      <c r="G1241" s="17"/>
      <c r="H1241" s="10" t="s">
        <v>567</v>
      </c>
      <c r="J1241" s="16" t="s">
        <v>43</v>
      </c>
      <c r="K1241" s="23" t="s">
        <v>33</v>
      </c>
      <c r="L1241" s="31">
        <f t="shared" si="118"/>
        <v>933.3333333</v>
      </c>
      <c r="N1241" s="16"/>
      <c r="O1241" s="16"/>
      <c r="P1241" s="16" t="s">
        <v>34</v>
      </c>
      <c r="Q1241" s="17">
        <f t="shared" si="107"/>
        <v>45827</v>
      </c>
      <c r="R1241" s="18">
        <f t="shared" si="116"/>
        <v>280</v>
      </c>
      <c r="S1241" s="20"/>
      <c r="T1241" s="68"/>
      <c r="U1241" s="77"/>
      <c r="V1241" s="68"/>
      <c r="W1241" s="71"/>
      <c r="X1241" s="20"/>
    </row>
    <row r="1242" hidden="1">
      <c r="A1242" s="23" t="s">
        <v>215</v>
      </c>
      <c r="B1242" s="11">
        <v>45511.0</v>
      </c>
      <c r="C1242" s="16" t="s">
        <v>140</v>
      </c>
      <c r="E1242" s="17"/>
      <c r="G1242" s="17"/>
      <c r="H1242" s="10" t="s">
        <v>31</v>
      </c>
      <c r="I1242" s="16" t="s">
        <v>775</v>
      </c>
      <c r="J1242" s="16" t="s">
        <v>97</v>
      </c>
      <c r="K1242" s="23" t="s">
        <v>33</v>
      </c>
      <c r="L1242" s="31" t="s">
        <v>56</v>
      </c>
      <c r="N1242" s="16"/>
      <c r="O1242" s="16"/>
      <c r="P1242" s="16"/>
      <c r="Q1242" s="17">
        <f t="shared" si="107"/>
        <v>45511</v>
      </c>
      <c r="S1242" s="20"/>
      <c r="T1242" s="68" t="str">
        <f>VLOOKUP(A1242,'Calendar ID'!$A:$C,3,false)</f>
        <v>iimslmapro@outlook.fr</v>
      </c>
      <c r="U1242" s="78" t="b">
        <v>0</v>
      </c>
      <c r="V1242" s="68" t="str">
        <f>VLOOKUP($A1242,'Calendar ID'!$A:$C,2,false)</f>
        <v>c_a80d776e58d8881ef4e876da99555e813842eeed9733f23e6f4b85d237e1fdec@group.calendar.google.com</v>
      </c>
      <c r="W1242" s="71" t="b">
        <v>0</v>
      </c>
      <c r="X1242" s="68" t="str">
        <f>VLOOKUP($A1242,'Calendar ID'!$A:$C,2,false)</f>
        <v>c_a80d776e58d8881ef4e876da99555e813842eeed9733f23e6f4b85d237e1fdec@group.calendar.google.com</v>
      </c>
      <c r="AA1242" s="16"/>
    </row>
    <row r="1243" hidden="1">
      <c r="A1243" s="16" t="s">
        <v>215</v>
      </c>
      <c r="B1243" s="17">
        <v>45551.0</v>
      </c>
      <c r="C1243" s="16" t="s">
        <v>127</v>
      </c>
      <c r="E1243" s="17"/>
      <c r="G1243" s="17"/>
      <c r="H1243" s="10" t="s">
        <v>31</v>
      </c>
      <c r="J1243" s="16" t="s">
        <v>266</v>
      </c>
      <c r="K1243" s="23" t="s">
        <v>33</v>
      </c>
      <c r="L1243" s="31" t="s">
        <v>56</v>
      </c>
      <c r="N1243" s="16"/>
      <c r="O1243" s="16"/>
      <c r="P1243" s="16"/>
      <c r="Q1243" s="17">
        <f t="shared" si="107"/>
        <v>45551</v>
      </c>
      <c r="S1243" s="20"/>
      <c r="T1243" s="68" t="str">
        <f>VLOOKUP(A1243,'Calendar ID'!$A:$C,3,false)</f>
        <v>iimslmapro@outlook.fr</v>
      </c>
      <c r="U1243" s="78" t="b">
        <v>0</v>
      </c>
      <c r="V1243" s="68" t="str">
        <f>VLOOKUP($A1243,'Calendar ID'!$A:$C,2,false)</f>
        <v>c_a80d776e58d8881ef4e876da99555e813842eeed9733f23e6f4b85d237e1fdec@group.calendar.google.com</v>
      </c>
      <c r="W1243" s="71" t="b">
        <v>0</v>
      </c>
      <c r="X1243" s="68" t="str">
        <f>VLOOKUP($A1243,'Calendar ID'!$A:$C,2,false)</f>
        <v>c_a80d776e58d8881ef4e876da99555e813842eeed9733f23e6f4b85d237e1fdec@group.calendar.google.com</v>
      </c>
    </row>
    <row r="1244">
      <c r="A1244" s="16" t="s">
        <v>45</v>
      </c>
      <c r="B1244" s="17">
        <v>45678.0</v>
      </c>
      <c r="C1244" s="16" t="s">
        <v>322</v>
      </c>
      <c r="D1244" s="16" t="s">
        <v>323</v>
      </c>
      <c r="E1244" s="72">
        <v>45872.0</v>
      </c>
      <c r="F1244" s="17">
        <v>45908.0</v>
      </c>
      <c r="G1244" s="17">
        <v>45915.0</v>
      </c>
      <c r="H1244" s="23"/>
      <c r="J1244" s="16" t="s">
        <v>43</v>
      </c>
      <c r="K1244" s="23" t="s">
        <v>33</v>
      </c>
      <c r="L1244" s="31">
        <v>810.0</v>
      </c>
      <c r="N1244" s="16"/>
      <c r="O1244" s="16" t="s">
        <v>398</v>
      </c>
      <c r="P1244" s="16" t="s">
        <v>34</v>
      </c>
      <c r="Q1244" s="17">
        <f t="shared" si="107"/>
        <v>45678</v>
      </c>
      <c r="R1244" s="18">
        <f>L1244*0.25</f>
        <v>202.5</v>
      </c>
      <c r="S1244" s="20"/>
      <c r="T1244" s="68" t="str">
        <f>VLOOKUP(A1244,'Calendar ID'!$A:$C,3,false)</f>
        <v>lilyy.nl@grapperagency.com</v>
      </c>
      <c r="U1244" s="77" t="b">
        <v>0</v>
      </c>
      <c r="V1244" s="68" t="str">
        <f>VLOOKUP($A1244,'Calendar ID'!$A:$C,2,false)</f>
        <v>c_665764ca21c8e4b3814e25bf24bc7074fa55890dce5d4073abb0fdddc70649d4@group.calendar.google.com</v>
      </c>
      <c r="W1244" s="77" t="b">
        <v>0</v>
      </c>
      <c r="X1244" s="68" t="str">
        <f>VLOOKUP($A1244,'Calendar ID'!$A:$C,2,false)</f>
        <v>c_665764ca21c8e4b3814e25bf24bc7074fa55890dce5d4073abb0fdddc70649d4@group.calendar.google.com</v>
      </c>
    </row>
    <row r="1245" hidden="1">
      <c r="A1245" s="23" t="s">
        <v>215</v>
      </c>
      <c r="B1245" s="17">
        <v>45503.0</v>
      </c>
      <c r="C1245" s="16" t="s">
        <v>191</v>
      </c>
      <c r="E1245" s="17"/>
      <c r="G1245" s="17"/>
      <c r="H1245" s="10" t="s">
        <v>31</v>
      </c>
      <c r="J1245" s="16" t="s">
        <v>97</v>
      </c>
      <c r="K1245" s="23" t="s">
        <v>33</v>
      </c>
      <c r="L1245" s="31" t="s">
        <v>56</v>
      </c>
      <c r="N1245" s="16"/>
      <c r="O1245" s="16"/>
      <c r="P1245" s="16"/>
      <c r="Q1245" s="17">
        <f t="shared" si="107"/>
        <v>45503</v>
      </c>
      <c r="S1245" s="20"/>
      <c r="T1245" s="68" t="str">
        <f>VLOOKUP(A1245,'Calendar ID'!$A:$C,3,false)</f>
        <v>iimslmapro@outlook.fr</v>
      </c>
      <c r="U1245" s="71" t="b">
        <v>0</v>
      </c>
      <c r="V1245" s="68" t="str">
        <f>VLOOKUP($A1245,'Calendar ID'!$A:$C,2,false)</f>
        <v>c_a80d776e58d8881ef4e876da99555e813842eeed9733f23e6f4b85d237e1fdec@group.calendar.google.com</v>
      </c>
      <c r="W1245" s="69" t="b">
        <v>0</v>
      </c>
      <c r="X1245" s="68" t="str">
        <f>VLOOKUP($A1245,'Calendar ID'!$A:$C,2,false)</f>
        <v>c_a80d776e58d8881ef4e876da99555e813842eeed9733f23e6f4b85d237e1fdec@group.calendar.google.com</v>
      </c>
      <c r="Y1245" s="20"/>
      <c r="Z1245" s="20"/>
      <c r="AA1245" s="20"/>
      <c r="AB1245" s="20"/>
      <c r="AC1245" s="20"/>
    </row>
    <row r="1246">
      <c r="A1246" s="128" t="s">
        <v>91</v>
      </c>
      <c r="B1246" s="17">
        <v>45804.0</v>
      </c>
      <c r="C1246" s="16" t="s">
        <v>261</v>
      </c>
      <c r="D1246" s="149" t="s">
        <v>1122</v>
      </c>
      <c r="E1246" s="205">
        <v>45868.0</v>
      </c>
      <c r="F1246" s="17"/>
      <c r="G1246" s="72">
        <v>45872.0</v>
      </c>
      <c r="H1246" s="10"/>
      <c r="J1246" s="16" t="s">
        <v>43</v>
      </c>
      <c r="K1246" s="16" t="s">
        <v>33</v>
      </c>
      <c r="L1246" s="31">
        <f>2174/10</f>
        <v>217.4</v>
      </c>
      <c r="N1246" s="16"/>
      <c r="O1246" s="16"/>
      <c r="P1246" s="10" t="s">
        <v>34</v>
      </c>
      <c r="Q1246" s="17">
        <f t="shared" si="107"/>
        <v>45804</v>
      </c>
      <c r="R1246" s="18">
        <f t="shared" ref="R1246:R1249" si="119">L1246*0.3</f>
        <v>65.22</v>
      </c>
      <c r="S1246" s="20"/>
      <c r="T1246" s="68" t="str">
        <f>VLOOKUP(A1246,'Calendar ID'!$A:$C,3,false)</f>
        <v>juliane.bernard57@icloud.com</v>
      </c>
      <c r="U1246" s="71" t="b">
        <v>0</v>
      </c>
      <c r="V1246" s="68" t="str">
        <f>VLOOKUP($A1246,'Calendar ID'!$A:$C,2,false)</f>
        <v>c_f6970d92e9be72b1307e3c015a265d69ae87140c691e7728bc83462544d82455@group.calendar.google.com</v>
      </c>
      <c r="W1246" s="71" t="b">
        <v>0</v>
      </c>
      <c r="X1246" s="68" t="str">
        <f>VLOOKUP($A1246,'Calendar ID'!$A:$C,2,false)</f>
        <v>c_f6970d92e9be72b1307e3c015a265d69ae87140c691e7728bc83462544d82455@group.calendar.google.com</v>
      </c>
    </row>
    <row r="1247">
      <c r="A1247" s="128" t="s">
        <v>213</v>
      </c>
      <c r="B1247" s="17">
        <v>45799.0</v>
      </c>
      <c r="C1247" s="16" t="s">
        <v>209</v>
      </c>
      <c r="E1247" s="72">
        <v>45868.0</v>
      </c>
      <c r="F1247" s="17"/>
      <c r="G1247" s="17"/>
      <c r="H1247" s="10" t="s">
        <v>567</v>
      </c>
      <c r="I1247" s="16" t="s">
        <v>447</v>
      </c>
      <c r="J1247" s="16" t="s">
        <v>43</v>
      </c>
      <c r="K1247" s="16" t="s">
        <v>33</v>
      </c>
      <c r="L1247" s="31">
        <f>1100/2</f>
        <v>550</v>
      </c>
      <c r="N1247" s="16"/>
      <c r="O1247" s="16"/>
      <c r="P1247" s="10" t="s">
        <v>34</v>
      </c>
      <c r="Q1247" s="17">
        <f t="shared" si="107"/>
        <v>45799</v>
      </c>
      <c r="R1247" s="18">
        <f t="shared" si="119"/>
        <v>165</v>
      </c>
      <c r="S1247" s="20"/>
      <c r="T1247" s="68" t="str">
        <f>VLOOKUP(A1247,'Calendar ID'!$A:$C,3,false)</f>
        <v>anaiswry@yahoo.fr</v>
      </c>
      <c r="U1247" s="71" t="b">
        <v>0</v>
      </c>
      <c r="V1247" s="68" t="str">
        <f>VLOOKUP($A1247,'Calendar ID'!$A:$C,2,false)</f>
        <v>c_2754856c5047affc6767bb85fb787591389bf7d14d3afd368efdff9979492ab5@group.calendar.google.com</v>
      </c>
      <c r="W1247" s="71" t="b">
        <v>0</v>
      </c>
      <c r="X1247" s="68" t="str">
        <f>VLOOKUP($A1247,'Calendar ID'!$A:$C,2,false)</f>
        <v>c_2754856c5047affc6767bb85fb787591389bf7d14d3afd368efdff9979492ab5@group.calendar.google.com</v>
      </c>
    </row>
    <row r="1248">
      <c r="A1248" s="16" t="s">
        <v>213</v>
      </c>
      <c r="B1248" s="17">
        <v>45826.0</v>
      </c>
      <c r="C1248" s="16" t="s">
        <v>79</v>
      </c>
      <c r="D1248" s="16" t="s">
        <v>1123</v>
      </c>
      <c r="E1248" s="72">
        <f>G1248-7</f>
        <v>45869</v>
      </c>
      <c r="F1248" s="17"/>
      <c r="G1248" s="73">
        <v>45876.0</v>
      </c>
      <c r="H1248" s="10"/>
      <c r="J1248" s="16" t="s">
        <v>43</v>
      </c>
      <c r="K1248" s="23" t="s">
        <v>33</v>
      </c>
      <c r="L1248" s="31">
        <f>3000/5</f>
        <v>600</v>
      </c>
      <c r="N1248" s="16"/>
      <c r="O1248" s="16"/>
      <c r="P1248" s="16" t="s">
        <v>34</v>
      </c>
      <c r="Q1248" s="17">
        <f t="shared" si="107"/>
        <v>45826</v>
      </c>
      <c r="R1248" s="18">
        <f t="shared" si="119"/>
        <v>180</v>
      </c>
      <c r="S1248" s="20"/>
      <c r="T1248" s="68"/>
      <c r="U1248" s="77"/>
      <c r="V1248" s="68"/>
      <c r="W1248" s="71"/>
      <c r="X1248" s="20"/>
    </row>
    <row r="1249">
      <c r="A1249" s="16" t="s">
        <v>208</v>
      </c>
      <c r="B1249" s="17">
        <v>45849.0</v>
      </c>
      <c r="C1249" s="16" t="s">
        <v>222</v>
      </c>
      <c r="E1249" s="72">
        <v>45869.0</v>
      </c>
      <c r="F1249" s="17"/>
      <c r="G1249" s="17"/>
      <c r="H1249" s="10" t="s">
        <v>567</v>
      </c>
      <c r="I1249" s="16" t="s">
        <v>1124</v>
      </c>
      <c r="J1249" s="16" t="s">
        <v>43</v>
      </c>
      <c r="K1249" s="23" t="s">
        <v>33</v>
      </c>
      <c r="L1249" s="31">
        <v>400.0</v>
      </c>
      <c r="N1249" s="16"/>
      <c r="O1249" s="16"/>
      <c r="P1249" s="16" t="s">
        <v>34</v>
      </c>
      <c r="Q1249" s="17">
        <f t="shared" si="107"/>
        <v>45849</v>
      </c>
      <c r="R1249" s="18">
        <f t="shared" si="119"/>
        <v>120</v>
      </c>
      <c r="S1249" s="20"/>
      <c r="T1249" s="68"/>
      <c r="U1249" s="77"/>
      <c r="V1249" s="68"/>
      <c r="W1249" s="71"/>
      <c r="X1249" s="20"/>
    </row>
    <row r="1250" hidden="1">
      <c r="A1250" s="16" t="s">
        <v>215</v>
      </c>
      <c r="B1250" s="17">
        <v>45624.0</v>
      </c>
      <c r="C1250" s="16" t="s">
        <v>733</v>
      </c>
      <c r="E1250" s="17"/>
      <c r="G1250" s="17"/>
      <c r="H1250" s="10" t="s">
        <v>31</v>
      </c>
      <c r="J1250" s="16" t="s">
        <v>97</v>
      </c>
      <c r="K1250" s="23" t="s">
        <v>33</v>
      </c>
      <c r="L1250" s="31" t="s">
        <v>56</v>
      </c>
      <c r="N1250" s="16"/>
      <c r="O1250" s="16"/>
      <c r="P1250" s="16"/>
      <c r="Q1250" s="17">
        <f t="shared" si="107"/>
        <v>45624</v>
      </c>
      <c r="S1250" s="20"/>
      <c r="T1250" s="68" t="str">
        <f>VLOOKUP(A1250,'Calendar ID'!$A:$C,3,false)</f>
        <v>iimslmapro@outlook.fr</v>
      </c>
      <c r="U1250" s="77" t="b">
        <v>0</v>
      </c>
      <c r="V1250" s="68" t="str">
        <f>VLOOKUP($A1250,'Calendar ID'!$A:$C,2,false)</f>
        <v>c_a80d776e58d8881ef4e876da99555e813842eeed9733f23e6f4b85d237e1fdec@group.calendar.google.com</v>
      </c>
      <c r="W1250" s="77" t="b">
        <v>0</v>
      </c>
      <c r="X1250" s="68" t="str">
        <f>VLOOKUP($A1250,'Calendar ID'!$A:$C,2,false)</f>
        <v>c_a80d776e58d8881ef4e876da99555e813842eeed9733f23e6f4b85d237e1fdec@group.calendar.google.com</v>
      </c>
    </row>
    <row r="1251" hidden="1">
      <c r="A1251" s="23" t="s">
        <v>213</v>
      </c>
      <c r="B1251" s="17">
        <v>45625.0</v>
      </c>
      <c r="C1251" s="16" t="s">
        <v>733</v>
      </c>
      <c r="E1251" s="17"/>
      <c r="G1251" s="17"/>
      <c r="H1251" s="10" t="s">
        <v>31</v>
      </c>
      <c r="J1251" s="16" t="s">
        <v>97</v>
      </c>
      <c r="K1251" s="23" t="s">
        <v>33</v>
      </c>
      <c r="L1251" s="31" t="s">
        <v>56</v>
      </c>
      <c r="N1251" s="16"/>
      <c r="O1251" s="16"/>
      <c r="P1251" s="16"/>
      <c r="Q1251" s="17">
        <f t="shared" si="107"/>
        <v>45625</v>
      </c>
      <c r="S1251" s="20"/>
      <c r="T1251" s="68" t="str">
        <f>VLOOKUP(A1251,'Calendar ID'!$A:$C,3,false)</f>
        <v>anaiswry@yahoo.fr</v>
      </c>
      <c r="U1251" s="71" t="b">
        <v>0</v>
      </c>
      <c r="V1251" s="68" t="str">
        <f>VLOOKUP($A1251,'Calendar ID'!$A:$C,2,false)</f>
        <v>c_2754856c5047affc6767bb85fb787591389bf7d14d3afd368efdff9979492ab5@group.calendar.google.com</v>
      </c>
      <c r="W1251" s="71" t="b">
        <v>0</v>
      </c>
      <c r="X1251" s="68" t="str">
        <f>VLOOKUP($A1251,'Calendar ID'!$A:$C,2,false)</f>
        <v>c_2754856c5047affc6767bb85fb787591389bf7d14d3afd368efdff9979492ab5@group.calendar.google.com</v>
      </c>
    </row>
    <row r="1252" hidden="1">
      <c r="A1252" s="16" t="s">
        <v>290</v>
      </c>
      <c r="B1252" s="17">
        <v>45834.0</v>
      </c>
      <c r="C1252" s="16" t="s">
        <v>1125</v>
      </c>
      <c r="E1252" s="17"/>
      <c r="F1252" s="17"/>
      <c r="G1252" s="61">
        <v>45841.0</v>
      </c>
      <c r="H1252" s="10" t="s">
        <v>31</v>
      </c>
      <c r="J1252" s="16" t="s">
        <v>593</v>
      </c>
      <c r="K1252" s="23" t="s">
        <v>33</v>
      </c>
      <c r="L1252" s="31" t="s">
        <v>56</v>
      </c>
      <c r="N1252" s="16"/>
      <c r="O1252" s="16"/>
      <c r="P1252" s="23"/>
      <c r="Q1252" s="17"/>
      <c r="R1252" s="15"/>
      <c r="S1252" s="20"/>
      <c r="T1252" s="68"/>
      <c r="U1252" s="77"/>
      <c r="V1252" s="68"/>
      <c r="W1252" s="71"/>
      <c r="X1252" s="20"/>
    </row>
    <row r="1253" hidden="1">
      <c r="A1253" s="16" t="s">
        <v>436</v>
      </c>
      <c r="B1253" s="17">
        <v>45736.0</v>
      </c>
      <c r="C1253" s="16" t="s">
        <v>636</v>
      </c>
      <c r="E1253" s="17"/>
      <c r="F1253" s="94">
        <v>45742.0</v>
      </c>
      <c r="G1253" s="43">
        <v>45795.0</v>
      </c>
      <c r="H1253" s="10" t="s">
        <v>31</v>
      </c>
      <c r="J1253" s="16" t="s">
        <v>43</v>
      </c>
      <c r="K1253" s="16" t="s">
        <v>33</v>
      </c>
      <c r="L1253" s="31" t="s">
        <v>56</v>
      </c>
      <c r="N1253" s="16"/>
      <c r="O1253" s="16"/>
      <c r="P1253" s="23"/>
      <c r="Q1253" s="17">
        <f t="shared" ref="Q1253:Q1280" si="120">B1253</f>
        <v>45736</v>
      </c>
      <c r="R1253" s="15"/>
      <c r="S1253" s="20"/>
      <c r="T1253" s="68" t="str">
        <f>VLOOKUP(A1253,'Calendar ID'!$A:$C,3,false)</f>
        <v>#N/A</v>
      </c>
      <c r="U1253" s="71" t="b">
        <v>0</v>
      </c>
      <c r="V1253" s="68" t="str">
        <f>VLOOKUP($A1253,'Calendar ID'!$A:$C,2,false)</f>
        <v>#N/A</v>
      </c>
      <c r="W1253" s="69" t="b">
        <v>0</v>
      </c>
      <c r="X1253" s="68" t="str">
        <f>VLOOKUP($A1253,'Calendar ID'!$A:$C,2,false)</f>
        <v>#N/A</v>
      </c>
    </row>
    <row r="1254" hidden="1">
      <c r="A1254" s="160" t="s">
        <v>364</v>
      </c>
      <c r="B1254" s="17">
        <v>45711.0</v>
      </c>
      <c r="C1254" s="16" t="s">
        <v>640</v>
      </c>
      <c r="E1254" s="17"/>
      <c r="F1254" s="107">
        <v>45715.0</v>
      </c>
      <c r="G1254" s="122">
        <v>45736.0</v>
      </c>
      <c r="H1254" s="10" t="s">
        <v>31</v>
      </c>
      <c r="I1254" s="16" t="s">
        <v>1126</v>
      </c>
      <c r="J1254" s="16" t="s">
        <v>641</v>
      </c>
      <c r="K1254" s="16" t="s">
        <v>33</v>
      </c>
      <c r="L1254" s="31" t="s">
        <v>56</v>
      </c>
      <c r="N1254" s="16"/>
      <c r="O1254" s="16"/>
      <c r="P1254" s="16"/>
      <c r="Q1254" s="17">
        <f t="shared" si="120"/>
        <v>45711</v>
      </c>
      <c r="S1254" s="20"/>
      <c r="T1254" s="68" t="str">
        <f>VLOOKUP(A1254,'Calendar ID'!$A:$C,3,false)</f>
        <v>Sirine.yza@gmail.com</v>
      </c>
      <c r="U1254" s="71" t="b">
        <v>0</v>
      </c>
      <c r="V1254" s="68" t="str">
        <f>VLOOKUP($A1254,'Calendar ID'!$A:$C,2,false)</f>
        <v>c_4bf2087a99450838a520f4ce4fc6de01f87130a4f381347449792eaf1546cc46@group.calendar.google.com</v>
      </c>
      <c r="W1254" s="69" t="b">
        <v>1</v>
      </c>
      <c r="X1254" s="70" t="s">
        <v>82</v>
      </c>
    </row>
    <row r="1255" hidden="1">
      <c r="A1255" s="7" t="s">
        <v>364</v>
      </c>
      <c r="B1255" s="17">
        <v>45762.0</v>
      </c>
      <c r="C1255" s="10" t="s">
        <v>624</v>
      </c>
      <c r="E1255" s="17"/>
      <c r="F1255" s="17"/>
      <c r="G1255" s="38">
        <v>45782.0</v>
      </c>
      <c r="H1255" s="10" t="s">
        <v>31</v>
      </c>
      <c r="J1255" s="16" t="s">
        <v>593</v>
      </c>
      <c r="K1255" s="16" t="s">
        <v>33</v>
      </c>
      <c r="L1255" s="31"/>
      <c r="N1255" s="206" t="s">
        <v>1127</v>
      </c>
      <c r="O1255" s="16"/>
      <c r="P1255" s="23"/>
      <c r="Q1255" s="17">
        <f t="shared" si="120"/>
        <v>45762</v>
      </c>
      <c r="R1255" s="15"/>
      <c r="S1255" s="20"/>
      <c r="T1255" s="68"/>
      <c r="U1255" s="77"/>
      <c r="V1255" s="68"/>
      <c r="W1255" s="71"/>
      <c r="X1255" s="20"/>
    </row>
    <row r="1256">
      <c r="A1256" s="16" t="s">
        <v>453</v>
      </c>
      <c r="B1256" s="17">
        <v>45841.0</v>
      </c>
      <c r="C1256" s="16" t="s">
        <v>971</v>
      </c>
      <c r="E1256" s="72">
        <v>45869.0</v>
      </c>
      <c r="F1256" s="17"/>
      <c r="G1256" s="17"/>
      <c r="H1256" s="10" t="s">
        <v>1128</v>
      </c>
      <c r="J1256" s="16" t="s">
        <v>43</v>
      </c>
      <c r="K1256" s="23" t="s">
        <v>33</v>
      </c>
      <c r="L1256" s="31">
        <f>280*3</f>
        <v>840</v>
      </c>
      <c r="N1256" s="16"/>
      <c r="O1256" s="16"/>
      <c r="P1256" s="16" t="s">
        <v>34</v>
      </c>
      <c r="Q1256" s="17">
        <f t="shared" si="120"/>
        <v>45841</v>
      </c>
      <c r="R1256" s="18">
        <f t="shared" ref="R1256:R1257" si="121">L1256*0.3</f>
        <v>252</v>
      </c>
      <c r="S1256" s="20"/>
      <c r="T1256" s="68"/>
      <c r="U1256" s="77"/>
      <c r="V1256" s="68"/>
      <c r="W1256" s="71"/>
      <c r="X1256" s="20"/>
    </row>
    <row r="1257">
      <c r="A1257" s="16" t="s">
        <v>76</v>
      </c>
      <c r="B1257" s="17">
        <v>45856.0</v>
      </c>
      <c r="C1257" s="16" t="s">
        <v>1129</v>
      </c>
      <c r="E1257" s="72">
        <v>45869.0</v>
      </c>
      <c r="F1257" s="17"/>
      <c r="G1257" s="17"/>
      <c r="H1257" s="10" t="s">
        <v>1130</v>
      </c>
      <c r="J1257" s="16" t="s">
        <v>43</v>
      </c>
      <c r="K1257" s="16" t="s">
        <v>33</v>
      </c>
      <c r="L1257" s="31">
        <v>1000.0</v>
      </c>
      <c r="N1257" s="16"/>
      <c r="O1257" s="16"/>
      <c r="P1257" s="10" t="s">
        <v>34</v>
      </c>
      <c r="Q1257" s="17">
        <f t="shared" si="120"/>
        <v>45856</v>
      </c>
      <c r="R1257" s="18">
        <f t="shared" si="121"/>
        <v>300</v>
      </c>
      <c r="S1257" s="20"/>
      <c r="T1257" s="68"/>
      <c r="U1257" s="77"/>
      <c r="V1257" s="68"/>
      <c r="W1257" s="71"/>
      <c r="X1257" s="20"/>
    </row>
    <row r="1258">
      <c r="A1258" s="16" t="s">
        <v>29</v>
      </c>
      <c r="B1258" s="17">
        <v>45859.0</v>
      </c>
      <c r="C1258" s="16" t="s">
        <v>54</v>
      </c>
      <c r="E1258" s="72">
        <v>45869.0</v>
      </c>
      <c r="F1258" s="17"/>
      <c r="G1258" s="17"/>
      <c r="H1258" s="10"/>
      <c r="J1258" s="16" t="s">
        <v>43</v>
      </c>
      <c r="K1258" s="16" t="s">
        <v>33</v>
      </c>
      <c r="L1258" s="31">
        <v>400.0</v>
      </c>
      <c r="N1258" s="16"/>
      <c r="O1258" s="16"/>
      <c r="P1258" s="10" t="s">
        <v>34</v>
      </c>
      <c r="Q1258" s="17">
        <f t="shared" si="120"/>
        <v>45859</v>
      </c>
      <c r="R1258" s="18">
        <f>L1258*0.2</f>
        <v>80</v>
      </c>
      <c r="S1258" s="20"/>
      <c r="T1258" s="68" t="str">
        <f>VLOOKUP(A1258,'Calendar ID'!$A:$C,3,false)</f>
        <v>pauline@grapperagency.com</v>
      </c>
      <c r="U1258" s="77" t="b">
        <v>0</v>
      </c>
      <c r="V1258" s="68" t="str">
        <f>VLOOKUP($A1258,'Calendar ID'!$A:$C,2,false)</f>
        <v>c_a715193c206b2aa1e4b81b8a3772df33bf92c92611202a890a6bccecb2131fcb@group.calendar.google.com</v>
      </c>
      <c r="W1258" s="77" t="b">
        <v>0</v>
      </c>
      <c r="X1258" s="68" t="str">
        <f>VLOOKUP($A1258,'Calendar ID'!$A:$C,2,false)</f>
        <v>c_a715193c206b2aa1e4b81b8a3772df33bf92c92611202a890a6bccecb2131fcb@group.calendar.google.com</v>
      </c>
    </row>
    <row r="1259">
      <c r="A1259" s="16" t="s">
        <v>213</v>
      </c>
      <c r="B1259" s="17">
        <v>45856.0</v>
      </c>
      <c r="C1259" s="16" t="s">
        <v>1129</v>
      </c>
      <c r="E1259" s="72">
        <v>45872.0</v>
      </c>
      <c r="F1259" s="17"/>
      <c r="G1259" s="17"/>
      <c r="H1259" s="10" t="s">
        <v>1130</v>
      </c>
      <c r="J1259" s="16" t="s">
        <v>43</v>
      </c>
      <c r="K1259" s="16" t="s">
        <v>33</v>
      </c>
      <c r="L1259" s="31">
        <v>1300.0</v>
      </c>
      <c r="N1259" s="16"/>
      <c r="O1259" s="16"/>
      <c r="P1259" s="10" t="s">
        <v>34</v>
      </c>
      <c r="Q1259" s="17">
        <f t="shared" si="120"/>
        <v>45856</v>
      </c>
      <c r="R1259" s="18">
        <f t="shared" ref="R1259:R1280" si="122">L1259*0.3</f>
        <v>390</v>
      </c>
      <c r="S1259" s="20"/>
      <c r="T1259" s="68"/>
      <c r="U1259" s="77"/>
      <c r="V1259" s="68"/>
      <c r="W1259" s="71"/>
      <c r="X1259" s="20"/>
    </row>
    <row r="1260">
      <c r="A1260" s="16" t="s">
        <v>208</v>
      </c>
      <c r="B1260" s="17">
        <v>45856.0</v>
      </c>
      <c r="C1260" s="16" t="s">
        <v>1129</v>
      </c>
      <c r="E1260" s="72">
        <v>45872.0</v>
      </c>
      <c r="F1260" s="17"/>
      <c r="G1260" s="17"/>
      <c r="H1260" s="10" t="s">
        <v>1130</v>
      </c>
      <c r="J1260" s="16" t="s">
        <v>43</v>
      </c>
      <c r="K1260" s="16" t="s">
        <v>33</v>
      </c>
      <c r="L1260" s="31">
        <v>600.0</v>
      </c>
      <c r="N1260" s="16"/>
      <c r="O1260" s="16"/>
      <c r="P1260" s="10" t="s">
        <v>34</v>
      </c>
      <c r="Q1260" s="17">
        <f t="shared" si="120"/>
        <v>45856</v>
      </c>
      <c r="R1260" s="18">
        <f t="shared" si="122"/>
        <v>180</v>
      </c>
      <c r="S1260" s="20"/>
      <c r="T1260" s="68"/>
      <c r="U1260" s="77"/>
      <c r="V1260" s="68"/>
      <c r="W1260" s="71"/>
      <c r="X1260" s="20"/>
    </row>
    <row r="1261">
      <c r="A1261" s="16" t="s">
        <v>1131</v>
      </c>
      <c r="B1261" s="17">
        <v>45856.0</v>
      </c>
      <c r="C1261" s="16" t="s">
        <v>1129</v>
      </c>
      <c r="E1261" s="72">
        <v>45872.0</v>
      </c>
      <c r="F1261" s="17"/>
      <c r="G1261" s="17"/>
      <c r="H1261" s="10" t="s">
        <v>1130</v>
      </c>
      <c r="J1261" s="16" t="s">
        <v>43</v>
      </c>
      <c r="K1261" s="16" t="s">
        <v>33</v>
      </c>
      <c r="L1261" s="31">
        <v>600.0</v>
      </c>
      <c r="N1261" s="16"/>
      <c r="O1261" s="16"/>
      <c r="P1261" s="10" t="s">
        <v>34</v>
      </c>
      <c r="Q1261" s="17">
        <f t="shared" si="120"/>
        <v>45856</v>
      </c>
      <c r="R1261" s="18">
        <f t="shared" si="122"/>
        <v>180</v>
      </c>
      <c r="S1261" s="20"/>
      <c r="T1261" s="68"/>
      <c r="U1261" s="77"/>
      <c r="V1261" s="68"/>
      <c r="W1261" s="71"/>
      <c r="X1261" s="20"/>
    </row>
    <row r="1262">
      <c r="A1262" s="16" t="s">
        <v>45</v>
      </c>
      <c r="B1262" s="17">
        <v>45856.0</v>
      </c>
      <c r="C1262" s="16" t="s">
        <v>1129</v>
      </c>
      <c r="E1262" s="72">
        <v>45872.0</v>
      </c>
      <c r="F1262" s="17"/>
      <c r="G1262" s="17"/>
      <c r="H1262" s="10" t="s">
        <v>1130</v>
      </c>
      <c r="J1262" s="16" t="s">
        <v>43</v>
      </c>
      <c r="K1262" s="16" t="s">
        <v>33</v>
      </c>
      <c r="L1262" s="31">
        <v>1300.0</v>
      </c>
      <c r="N1262" s="16"/>
      <c r="O1262" s="16"/>
      <c r="P1262" s="10" t="s">
        <v>34</v>
      </c>
      <c r="Q1262" s="17">
        <f t="shared" si="120"/>
        <v>45856</v>
      </c>
      <c r="R1262" s="18">
        <f t="shared" si="122"/>
        <v>390</v>
      </c>
      <c r="S1262" s="20"/>
      <c r="T1262" s="68"/>
      <c r="U1262" s="77"/>
      <c r="V1262" s="68"/>
      <c r="W1262" s="71"/>
      <c r="X1262" s="20"/>
    </row>
    <row r="1263">
      <c r="A1263" s="16" t="s">
        <v>208</v>
      </c>
      <c r="B1263" s="17">
        <v>45797.0</v>
      </c>
      <c r="C1263" s="16" t="s">
        <v>209</v>
      </c>
      <c r="E1263" s="72">
        <v>45872.0</v>
      </c>
      <c r="F1263" s="17"/>
      <c r="G1263" s="73">
        <v>45879.0</v>
      </c>
      <c r="H1263" s="10"/>
      <c r="J1263" s="16" t="s">
        <v>43</v>
      </c>
      <c r="K1263" s="16" t="s">
        <v>33</v>
      </c>
      <c r="L1263" s="31">
        <f>700/3</f>
        <v>233.3333333</v>
      </c>
      <c r="N1263" s="16"/>
      <c r="O1263" s="16"/>
      <c r="P1263" s="10" t="s">
        <v>34</v>
      </c>
      <c r="Q1263" s="17">
        <f t="shared" si="120"/>
        <v>45797</v>
      </c>
      <c r="R1263" s="18">
        <f t="shared" si="122"/>
        <v>70</v>
      </c>
      <c r="S1263" s="20"/>
      <c r="T1263" s="68" t="str">
        <f>VLOOKUP(A1263,'Calendar ID'!$A:$C,3,false)</f>
        <v>#N/A</v>
      </c>
      <c r="U1263" s="71" t="b">
        <v>0</v>
      </c>
      <c r="V1263" s="68" t="str">
        <f>VLOOKUP($A1263,'Calendar ID'!$A:$C,2,false)</f>
        <v>#N/A</v>
      </c>
      <c r="W1263" s="71" t="b">
        <v>0</v>
      </c>
      <c r="X1263" s="68" t="str">
        <f>VLOOKUP($A1263,'Calendar ID'!$A:$C,2,false)</f>
        <v>#N/A</v>
      </c>
    </row>
    <row r="1264">
      <c r="A1264" s="16" t="s">
        <v>538</v>
      </c>
      <c r="B1264" s="17">
        <v>45860.0</v>
      </c>
      <c r="C1264" s="16" t="s">
        <v>1007</v>
      </c>
      <c r="E1264" s="72">
        <v>45872.0</v>
      </c>
      <c r="F1264" s="73">
        <v>45879.0</v>
      </c>
      <c r="G1264" s="139">
        <v>45883.0</v>
      </c>
      <c r="H1264" s="10"/>
      <c r="J1264" s="16" t="s">
        <v>43</v>
      </c>
      <c r="K1264" s="16" t="s">
        <v>33</v>
      </c>
      <c r="L1264" s="31">
        <v>900.0</v>
      </c>
      <c r="N1264" s="16"/>
      <c r="O1264" s="16"/>
      <c r="P1264" s="10" t="s">
        <v>34</v>
      </c>
      <c r="Q1264" s="17">
        <f t="shared" si="120"/>
        <v>45860</v>
      </c>
      <c r="R1264" s="18">
        <f t="shared" si="122"/>
        <v>270</v>
      </c>
      <c r="S1264" s="20"/>
      <c r="T1264" s="68" t="str">
        <f>VLOOKUP(A1264,'Calendar ID'!$A:$C,3,false)</f>
        <v>#N/A</v>
      </c>
      <c r="U1264" s="77" t="b">
        <v>0</v>
      </c>
      <c r="V1264" s="68" t="str">
        <f>VLOOKUP($A1264,'Calendar ID'!$A:$C,2,false)</f>
        <v>#N/A</v>
      </c>
      <c r="W1264" s="77" t="b">
        <v>0</v>
      </c>
      <c r="X1264" s="68" t="str">
        <f>VLOOKUP($A1264,'Calendar ID'!$A:$C,2,false)</f>
        <v>#N/A</v>
      </c>
    </row>
    <row r="1265">
      <c r="A1265" s="16" t="s">
        <v>364</v>
      </c>
      <c r="B1265" s="17">
        <v>45862.0</v>
      </c>
      <c r="C1265" s="16" t="s">
        <v>316</v>
      </c>
      <c r="D1265" s="16" t="s">
        <v>519</v>
      </c>
      <c r="E1265" s="72">
        <v>45872.0</v>
      </c>
      <c r="F1265" s="17"/>
      <c r="G1265" s="17"/>
      <c r="H1265" s="10"/>
      <c r="J1265" s="16" t="s">
        <v>43</v>
      </c>
      <c r="K1265" s="16" t="s">
        <v>33</v>
      </c>
      <c r="L1265" s="31">
        <v>900.0</v>
      </c>
      <c r="N1265" s="16"/>
      <c r="O1265" s="16"/>
      <c r="P1265" s="10" t="s">
        <v>34</v>
      </c>
      <c r="Q1265" s="17">
        <f t="shared" si="120"/>
        <v>45862</v>
      </c>
      <c r="R1265" s="18">
        <f t="shared" si="122"/>
        <v>270</v>
      </c>
      <c r="S1265" s="20"/>
      <c r="T1265" s="68"/>
      <c r="U1265" s="77"/>
      <c r="V1265" s="68"/>
      <c r="W1265" s="71"/>
      <c r="X1265" s="20"/>
    </row>
    <row r="1266">
      <c r="A1266" s="16" t="s">
        <v>284</v>
      </c>
      <c r="B1266" s="17">
        <v>45863.0</v>
      </c>
      <c r="C1266" s="16" t="s">
        <v>316</v>
      </c>
      <c r="D1266" s="16" t="s">
        <v>519</v>
      </c>
      <c r="E1266" s="73">
        <v>45873.0</v>
      </c>
      <c r="F1266" s="17"/>
      <c r="G1266" s="17"/>
      <c r="H1266" s="10"/>
      <c r="J1266" s="16" t="s">
        <v>43</v>
      </c>
      <c r="K1266" s="16" t="s">
        <v>33</v>
      </c>
      <c r="L1266" s="31">
        <v>500.0</v>
      </c>
      <c r="N1266" s="16"/>
      <c r="O1266" s="16"/>
      <c r="P1266" s="10" t="s">
        <v>34</v>
      </c>
      <c r="Q1266" s="17">
        <f t="shared" si="120"/>
        <v>45863</v>
      </c>
      <c r="R1266" s="18">
        <f t="shared" si="122"/>
        <v>150</v>
      </c>
      <c r="S1266" s="20"/>
      <c r="T1266" s="68"/>
      <c r="U1266" s="77"/>
      <c r="V1266" s="68"/>
      <c r="W1266" s="71"/>
      <c r="X1266" s="20"/>
    </row>
    <row r="1267">
      <c r="A1267" s="16" t="s">
        <v>213</v>
      </c>
      <c r="B1267" s="17">
        <v>45862.0</v>
      </c>
      <c r="C1267" s="16" t="s">
        <v>316</v>
      </c>
      <c r="D1267" s="16" t="s">
        <v>519</v>
      </c>
      <c r="E1267" s="73">
        <v>45873.0</v>
      </c>
      <c r="F1267" s="17"/>
      <c r="G1267" s="17"/>
      <c r="H1267" s="10"/>
      <c r="J1267" s="16" t="s">
        <v>43</v>
      </c>
      <c r="K1267" s="16" t="s">
        <v>33</v>
      </c>
      <c r="L1267" s="31">
        <v>350.0</v>
      </c>
      <c r="N1267" s="16"/>
      <c r="O1267" s="16"/>
      <c r="P1267" s="10" t="s">
        <v>34</v>
      </c>
      <c r="Q1267" s="17">
        <f t="shared" si="120"/>
        <v>45862</v>
      </c>
      <c r="R1267" s="18">
        <f t="shared" si="122"/>
        <v>105</v>
      </c>
      <c r="S1267" s="20"/>
      <c r="T1267" s="68"/>
      <c r="U1267" s="77"/>
      <c r="V1267" s="68"/>
      <c r="W1267" s="71"/>
      <c r="X1267" s="20"/>
    </row>
    <row r="1268" hidden="1">
      <c r="A1268" s="16" t="s">
        <v>89</v>
      </c>
      <c r="B1268" s="17">
        <v>45820.0</v>
      </c>
      <c r="C1268" s="16" t="s">
        <v>781</v>
      </c>
      <c r="E1268" s="17"/>
      <c r="F1268" s="17"/>
      <c r="G1268" s="17"/>
      <c r="H1268" s="10" t="s">
        <v>31</v>
      </c>
      <c r="I1268" s="16" t="s">
        <v>1132</v>
      </c>
      <c r="J1268" s="16" t="s">
        <v>43</v>
      </c>
      <c r="K1268" s="23" t="s">
        <v>33</v>
      </c>
      <c r="L1268" s="31">
        <v>150.0</v>
      </c>
      <c r="N1268" s="16"/>
      <c r="O1268" s="16"/>
      <c r="P1268" s="16" t="s">
        <v>34</v>
      </c>
      <c r="Q1268" s="17">
        <f t="shared" si="120"/>
        <v>45820</v>
      </c>
      <c r="R1268" s="18">
        <f t="shared" si="122"/>
        <v>45</v>
      </c>
      <c r="S1268" s="20"/>
      <c r="T1268" s="68"/>
      <c r="U1268" s="77"/>
      <c r="V1268" s="68"/>
      <c r="W1268" s="71"/>
      <c r="X1268" s="20"/>
    </row>
    <row r="1269">
      <c r="A1269" s="128" t="s">
        <v>91</v>
      </c>
      <c r="B1269" s="17">
        <v>45804.0</v>
      </c>
      <c r="C1269" s="16" t="s">
        <v>261</v>
      </c>
      <c r="D1269" s="149" t="s">
        <v>1133</v>
      </c>
      <c r="E1269" s="207">
        <v>45874.0</v>
      </c>
      <c r="F1269" s="17"/>
      <c r="G1269" s="73">
        <v>45877.0</v>
      </c>
      <c r="H1269" s="10"/>
      <c r="J1269" s="16" t="s">
        <v>43</v>
      </c>
      <c r="K1269" s="16" t="s">
        <v>33</v>
      </c>
      <c r="L1269" s="31">
        <f>2174/10</f>
        <v>217.4</v>
      </c>
      <c r="N1269" s="16"/>
      <c r="O1269" s="16"/>
      <c r="P1269" s="10" t="s">
        <v>34</v>
      </c>
      <c r="Q1269" s="17">
        <f t="shared" si="120"/>
        <v>45804</v>
      </c>
      <c r="R1269" s="18">
        <f t="shared" si="122"/>
        <v>65.22</v>
      </c>
      <c r="S1269" s="20"/>
      <c r="T1269" s="68" t="str">
        <f>VLOOKUP(A1269,'Calendar ID'!$A:$C,3,false)</f>
        <v>juliane.bernard57@icloud.com</v>
      </c>
      <c r="U1269" s="71" t="b">
        <v>0</v>
      </c>
      <c r="V1269" s="68" t="str">
        <f>VLOOKUP($A1269,'Calendar ID'!$A:$C,2,false)</f>
        <v>c_f6970d92e9be72b1307e3c015a265d69ae87140c691e7728bc83462544d82455@group.calendar.google.com</v>
      </c>
      <c r="W1269" s="71" t="b">
        <v>0</v>
      </c>
      <c r="X1269" s="68" t="str">
        <f>VLOOKUP($A1269,'Calendar ID'!$A:$C,2,false)</f>
        <v>c_f6970d92e9be72b1307e3c015a265d69ae87140c691e7728bc83462544d82455@group.calendar.google.com</v>
      </c>
    </row>
    <row r="1270">
      <c r="A1270" s="16" t="s">
        <v>237</v>
      </c>
      <c r="B1270" s="17">
        <v>45825.0</v>
      </c>
      <c r="C1270" s="16" t="s">
        <v>79</v>
      </c>
      <c r="D1270" s="7" t="s">
        <v>487</v>
      </c>
      <c r="E1270" s="73">
        <v>45874.0</v>
      </c>
      <c r="F1270" s="17"/>
      <c r="G1270" s="139">
        <v>45883.0</v>
      </c>
      <c r="H1270" s="10"/>
      <c r="I1270" s="16"/>
      <c r="J1270" s="16" t="s">
        <v>43</v>
      </c>
      <c r="K1270" s="23" t="s">
        <v>33</v>
      </c>
      <c r="L1270" s="31">
        <f>800/3</f>
        <v>266.6666667</v>
      </c>
      <c r="N1270" s="16"/>
      <c r="O1270" s="16"/>
      <c r="P1270" s="16" t="s">
        <v>34</v>
      </c>
      <c r="Q1270" s="17">
        <f t="shared" si="120"/>
        <v>45825</v>
      </c>
      <c r="R1270" s="18">
        <f t="shared" si="122"/>
        <v>80</v>
      </c>
      <c r="S1270" s="20"/>
      <c r="T1270" s="68"/>
      <c r="U1270" s="77"/>
      <c r="V1270" s="68"/>
      <c r="W1270" s="71"/>
      <c r="X1270" s="20"/>
    </row>
    <row r="1271">
      <c r="A1271" s="16" t="s">
        <v>213</v>
      </c>
      <c r="B1271" s="17">
        <v>45839.0</v>
      </c>
      <c r="C1271" s="16" t="s">
        <v>160</v>
      </c>
      <c r="E1271" s="73">
        <v>45874.0</v>
      </c>
      <c r="F1271" s="17"/>
      <c r="G1271" s="139">
        <v>45883.0</v>
      </c>
      <c r="H1271" s="10"/>
      <c r="J1271" s="16" t="s">
        <v>43</v>
      </c>
      <c r="K1271" s="23" t="s">
        <v>33</v>
      </c>
      <c r="L1271" s="31">
        <v>3000.0</v>
      </c>
      <c r="N1271" s="16"/>
      <c r="O1271" s="16"/>
      <c r="P1271" s="16" t="s">
        <v>34</v>
      </c>
      <c r="Q1271" s="17">
        <f t="shared" si="120"/>
        <v>45839</v>
      </c>
      <c r="R1271" s="18">
        <f t="shared" si="122"/>
        <v>900</v>
      </c>
      <c r="S1271" s="20"/>
      <c r="T1271" s="68"/>
      <c r="U1271" s="77"/>
      <c r="V1271" s="68"/>
      <c r="W1271" s="71"/>
      <c r="X1271" s="20"/>
    </row>
    <row r="1272">
      <c r="A1272" s="16" t="s">
        <v>260</v>
      </c>
      <c r="B1272" s="17">
        <v>45784.0</v>
      </c>
      <c r="C1272" s="16" t="s">
        <v>261</v>
      </c>
      <c r="D1272" s="7" t="s">
        <v>1134</v>
      </c>
      <c r="E1272" s="73">
        <v>45874.0</v>
      </c>
      <c r="F1272" s="17"/>
      <c r="G1272" s="17">
        <v>45893.0</v>
      </c>
      <c r="H1272" s="23"/>
      <c r="I1272" s="16" t="s">
        <v>262</v>
      </c>
      <c r="J1272" s="7" t="s">
        <v>43</v>
      </c>
      <c r="K1272" s="7" t="s">
        <v>33</v>
      </c>
      <c r="L1272" s="31">
        <v>300.0</v>
      </c>
      <c r="N1272" s="16"/>
      <c r="O1272" s="16"/>
      <c r="P1272" s="23" t="s">
        <v>34</v>
      </c>
      <c r="Q1272" s="17">
        <f t="shared" si="120"/>
        <v>45784</v>
      </c>
      <c r="R1272" s="18">
        <f t="shared" si="122"/>
        <v>90</v>
      </c>
      <c r="S1272" s="20"/>
      <c r="T1272" s="68" t="str">
        <f>VLOOKUP(A1272,'Calendar ID'!$A:$C,3,false)</f>
        <v>asmae-nemar@hotmail.fr </v>
      </c>
      <c r="U1272" s="71" t="b">
        <v>0</v>
      </c>
      <c r="V1272" s="68" t="str">
        <f>VLOOKUP($A1272,'Calendar ID'!$A:$C,2,false)</f>
        <v>c_35f3aada7c9c0ba626ac56e6cf10c5959c56663450ffd058a5bdc005508d0954@group.calendar.google.com</v>
      </c>
      <c r="W1272" s="71" t="b">
        <v>0</v>
      </c>
      <c r="X1272" s="68" t="str">
        <f>VLOOKUP($A1272,'Calendar ID'!$A:$C,2,false)</f>
        <v>c_35f3aada7c9c0ba626ac56e6cf10c5959c56663450ffd058a5bdc005508d0954@group.calendar.google.com</v>
      </c>
    </row>
    <row r="1273">
      <c r="A1273" s="16" t="s">
        <v>290</v>
      </c>
      <c r="B1273" s="17">
        <v>45812.0</v>
      </c>
      <c r="C1273" s="16" t="s">
        <v>261</v>
      </c>
      <c r="D1273" s="7"/>
      <c r="E1273" s="73">
        <v>45874.0</v>
      </c>
      <c r="F1273" s="17"/>
      <c r="G1273" s="17"/>
      <c r="H1273" s="10"/>
      <c r="J1273" s="16" t="s">
        <v>43</v>
      </c>
      <c r="K1273" s="16" t="s">
        <v>33</v>
      </c>
      <c r="L1273" s="31">
        <v>700.0</v>
      </c>
      <c r="N1273" s="16"/>
      <c r="O1273" s="16"/>
      <c r="P1273" s="10" t="s">
        <v>34</v>
      </c>
      <c r="Q1273" s="17">
        <f t="shared" si="120"/>
        <v>45812</v>
      </c>
      <c r="R1273" s="18">
        <f t="shared" si="122"/>
        <v>210</v>
      </c>
      <c r="S1273" s="20"/>
      <c r="T1273" s="68" t="str">
        <f>VLOOKUP(A1273,'Calendar ID'!$A:$C,3,false)</f>
        <v>hello.gurbet@gmail.com </v>
      </c>
      <c r="U1273" s="71" t="b">
        <v>0</v>
      </c>
      <c r="V1273" s="68" t="str">
        <f>VLOOKUP($A1273,'Calendar ID'!$A:$C,2,false)</f>
        <v>c_db1fbd259183311b30d5bfa9e5494d85e4aa71562c2d699763ba11e15f3e8a3b@group.calendar.google.com</v>
      </c>
      <c r="W1273" s="71" t="b">
        <v>0</v>
      </c>
      <c r="X1273" s="68" t="str">
        <f>VLOOKUP($A1273,'Calendar ID'!$A:$C,2,false)</f>
        <v>c_db1fbd259183311b30d5bfa9e5494d85e4aa71562c2d699763ba11e15f3e8a3b@group.calendar.google.com</v>
      </c>
    </row>
    <row r="1274">
      <c r="A1274" s="128" t="s">
        <v>91</v>
      </c>
      <c r="B1274" s="17">
        <v>45804.0</v>
      </c>
      <c r="C1274" s="16" t="s">
        <v>261</v>
      </c>
      <c r="D1274" s="149" t="s">
        <v>1135</v>
      </c>
      <c r="E1274" s="207">
        <v>45879.0</v>
      </c>
      <c r="F1274" s="17"/>
      <c r="G1274" s="139">
        <v>45882.0</v>
      </c>
      <c r="H1274" s="10"/>
      <c r="J1274" s="16" t="s">
        <v>43</v>
      </c>
      <c r="K1274" s="16" t="s">
        <v>33</v>
      </c>
      <c r="L1274" s="31">
        <f>2174/10</f>
        <v>217.4</v>
      </c>
      <c r="N1274" s="16"/>
      <c r="O1274" s="16"/>
      <c r="P1274" s="10" t="s">
        <v>34</v>
      </c>
      <c r="Q1274" s="17">
        <f t="shared" si="120"/>
        <v>45804</v>
      </c>
      <c r="R1274" s="18">
        <f t="shared" si="122"/>
        <v>65.22</v>
      </c>
      <c r="S1274" s="20"/>
      <c r="T1274" s="68" t="str">
        <f>VLOOKUP(A1274,'Calendar ID'!$A:$C,3,false)</f>
        <v>juliane.bernard57@icloud.com</v>
      </c>
      <c r="U1274" s="71" t="b">
        <v>0</v>
      </c>
      <c r="V1274" s="68" t="str">
        <f>VLOOKUP($A1274,'Calendar ID'!$A:$C,2,false)</f>
        <v>c_f6970d92e9be72b1307e3c015a265d69ae87140c691e7728bc83462544d82455@group.calendar.google.com</v>
      </c>
      <c r="W1274" s="71" t="b">
        <v>0</v>
      </c>
      <c r="X1274" s="68" t="str">
        <f>VLOOKUP($A1274,'Calendar ID'!$A:$C,2,false)</f>
        <v>c_f6970d92e9be72b1307e3c015a265d69ae87140c691e7728bc83462544d82455@group.calendar.google.com</v>
      </c>
    </row>
    <row r="1275">
      <c r="A1275" s="16" t="s">
        <v>76</v>
      </c>
      <c r="B1275" s="17">
        <v>45866.0</v>
      </c>
      <c r="C1275" s="16" t="s">
        <v>191</v>
      </c>
      <c r="E1275" s="73">
        <v>45879.0</v>
      </c>
      <c r="F1275" s="17"/>
      <c r="G1275" s="17">
        <v>45903.0</v>
      </c>
      <c r="H1275" s="10"/>
      <c r="J1275" s="16" t="s">
        <v>43</v>
      </c>
      <c r="K1275" s="23" t="s">
        <v>33</v>
      </c>
      <c r="L1275" s="31">
        <v>4500.0</v>
      </c>
      <c r="N1275" s="16"/>
      <c r="O1275" s="16"/>
      <c r="P1275" s="10" t="s">
        <v>34</v>
      </c>
      <c r="Q1275" s="17">
        <f t="shared" si="120"/>
        <v>45866</v>
      </c>
      <c r="R1275" s="18">
        <f t="shared" si="122"/>
        <v>1350</v>
      </c>
      <c r="S1275" s="20"/>
      <c r="T1275" s="68"/>
      <c r="U1275" s="77"/>
      <c r="V1275" s="68"/>
      <c r="W1275" s="71"/>
      <c r="X1275" s="20"/>
    </row>
    <row r="1276">
      <c r="A1276" s="16" t="s">
        <v>213</v>
      </c>
      <c r="B1276" s="17">
        <v>45826.0</v>
      </c>
      <c r="C1276" s="16" t="s">
        <v>79</v>
      </c>
      <c r="D1276" s="16" t="s">
        <v>1136</v>
      </c>
      <c r="E1276" s="139">
        <f>G1276-7</f>
        <v>45883</v>
      </c>
      <c r="F1276" s="17"/>
      <c r="G1276" s="17">
        <v>45890.0</v>
      </c>
      <c r="H1276" s="10"/>
      <c r="J1276" s="16" t="s">
        <v>43</v>
      </c>
      <c r="K1276" s="23" t="s">
        <v>33</v>
      </c>
      <c r="L1276" s="31">
        <f>3000/5</f>
        <v>600</v>
      </c>
      <c r="N1276" s="16"/>
      <c r="O1276" s="16"/>
      <c r="P1276" s="16" t="s">
        <v>34</v>
      </c>
      <c r="Q1276" s="17">
        <f t="shared" si="120"/>
        <v>45826</v>
      </c>
      <c r="R1276" s="18">
        <f t="shared" si="122"/>
        <v>180</v>
      </c>
      <c r="S1276" s="20"/>
      <c r="T1276" s="68"/>
      <c r="U1276" s="77"/>
      <c r="V1276" s="68"/>
      <c r="W1276" s="71"/>
      <c r="X1276" s="20"/>
    </row>
    <row r="1277">
      <c r="A1277" s="128" t="s">
        <v>364</v>
      </c>
      <c r="B1277" s="17">
        <v>45754.0</v>
      </c>
      <c r="C1277" s="16" t="s">
        <v>86</v>
      </c>
      <c r="E1277" s="17">
        <v>45887.0</v>
      </c>
      <c r="F1277" s="17"/>
      <c r="G1277" s="17"/>
      <c r="H1277" s="10"/>
      <c r="I1277" s="16" t="s">
        <v>1137</v>
      </c>
      <c r="J1277" s="16" t="s">
        <v>43</v>
      </c>
      <c r="K1277" s="16" t="s">
        <v>33</v>
      </c>
      <c r="L1277" s="31">
        <v>310.0</v>
      </c>
      <c r="N1277" s="16"/>
      <c r="O1277" s="16"/>
      <c r="P1277" s="10" t="s">
        <v>34</v>
      </c>
      <c r="Q1277" s="17">
        <f t="shared" si="120"/>
        <v>45754</v>
      </c>
      <c r="R1277" s="18">
        <f t="shared" si="122"/>
        <v>93</v>
      </c>
      <c r="S1277" s="20"/>
      <c r="T1277" s="68" t="str">
        <f>VLOOKUP(A1277,'Calendar ID'!$A:$C,3,false)</f>
        <v>Sirine.yza@gmail.com</v>
      </c>
      <c r="U1277" s="71" t="b">
        <v>0</v>
      </c>
      <c r="V1277" s="68" t="str">
        <f>VLOOKUP($A1277,'Calendar ID'!$A:$C,2,false)</f>
        <v>c_4bf2087a99450838a520f4ce4fc6de01f87130a4f381347449792eaf1546cc46@group.calendar.google.com</v>
      </c>
      <c r="W1277" s="71" t="b">
        <v>0</v>
      </c>
      <c r="X1277" s="68" t="str">
        <f>VLOOKUP($A1277,'Calendar ID'!$A:$C,2,false)</f>
        <v>c_4bf2087a99450838a520f4ce4fc6de01f87130a4f381347449792eaf1546cc46@group.calendar.google.com</v>
      </c>
    </row>
    <row r="1278">
      <c r="A1278" s="128" t="s">
        <v>436</v>
      </c>
      <c r="B1278" s="17">
        <v>45754.0</v>
      </c>
      <c r="C1278" s="16" t="s">
        <v>86</v>
      </c>
      <c r="E1278" s="17">
        <v>45887.0</v>
      </c>
      <c r="F1278" s="17"/>
      <c r="G1278" s="17"/>
      <c r="H1278" s="10"/>
      <c r="I1278" s="16" t="s">
        <v>1137</v>
      </c>
      <c r="J1278" s="16" t="s">
        <v>43</v>
      </c>
      <c r="K1278" s="16" t="s">
        <v>33</v>
      </c>
      <c r="L1278" s="31">
        <v>588.0</v>
      </c>
      <c r="N1278" s="16"/>
      <c r="O1278" s="16"/>
      <c r="P1278" s="10" t="s">
        <v>34</v>
      </c>
      <c r="Q1278" s="17">
        <f t="shared" si="120"/>
        <v>45754</v>
      </c>
      <c r="R1278" s="18">
        <f t="shared" si="122"/>
        <v>176.4</v>
      </c>
      <c r="S1278" s="20"/>
      <c r="T1278" s="68" t="str">
        <f>VLOOKUP(A1278,'Calendar ID'!$A:$C,3,false)</f>
        <v>#N/A</v>
      </c>
      <c r="U1278" s="71" t="b">
        <v>0</v>
      </c>
      <c r="V1278" s="68" t="str">
        <f>VLOOKUP($A1278,'Calendar ID'!$A:$C,2,false)</f>
        <v>#N/A</v>
      </c>
      <c r="W1278" s="71" t="b">
        <v>0</v>
      </c>
      <c r="X1278" s="68" t="str">
        <f>VLOOKUP($A1278,'Calendar ID'!$A:$C,2,false)</f>
        <v>#N/A</v>
      </c>
    </row>
    <row r="1279">
      <c r="A1279" s="16" t="s">
        <v>260</v>
      </c>
      <c r="B1279" s="17">
        <v>45784.0</v>
      </c>
      <c r="C1279" s="16" t="s">
        <v>261</v>
      </c>
      <c r="D1279" s="7" t="s">
        <v>1138</v>
      </c>
      <c r="E1279" s="17">
        <v>45888.0</v>
      </c>
      <c r="F1279" s="17"/>
      <c r="G1279" s="17">
        <v>45906.0</v>
      </c>
      <c r="H1279" s="23"/>
      <c r="I1279" s="16" t="s">
        <v>262</v>
      </c>
      <c r="J1279" s="7" t="s">
        <v>43</v>
      </c>
      <c r="K1279" s="7" t="s">
        <v>33</v>
      </c>
      <c r="L1279" s="31">
        <v>300.0</v>
      </c>
      <c r="N1279" s="16"/>
      <c r="O1279" s="16"/>
      <c r="P1279" s="23" t="s">
        <v>34</v>
      </c>
      <c r="Q1279" s="17">
        <f t="shared" si="120"/>
        <v>45784</v>
      </c>
      <c r="R1279" s="18">
        <f t="shared" si="122"/>
        <v>90</v>
      </c>
      <c r="S1279" s="20"/>
      <c r="T1279" s="68" t="str">
        <f>VLOOKUP(A1279,'Calendar ID'!$A:$C,3,false)</f>
        <v>asmae-nemar@hotmail.fr </v>
      </c>
      <c r="U1279" s="71" t="b">
        <v>0</v>
      </c>
      <c r="V1279" s="68" t="str">
        <f>VLOOKUP($A1279,'Calendar ID'!$A:$C,2,false)</f>
        <v>c_35f3aada7c9c0ba626ac56e6cf10c5959c56663450ffd058a5bdc005508d0954@group.calendar.google.com</v>
      </c>
      <c r="W1279" s="71" t="b">
        <v>0</v>
      </c>
      <c r="X1279" s="68" t="str">
        <f>VLOOKUP($A1279,'Calendar ID'!$A:$C,2,false)</f>
        <v>c_35f3aada7c9c0ba626ac56e6cf10c5959c56663450ffd058a5bdc005508d0954@group.calendar.google.com</v>
      </c>
    </row>
    <row r="1280">
      <c r="A1280" s="16" t="s">
        <v>436</v>
      </c>
      <c r="B1280" s="17">
        <v>45832.0</v>
      </c>
      <c r="C1280" s="16" t="s">
        <v>1139</v>
      </c>
      <c r="E1280" s="17">
        <v>45889.0</v>
      </c>
      <c r="F1280" s="17"/>
      <c r="G1280" s="17">
        <v>45901.0</v>
      </c>
      <c r="H1280" s="10"/>
      <c r="I1280" s="16" t="s">
        <v>447</v>
      </c>
      <c r="J1280" s="16" t="s">
        <v>43</v>
      </c>
      <c r="K1280" s="23" t="s">
        <v>33</v>
      </c>
      <c r="L1280" s="31">
        <v>1500.0</v>
      </c>
      <c r="N1280" s="16"/>
      <c r="O1280" s="16"/>
      <c r="P1280" s="16" t="s">
        <v>34</v>
      </c>
      <c r="Q1280" s="17">
        <f t="shared" si="120"/>
        <v>45832</v>
      </c>
      <c r="R1280" s="18">
        <f t="shared" si="122"/>
        <v>450</v>
      </c>
      <c r="S1280" s="20"/>
      <c r="T1280" s="68"/>
      <c r="U1280" s="77"/>
      <c r="V1280" s="68"/>
      <c r="W1280" s="71"/>
      <c r="X1280" s="20"/>
    </row>
    <row r="1281">
      <c r="A1281" s="16" t="s">
        <v>538</v>
      </c>
      <c r="B1281" s="17">
        <v>45859.0</v>
      </c>
      <c r="C1281" s="16" t="s">
        <v>167</v>
      </c>
      <c r="E1281" s="17">
        <v>45894.0</v>
      </c>
      <c r="F1281" s="17"/>
      <c r="G1281" s="17">
        <v>45901.0</v>
      </c>
      <c r="H1281" s="10" t="s">
        <v>1130</v>
      </c>
      <c r="I1281" s="16" t="s">
        <v>447</v>
      </c>
      <c r="L1281" s="31"/>
      <c r="N1281" s="16"/>
      <c r="O1281" s="16"/>
      <c r="P1281" s="23"/>
      <c r="Q1281" s="17"/>
      <c r="R1281" s="15"/>
      <c r="S1281" s="20"/>
      <c r="T1281" s="68"/>
      <c r="U1281" s="77"/>
      <c r="V1281" s="68"/>
      <c r="W1281" s="71"/>
      <c r="X1281" s="20"/>
    </row>
    <row r="1282">
      <c r="A1282" s="16" t="s">
        <v>601</v>
      </c>
      <c r="B1282" s="17">
        <v>45820.0</v>
      </c>
      <c r="C1282" s="16" t="s">
        <v>502</v>
      </c>
      <c r="E1282" s="17">
        <v>45901.0</v>
      </c>
      <c r="F1282" s="17"/>
      <c r="G1282" s="17">
        <v>45908.0</v>
      </c>
      <c r="H1282" s="10" t="s">
        <v>1130</v>
      </c>
      <c r="I1282" s="16" t="s">
        <v>1140</v>
      </c>
      <c r="J1282" s="16" t="s">
        <v>43</v>
      </c>
      <c r="K1282" s="23" t="s">
        <v>33</v>
      </c>
      <c r="L1282" s="31">
        <v>500.0</v>
      </c>
      <c r="N1282" s="16"/>
      <c r="O1282" s="16"/>
      <c r="P1282" s="16" t="s">
        <v>34</v>
      </c>
      <c r="Q1282" s="17">
        <f t="shared" ref="Q1282:Q1286" si="123">B1282</f>
        <v>45820</v>
      </c>
      <c r="R1282" s="18">
        <f t="shared" ref="R1282:R1286" si="124">L1282*0.3</f>
        <v>150</v>
      </c>
      <c r="S1282" s="20"/>
      <c r="T1282" s="68"/>
      <c r="U1282" s="77"/>
      <c r="V1282" s="68"/>
      <c r="W1282" s="71"/>
      <c r="X1282" s="20"/>
    </row>
    <row r="1283">
      <c r="A1283" s="16" t="s">
        <v>260</v>
      </c>
      <c r="B1283" s="17">
        <v>45784.0</v>
      </c>
      <c r="C1283" s="16" t="s">
        <v>261</v>
      </c>
      <c r="D1283" s="7" t="s">
        <v>1141</v>
      </c>
      <c r="E1283" s="17">
        <v>45901.0</v>
      </c>
      <c r="F1283" s="17"/>
      <c r="G1283" s="17">
        <v>45919.0</v>
      </c>
      <c r="H1283" s="23"/>
      <c r="I1283" s="16" t="s">
        <v>262</v>
      </c>
      <c r="J1283" s="7" t="s">
        <v>43</v>
      </c>
      <c r="K1283" s="7" t="s">
        <v>33</v>
      </c>
      <c r="L1283" s="31">
        <v>300.0</v>
      </c>
      <c r="N1283" s="16"/>
      <c r="O1283" s="16"/>
      <c r="P1283" s="23" t="s">
        <v>34</v>
      </c>
      <c r="Q1283" s="17">
        <f t="shared" si="123"/>
        <v>45784</v>
      </c>
      <c r="R1283" s="18">
        <f t="shared" si="124"/>
        <v>90</v>
      </c>
      <c r="S1283" s="20"/>
      <c r="T1283" s="68" t="str">
        <f>VLOOKUP(A1283,'Calendar ID'!$A:$C,3,false)</f>
        <v>asmae-nemar@hotmail.fr </v>
      </c>
      <c r="U1283" s="71" t="b">
        <v>0</v>
      </c>
      <c r="V1283" s="68" t="str">
        <f>VLOOKUP($A1283,'Calendar ID'!$A:$C,2,false)</f>
        <v>c_35f3aada7c9c0ba626ac56e6cf10c5959c56663450ffd058a5bdc005508d0954@group.calendar.google.com</v>
      </c>
      <c r="W1283" s="71" t="b">
        <v>0</v>
      </c>
      <c r="X1283" s="68" t="str">
        <f>VLOOKUP($A1283,'Calendar ID'!$A:$C,2,false)</f>
        <v>c_35f3aada7c9c0ba626ac56e6cf10c5959c56663450ffd058a5bdc005508d0954@group.calendar.google.com</v>
      </c>
    </row>
    <row r="1284">
      <c r="A1284" s="16" t="s">
        <v>213</v>
      </c>
      <c r="B1284" s="17">
        <v>45826.0</v>
      </c>
      <c r="C1284" s="16" t="s">
        <v>79</v>
      </c>
      <c r="D1284" s="16" t="s">
        <v>1142</v>
      </c>
      <c r="E1284" s="17">
        <f>G1284-7</f>
        <v>45902</v>
      </c>
      <c r="F1284" s="17"/>
      <c r="G1284" s="17">
        <v>45909.0</v>
      </c>
      <c r="H1284" s="10"/>
      <c r="J1284" s="16" t="s">
        <v>43</v>
      </c>
      <c r="K1284" s="23" t="s">
        <v>33</v>
      </c>
      <c r="L1284" s="31">
        <f>3000/5</f>
        <v>600</v>
      </c>
      <c r="N1284" s="16"/>
      <c r="O1284" s="16"/>
      <c r="P1284" s="16" t="s">
        <v>34</v>
      </c>
      <c r="Q1284" s="17">
        <f t="shared" si="123"/>
        <v>45826</v>
      </c>
      <c r="R1284" s="18">
        <f t="shared" si="124"/>
        <v>180</v>
      </c>
      <c r="S1284" s="20"/>
      <c r="T1284" s="68"/>
      <c r="U1284" s="77"/>
      <c r="V1284" s="68"/>
      <c r="W1284" s="71"/>
      <c r="X1284" s="20"/>
    </row>
    <row r="1285">
      <c r="A1285" s="16" t="s">
        <v>260</v>
      </c>
      <c r="B1285" s="17">
        <v>45784.0</v>
      </c>
      <c r="C1285" s="16" t="s">
        <v>261</v>
      </c>
      <c r="D1285" s="7" t="s">
        <v>1143</v>
      </c>
      <c r="E1285" s="17">
        <v>45914.0</v>
      </c>
      <c r="F1285" s="17"/>
      <c r="G1285" s="17">
        <v>45933.0</v>
      </c>
      <c r="H1285" s="23"/>
      <c r="I1285" s="16" t="s">
        <v>262</v>
      </c>
      <c r="J1285" s="7" t="s">
        <v>43</v>
      </c>
      <c r="K1285" s="7" t="s">
        <v>33</v>
      </c>
      <c r="L1285" s="31">
        <v>300.0</v>
      </c>
      <c r="N1285" s="16"/>
      <c r="O1285" s="16"/>
      <c r="P1285" s="23" t="s">
        <v>34</v>
      </c>
      <c r="Q1285" s="17">
        <f t="shared" si="123"/>
        <v>45784</v>
      </c>
      <c r="R1285" s="18">
        <f t="shared" si="124"/>
        <v>90</v>
      </c>
      <c r="S1285" s="20"/>
      <c r="T1285" s="68" t="str">
        <f>VLOOKUP(A1285,'Calendar ID'!$A:$C,3,false)</f>
        <v>asmae-nemar@hotmail.fr </v>
      </c>
      <c r="U1285" s="71" t="b">
        <v>0</v>
      </c>
      <c r="V1285" s="68" t="str">
        <f>VLOOKUP($A1285,'Calendar ID'!$A:$C,2,false)</f>
        <v>c_35f3aada7c9c0ba626ac56e6cf10c5959c56663450ffd058a5bdc005508d0954@group.calendar.google.com</v>
      </c>
      <c r="W1285" s="71" t="b">
        <v>0</v>
      </c>
      <c r="X1285" s="68" t="str">
        <f>VLOOKUP($A1285,'Calendar ID'!$A:$C,2,false)</f>
        <v>c_35f3aada7c9c0ba626ac56e6cf10c5959c56663450ffd058a5bdc005508d0954@group.calendar.google.com</v>
      </c>
    </row>
    <row r="1286">
      <c r="A1286" s="16" t="s">
        <v>260</v>
      </c>
      <c r="B1286" s="17">
        <v>45784.0</v>
      </c>
      <c r="C1286" s="16" t="s">
        <v>261</v>
      </c>
      <c r="D1286" s="7" t="s">
        <v>1144</v>
      </c>
      <c r="E1286" s="17">
        <v>45928.0</v>
      </c>
      <c r="F1286" s="17"/>
      <c r="G1286" s="17">
        <v>45945.0</v>
      </c>
      <c r="H1286" s="23"/>
      <c r="I1286" s="16" t="s">
        <v>262</v>
      </c>
      <c r="J1286" s="7" t="s">
        <v>43</v>
      </c>
      <c r="K1286" s="7" t="s">
        <v>33</v>
      </c>
      <c r="L1286" s="31">
        <v>300.0</v>
      </c>
      <c r="N1286" s="16"/>
      <c r="O1286" s="16"/>
      <c r="P1286" s="23" t="s">
        <v>34</v>
      </c>
      <c r="Q1286" s="17">
        <f t="shared" si="123"/>
        <v>45784</v>
      </c>
      <c r="R1286" s="18">
        <f t="shared" si="124"/>
        <v>90</v>
      </c>
      <c r="S1286" s="20"/>
      <c r="T1286" s="68" t="str">
        <f>VLOOKUP(A1286,'Calendar ID'!$A:$C,3,false)</f>
        <v>asmae-nemar@hotmail.fr </v>
      </c>
      <c r="U1286" s="71" t="b">
        <v>0</v>
      </c>
      <c r="V1286" s="68" t="str">
        <f>VLOOKUP($A1286,'Calendar ID'!$A:$C,2,false)</f>
        <v>c_35f3aada7c9c0ba626ac56e6cf10c5959c56663450ffd058a5bdc005508d0954@group.calendar.google.com</v>
      </c>
      <c r="W1286" s="71" t="b">
        <v>0</v>
      </c>
      <c r="X1286" s="68" t="str">
        <f>VLOOKUP($A1286,'Calendar ID'!$A:$C,2,false)</f>
        <v>c_35f3aada7c9c0ba626ac56e6cf10c5959c56663450ffd058a5bdc005508d0954@group.calendar.google.com</v>
      </c>
    </row>
    <row r="1287">
      <c r="A1287" s="16" t="s">
        <v>260</v>
      </c>
      <c r="B1287" s="17"/>
      <c r="C1287" s="16" t="s">
        <v>261</v>
      </c>
      <c r="D1287" s="10" t="s">
        <v>1145</v>
      </c>
      <c r="E1287" s="17">
        <v>45940.0</v>
      </c>
      <c r="F1287" s="17"/>
      <c r="G1287" s="17"/>
      <c r="H1287" s="23"/>
      <c r="I1287" s="16"/>
      <c r="J1287" s="7"/>
      <c r="K1287" s="7"/>
      <c r="L1287" s="31"/>
      <c r="N1287" s="16"/>
      <c r="O1287" s="16"/>
      <c r="P1287" s="23"/>
      <c r="Q1287" s="17"/>
      <c r="S1287" s="20"/>
      <c r="T1287" s="68"/>
      <c r="U1287" s="71" t="b">
        <v>0</v>
      </c>
      <c r="V1287" s="68"/>
      <c r="W1287" s="71" t="b">
        <v>0</v>
      </c>
      <c r="X1287" s="68"/>
    </row>
    <row r="1288">
      <c r="A1288" s="16" t="s">
        <v>213</v>
      </c>
      <c r="B1288" s="17">
        <v>45824.0</v>
      </c>
      <c r="C1288" s="16" t="s">
        <v>516</v>
      </c>
      <c r="E1288" s="17"/>
      <c r="F1288" s="61">
        <v>45839.0</v>
      </c>
      <c r="G1288" s="72">
        <v>45869.0</v>
      </c>
      <c r="H1288" s="10"/>
      <c r="J1288" s="16" t="s">
        <v>43</v>
      </c>
      <c r="K1288" s="23" t="s">
        <v>33</v>
      </c>
      <c r="L1288" s="31">
        <v>2000.0</v>
      </c>
      <c r="N1288" s="16"/>
      <c r="O1288" s="16"/>
      <c r="P1288" s="16" t="s">
        <v>34</v>
      </c>
      <c r="Q1288" s="17">
        <f>B1288</f>
        <v>45824</v>
      </c>
      <c r="R1288" s="18">
        <f>L1288*0.3</f>
        <v>600</v>
      </c>
      <c r="S1288" s="20"/>
      <c r="T1288" s="68"/>
      <c r="U1288" s="77"/>
      <c r="V1288" s="68"/>
      <c r="W1288" s="71"/>
      <c r="X1288" s="20"/>
    </row>
    <row r="1289">
      <c r="A1289" s="16" t="s">
        <v>213</v>
      </c>
      <c r="B1289" s="17">
        <v>45852.0</v>
      </c>
      <c r="C1289" s="16" t="s">
        <v>1146</v>
      </c>
      <c r="E1289" s="17"/>
      <c r="F1289" s="17"/>
      <c r="G1289" s="72">
        <v>45869.0</v>
      </c>
      <c r="H1289" s="10"/>
      <c r="I1289" s="10" t="s">
        <v>1147</v>
      </c>
      <c r="L1289" s="31"/>
      <c r="N1289" s="16"/>
      <c r="O1289" s="16"/>
      <c r="P1289" s="23"/>
      <c r="Q1289" s="17"/>
      <c r="R1289" s="15"/>
      <c r="S1289" s="20"/>
      <c r="T1289" s="68"/>
      <c r="U1289" s="77"/>
      <c r="V1289" s="68"/>
      <c r="W1289" s="71"/>
      <c r="X1289" s="20"/>
    </row>
    <row r="1290">
      <c r="A1290" s="16" t="s">
        <v>1148</v>
      </c>
      <c r="B1290" s="17">
        <v>45852.0</v>
      </c>
      <c r="C1290" s="16" t="s">
        <v>1146</v>
      </c>
      <c r="E1290" s="17"/>
      <c r="F1290" s="17"/>
      <c r="G1290" s="72">
        <v>45869.0</v>
      </c>
      <c r="H1290" s="10"/>
      <c r="I1290" s="10" t="s">
        <v>1149</v>
      </c>
      <c r="L1290" s="31"/>
      <c r="N1290" s="16"/>
      <c r="O1290" s="16"/>
      <c r="P1290" s="23"/>
      <c r="Q1290" s="17"/>
      <c r="R1290" s="15"/>
      <c r="S1290" s="20"/>
      <c r="T1290" s="68"/>
      <c r="U1290" s="77"/>
      <c r="V1290" s="68"/>
      <c r="W1290" s="71"/>
      <c r="X1290" s="20"/>
    </row>
    <row r="1291">
      <c r="A1291" s="16" t="s">
        <v>1150</v>
      </c>
      <c r="B1291" s="17">
        <v>45852.0</v>
      </c>
      <c r="C1291" s="16" t="s">
        <v>1146</v>
      </c>
      <c r="E1291" s="17"/>
      <c r="F1291" s="17"/>
      <c r="G1291" s="72">
        <v>45869.0</v>
      </c>
      <c r="H1291" s="10"/>
      <c r="I1291" s="10" t="s">
        <v>1147</v>
      </c>
      <c r="L1291" s="31"/>
      <c r="N1291" s="16"/>
      <c r="O1291" s="16"/>
      <c r="P1291" s="23"/>
      <c r="Q1291" s="17"/>
      <c r="R1291" s="15"/>
      <c r="S1291" s="20"/>
      <c r="T1291" s="68"/>
      <c r="U1291" s="77"/>
      <c r="V1291" s="68"/>
      <c r="W1291" s="71"/>
      <c r="X1291" s="20"/>
    </row>
    <row r="1292">
      <c r="A1292" s="16" t="s">
        <v>611</v>
      </c>
      <c r="B1292" s="17">
        <v>45852.0</v>
      </c>
      <c r="C1292" s="16" t="s">
        <v>1146</v>
      </c>
      <c r="E1292" s="17"/>
      <c r="F1292" s="17"/>
      <c r="G1292" s="72">
        <v>45869.0</v>
      </c>
      <c r="H1292" s="10"/>
      <c r="I1292" s="10" t="s">
        <v>1147</v>
      </c>
      <c r="L1292" s="31"/>
      <c r="N1292" s="16"/>
      <c r="O1292" s="16"/>
      <c r="P1292" s="23"/>
      <c r="Q1292" s="17"/>
      <c r="R1292" s="15"/>
      <c r="S1292" s="20"/>
      <c r="T1292" s="68"/>
      <c r="U1292" s="77"/>
      <c r="V1292" s="68"/>
      <c r="W1292" s="71"/>
      <c r="X1292" s="20"/>
    </row>
    <row r="1293">
      <c r="A1293" s="16" t="s">
        <v>1151</v>
      </c>
      <c r="B1293" s="17">
        <v>45852.0</v>
      </c>
      <c r="C1293" s="16" t="s">
        <v>1146</v>
      </c>
      <c r="E1293" s="17"/>
      <c r="F1293" s="17"/>
      <c r="G1293" s="72">
        <v>45869.0</v>
      </c>
      <c r="H1293" s="10"/>
      <c r="I1293" s="10" t="s">
        <v>1147</v>
      </c>
      <c r="L1293" s="31"/>
      <c r="N1293" s="16"/>
      <c r="O1293" s="16"/>
      <c r="P1293" s="23"/>
      <c r="Q1293" s="17"/>
      <c r="R1293" s="15"/>
      <c r="S1293" s="20"/>
      <c r="T1293" s="68"/>
      <c r="U1293" s="77"/>
      <c r="V1293" s="68"/>
      <c r="W1293" s="71"/>
      <c r="X1293" s="20"/>
    </row>
    <row r="1294">
      <c r="A1294" s="16" t="s">
        <v>29</v>
      </c>
      <c r="B1294" s="17">
        <v>45852.0</v>
      </c>
      <c r="C1294" s="16" t="s">
        <v>1146</v>
      </c>
      <c r="E1294" s="17"/>
      <c r="F1294" s="17"/>
      <c r="G1294" s="72">
        <v>45869.0</v>
      </c>
      <c r="H1294" s="10"/>
      <c r="I1294" s="10" t="s">
        <v>1152</v>
      </c>
      <c r="L1294" s="31"/>
      <c r="N1294" s="16"/>
      <c r="O1294" s="16"/>
      <c r="P1294" s="23"/>
      <c r="Q1294" s="17"/>
      <c r="R1294" s="15"/>
      <c r="S1294" s="20"/>
      <c r="T1294" s="68"/>
      <c r="U1294" s="77"/>
      <c r="V1294" s="68"/>
      <c r="W1294" s="71"/>
      <c r="X1294" s="20"/>
    </row>
    <row r="1295">
      <c r="A1295" s="16" t="s">
        <v>157</v>
      </c>
      <c r="B1295" s="17">
        <v>45852.0</v>
      </c>
      <c r="C1295" s="16" t="s">
        <v>1146</v>
      </c>
      <c r="E1295" s="17"/>
      <c r="F1295" s="17"/>
      <c r="G1295" s="72">
        <v>45869.0</v>
      </c>
      <c r="H1295" s="10"/>
      <c r="I1295" s="10" t="s">
        <v>1147</v>
      </c>
      <c r="L1295" s="31"/>
      <c r="N1295" s="16"/>
      <c r="O1295" s="16"/>
      <c r="P1295" s="23"/>
      <c r="Q1295" s="17"/>
      <c r="R1295" s="15"/>
      <c r="S1295" s="20"/>
      <c r="T1295" s="68"/>
      <c r="U1295" s="77"/>
      <c r="V1295" s="68"/>
      <c r="W1295" s="71"/>
      <c r="X1295" s="20"/>
    </row>
    <row r="1296">
      <c r="A1296" s="16" t="s">
        <v>348</v>
      </c>
      <c r="B1296" s="17">
        <v>45852.0</v>
      </c>
      <c r="C1296" s="16" t="s">
        <v>1146</v>
      </c>
      <c r="E1296" s="17"/>
      <c r="F1296" s="17"/>
      <c r="G1296" s="72">
        <v>45869.0</v>
      </c>
      <c r="H1296" s="10"/>
      <c r="I1296" s="10" t="s">
        <v>1147</v>
      </c>
      <c r="L1296" s="31"/>
      <c r="N1296" s="16"/>
      <c r="O1296" s="16"/>
      <c r="P1296" s="23"/>
      <c r="Q1296" s="17"/>
      <c r="R1296" s="15"/>
      <c r="S1296" s="20"/>
      <c r="T1296" s="68"/>
      <c r="U1296" s="77"/>
      <c r="V1296" s="68"/>
      <c r="W1296" s="71"/>
      <c r="X1296" s="20"/>
    </row>
    <row r="1297">
      <c r="A1297" s="16" t="s">
        <v>45</v>
      </c>
      <c r="B1297" s="17">
        <v>45863.0</v>
      </c>
      <c r="C1297" s="16" t="s">
        <v>1110</v>
      </c>
      <c r="E1297" s="17"/>
      <c r="F1297" s="17"/>
      <c r="G1297" s="72">
        <v>45872.0</v>
      </c>
      <c r="H1297" s="10"/>
      <c r="J1297" s="16" t="s">
        <v>43</v>
      </c>
      <c r="K1297" s="16" t="s">
        <v>33</v>
      </c>
      <c r="L1297" s="31" t="s">
        <v>56</v>
      </c>
      <c r="N1297" s="16"/>
      <c r="O1297" s="16"/>
      <c r="P1297" s="23"/>
      <c r="Q1297" s="17"/>
      <c r="R1297" s="15"/>
      <c r="S1297" s="20"/>
      <c r="T1297" s="68"/>
      <c r="U1297" s="77"/>
      <c r="V1297" s="68"/>
      <c r="W1297" s="71"/>
      <c r="X1297" s="20"/>
    </row>
    <row r="1298">
      <c r="A1298" s="16" t="s">
        <v>538</v>
      </c>
      <c r="B1298" s="17">
        <v>45831.0</v>
      </c>
      <c r="C1298" s="16" t="s">
        <v>1153</v>
      </c>
      <c r="E1298" s="17"/>
      <c r="F1298" s="17"/>
      <c r="G1298" s="17"/>
      <c r="H1298" s="10"/>
      <c r="J1298" s="16" t="s">
        <v>43</v>
      </c>
      <c r="K1298" s="23" t="s">
        <v>33</v>
      </c>
      <c r="L1298" s="31">
        <v>350.0</v>
      </c>
      <c r="N1298" s="16"/>
      <c r="O1298" s="16"/>
      <c r="P1298" s="16" t="s">
        <v>34</v>
      </c>
      <c r="Q1298" s="17">
        <f t="shared" ref="Q1298:Q1302" si="125">B1298</f>
        <v>45831</v>
      </c>
      <c r="R1298" s="18">
        <f t="shared" ref="R1298:R1300" si="126">L1298*0.3</f>
        <v>105</v>
      </c>
      <c r="S1298" s="20"/>
      <c r="T1298" s="68"/>
      <c r="U1298" s="77"/>
      <c r="V1298" s="68"/>
      <c r="W1298" s="71"/>
      <c r="X1298" s="20"/>
    </row>
    <row r="1299">
      <c r="A1299" s="16" t="s">
        <v>213</v>
      </c>
      <c r="B1299" s="17">
        <v>45839.0</v>
      </c>
      <c r="C1299" s="16" t="s">
        <v>1154</v>
      </c>
      <c r="E1299" s="17"/>
      <c r="F1299" s="17"/>
      <c r="G1299" s="17"/>
      <c r="H1299" s="10"/>
      <c r="J1299" s="16" t="s">
        <v>43</v>
      </c>
      <c r="K1299" s="23" t="s">
        <v>33</v>
      </c>
      <c r="L1299" s="31">
        <v>800.0</v>
      </c>
      <c r="N1299" s="16"/>
      <c r="O1299" s="16"/>
      <c r="P1299" s="16" t="s">
        <v>34</v>
      </c>
      <c r="Q1299" s="17">
        <f t="shared" si="125"/>
        <v>45839</v>
      </c>
      <c r="R1299" s="18">
        <f t="shared" si="126"/>
        <v>240</v>
      </c>
      <c r="S1299" s="20"/>
      <c r="T1299" s="68"/>
      <c r="U1299" s="77"/>
      <c r="V1299" s="68"/>
      <c r="W1299" s="71"/>
      <c r="X1299" s="20"/>
    </row>
    <row r="1300">
      <c r="A1300" s="16" t="s">
        <v>213</v>
      </c>
      <c r="B1300" s="17">
        <v>45839.0</v>
      </c>
      <c r="C1300" s="16" t="s">
        <v>1154</v>
      </c>
      <c r="E1300" s="17"/>
      <c r="F1300" s="17"/>
      <c r="G1300" s="17"/>
      <c r="H1300" s="10"/>
      <c r="J1300" s="16" t="s">
        <v>43</v>
      </c>
      <c r="K1300" s="23" t="s">
        <v>33</v>
      </c>
      <c r="L1300" s="31">
        <v>800.0</v>
      </c>
      <c r="N1300" s="16"/>
      <c r="O1300" s="16"/>
      <c r="P1300" s="16" t="s">
        <v>34</v>
      </c>
      <c r="Q1300" s="17">
        <f t="shared" si="125"/>
        <v>45839</v>
      </c>
      <c r="R1300" s="18">
        <f t="shared" si="126"/>
        <v>240</v>
      </c>
      <c r="S1300" s="20"/>
      <c r="T1300" s="68"/>
      <c r="U1300" s="77"/>
      <c r="V1300" s="68"/>
      <c r="W1300" s="71"/>
      <c r="X1300" s="20"/>
    </row>
    <row r="1301" hidden="1">
      <c r="A1301" s="16" t="s">
        <v>45</v>
      </c>
      <c r="B1301" s="17">
        <v>45746.0</v>
      </c>
      <c r="C1301" s="16" t="s">
        <v>456</v>
      </c>
      <c r="E1301" s="17"/>
      <c r="F1301" s="17"/>
      <c r="G1301" s="17"/>
      <c r="H1301" s="10" t="s">
        <v>31</v>
      </c>
      <c r="J1301" s="16" t="s">
        <v>43</v>
      </c>
      <c r="K1301" s="16" t="s">
        <v>33</v>
      </c>
      <c r="L1301" s="31">
        <v>471.27</v>
      </c>
      <c r="N1301" s="16"/>
      <c r="O1301" s="16"/>
      <c r="P1301" s="10" t="s">
        <v>34</v>
      </c>
      <c r="Q1301" s="17">
        <f t="shared" si="125"/>
        <v>45746</v>
      </c>
      <c r="R1301" s="18">
        <f>L1301*0.25</f>
        <v>117.8175</v>
      </c>
      <c r="S1301" s="20"/>
      <c r="T1301" s="68"/>
      <c r="U1301" s="77"/>
      <c r="V1301" s="68"/>
      <c r="W1301" s="71"/>
      <c r="X1301" s="20"/>
    </row>
    <row r="1302">
      <c r="A1302" s="16" t="s">
        <v>443</v>
      </c>
      <c r="B1302" s="17">
        <v>45835.0</v>
      </c>
      <c r="C1302" s="16" t="s">
        <v>1155</v>
      </c>
      <c r="E1302" s="17"/>
      <c r="F1302" s="17"/>
      <c r="G1302" s="17"/>
      <c r="H1302" s="10"/>
      <c r="J1302" s="16" t="s">
        <v>43</v>
      </c>
      <c r="K1302" s="23" t="s">
        <v>33</v>
      </c>
      <c r="L1302" s="31">
        <v>350.0</v>
      </c>
      <c r="N1302" s="16"/>
      <c r="O1302" s="16"/>
      <c r="P1302" s="16" t="s">
        <v>34</v>
      </c>
      <c r="Q1302" s="17">
        <f t="shared" si="125"/>
        <v>45835</v>
      </c>
      <c r="R1302" s="18">
        <f>L1302*0.3</f>
        <v>105</v>
      </c>
      <c r="S1302" s="20"/>
      <c r="T1302" s="68"/>
      <c r="U1302" s="77"/>
      <c r="V1302" s="68"/>
      <c r="W1302" s="71"/>
      <c r="X1302" s="20"/>
    </row>
    <row r="1303">
      <c r="A1303" s="128" t="s">
        <v>89</v>
      </c>
      <c r="B1303" s="17">
        <v>45834.0</v>
      </c>
      <c r="C1303" s="16" t="s">
        <v>757</v>
      </c>
      <c r="E1303" s="17"/>
      <c r="F1303" s="17"/>
      <c r="G1303" s="17"/>
      <c r="H1303" s="10"/>
      <c r="J1303" s="7" t="s">
        <v>43</v>
      </c>
      <c r="K1303" s="7" t="s">
        <v>33</v>
      </c>
      <c r="L1303" s="31" t="s">
        <v>56</v>
      </c>
      <c r="N1303" s="16"/>
      <c r="O1303" s="16"/>
      <c r="P1303" s="10"/>
      <c r="Q1303" s="17"/>
      <c r="S1303" s="20"/>
      <c r="T1303" s="68"/>
      <c r="U1303" s="71" t="b">
        <v>0</v>
      </c>
      <c r="V1303" s="68"/>
      <c r="W1303" s="71" t="b">
        <v>0</v>
      </c>
      <c r="X1303" s="68"/>
    </row>
    <row r="1304">
      <c r="A1304" s="128" t="s">
        <v>39</v>
      </c>
      <c r="B1304" s="17">
        <v>45834.0</v>
      </c>
      <c r="C1304" s="16" t="s">
        <v>757</v>
      </c>
      <c r="E1304" s="17"/>
      <c r="F1304" s="17"/>
      <c r="G1304" s="17"/>
      <c r="H1304" s="10"/>
      <c r="J1304" s="7" t="s">
        <v>43</v>
      </c>
      <c r="K1304" s="7" t="s">
        <v>33</v>
      </c>
      <c r="L1304" s="31" t="s">
        <v>56</v>
      </c>
      <c r="N1304" s="16"/>
      <c r="O1304" s="16"/>
      <c r="P1304" s="10"/>
      <c r="Q1304" s="17"/>
      <c r="S1304" s="20"/>
      <c r="T1304" s="68"/>
      <c r="U1304" s="71" t="b">
        <v>0</v>
      </c>
      <c r="V1304" s="68"/>
      <c r="W1304" s="71" t="b">
        <v>0</v>
      </c>
      <c r="X1304" s="68"/>
    </row>
    <row r="1305">
      <c r="A1305" s="128" t="s">
        <v>91</v>
      </c>
      <c r="B1305" s="17">
        <v>45834.0</v>
      </c>
      <c r="C1305" s="16" t="s">
        <v>757</v>
      </c>
      <c r="E1305" s="17"/>
      <c r="F1305" s="17"/>
      <c r="G1305" s="17"/>
      <c r="H1305" s="10"/>
      <c r="J1305" s="7" t="s">
        <v>43</v>
      </c>
      <c r="K1305" s="7" t="s">
        <v>33</v>
      </c>
      <c r="L1305" s="31" t="s">
        <v>56</v>
      </c>
      <c r="N1305" s="16"/>
      <c r="O1305" s="16"/>
      <c r="P1305" s="10"/>
      <c r="Q1305" s="17"/>
      <c r="S1305" s="20"/>
      <c r="T1305" s="68"/>
      <c r="U1305" s="71" t="b">
        <v>0</v>
      </c>
      <c r="V1305" s="68"/>
      <c r="W1305" s="71" t="b">
        <v>0</v>
      </c>
      <c r="X1305" s="68"/>
    </row>
    <row r="1306">
      <c r="A1306" s="16" t="s">
        <v>213</v>
      </c>
      <c r="B1306" s="17">
        <v>45827.0</v>
      </c>
      <c r="C1306" s="16" t="s">
        <v>1156</v>
      </c>
      <c r="E1306" s="17"/>
      <c r="F1306" s="17"/>
      <c r="G1306" s="17"/>
      <c r="H1306" s="10"/>
      <c r="I1306" s="16" t="s">
        <v>1157</v>
      </c>
      <c r="J1306" s="16" t="s">
        <v>43</v>
      </c>
      <c r="K1306" s="23" t="s">
        <v>33</v>
      </c>
      <c r="L1306" s="31">
        <v>1000.0</v>
      </c>
      <c r="N1306" s="16"/>
      <c r="O1306" s="16"/>
      <c r="P1306" s="16" t="s">
        <v>34</v>
      </c>
      <c r="Q1306" s="17">
        <f t="shared" ref="Q1306:Q1350" si="127">B1306</f>
        <v>45827</v>
      </c>
      <c r="R1306" s="18">
        <f t="shared" ref="R1306:R1314" si="128">L1306*0.3</f>
        <v>300</v>
      </c>
      <c r="S1306" s="20"/>
      <c r="T1306" s="68"/>
      <c r="U1306" s="77"/>
      <c r="V1306" s="68"/>
      <c r="W1306" s="71"/>
      <c r="X1306" s="20"/>
    </row>
    <row r="1307">
      <c r="A1307" s="16" t="s">
        <v>213</v>
      </c>
      <c r="B1307" s="17">
        <v>45824.0</v>
      </c>
      <c r="C1307" s="16" t="s">
        <v>516</v>
      </c>
      <c r="E1307" s="17"/>
      <c r="F1307" s="17"/>
      <c r="G1307" s="17"/>
      <c r="H1307" s="10"/>
      <c r="J1307" s="16" t="s">
        <v>43</v>
      </c>
      <c r="K1307" s="23" t="s">
        <v>33</v>
      </c>
      <c r="L1307" s="31">
        <v>2000.0</v>
      </c>
      <c r="N1307" s="16"/>
      <c r="O1307" s="16"/>
      <c r="P1307" s="16" t="s">
        <v>34</v>
      </c>
      <c r="Q1307" s="17">
        <f t="shared" si="127"/>
        <v>45824</v>
      </c>
      <c r="R1307" s="18">
        <f t="shared" si="128"/>
        <v>600</v>
      </c>
      <c r="S1307" s="20"/>
      <c r="T1307" s="68"/>
      <c r="U1307" s="77"/>
      <c r="V1307" s="68"/>
      <c r="W1307" s="71"/>
      <c r="X1307" s="20"/>
    </row>
    <row r="1308">
      <c r="A1308" s="16" t="s">
        <v>213</v>
      </c>
      <c r="B1308" s="17">
        <v>45824.0</v>
      </c>
      <c r="C1308" s="16" t="s">
        <v>516</v>
      </c>
      <c r="E1308" s="17"/>
      <c r="F1308" s="17"/>
      <c r="G1308" s="17"/>
      <c r="H1308" s="10"/>
      <c r="J1308" s="16" t="s">
        <v>43</v>
      </c>
      <c r="K1308" s="23" t="s">
        <v>33</v>
      </c>
      <c r="L1308" s="31">
        <v>2000.0</v>
      </c>
      <c r="N1308" s="16"/>
      <c r="O1308" s="16"/>
      <c r="P1308" s="16" t="s">
        <v>34</v>
      </c>
      <c r="Q1308" s="17">
        <f t="shared" si="127"/>
        <v>45824</v>
      </c>
      <c r="R1308" s="18">
        <f t="shared" si="128"/>
        <v>600</v>
      </c>
      <c r="S1308" s="20"/>
      <c r="T1308" s="68"/>
      <c r="U1308" s="77"/>
      <c r="V1308" s="68"/>
      <c r="W1308" s="71"/>
      <c r="X1308" s="20"/>
    </row>
    <row r="1309">
      <c r="A1309" s="16" t="s">
        <v>213</v>
      </c>
      <c r="B1309" s="17">
        <v>45824.0</v>
      </c>
      <c r="C1309" s="16" t="s">
        <v>516</v>
      </c>
      <c r="E1309" s="17"/>
      <c r="F1309" s="17"/>
      <c r="G1309" s="17"/>
      <c r="H1309" s="10"/>
      <c r="J1309" s="16" t="s">
        <v>43</v>
      </c>
      <c r="K1309" s="23" t="s">
        <v>33</v>
      </c>
      <c r="L1309" s="31">
        <v>2000.0</v>
      </c>
      <c r="N1309" s="16"/>
      <c r="O1309" s="16"/>
      <c r="P1309" s="16" t="s">
        <v>34</v>
      </c>
      <c r="Q1309" s="17">
        <f t="shared" si="127"/>
        <v>45824</v>
      </c>
      <c r="R1309" s="18">
        <f t="shared" si="128"/>
        <v>600</v>
      </c>
      <c r="S1309" s="20"/>
      <c r="T1309" s="68"/>
      <c r="U1309" s="77"/>
      <c r="V1309" s="68"/>
      <c r="W1309" s="71"/>
      <c r="X1309" s="20"/>
    </row>
    <row r="1310">
      <c r="A1310" s="16" t="s">
        <v>213</v>
      </c>
      <c r="B1310" s="17">
        <v>45824.0</v>
      </c>
      <c r="C1310" s="16" t="s">
        <v>516</v>
      </c>
      <c r="E1310" s="17"/>
      <c r="F1310" s="17"/>
      <c r="G1310" s="17"/>
      <c r="H1310" s="10"/>
      <c r="J1310" s="16" t="s">
        <v>43</v>
      </c>
      <c r="K1310" s="23" t="s">
        <v>33</v>
      </c>
      <c r="L1310" s="31">
        <v>2000.0</v>
      </c>
      <c r="N1310" s="16"/>
      <c r="O1310" s="16"/>
      <c r="P1310" s="16" t="s">
        <v>34</v>
      </c>
      <c r="Q1310" s="17">
        <f t="shared" si="127"/>
        <v>45824</v>
      </c>
      <c r="R1310" s="18">
        <f t="shared" si="128"/>
        <v>600</v>
      </c>
      <c r="S1310" s="20"/>
      <c r="T1310" s="68"/>
      <c r="U1310" s="77"/>
      <c r="V1310" s="68"/>
      <c r="W1310" s="71"/>
      <c r="X1310" s="20"/>
    </row>
    <row r="1311">
      <c r="A1311" s="128" t="s">
        <v>276</v>
      </c>
      <c r="B1311" s="17">
        <v>45729.0</v>
      </c>
      <c r="C1311" s="16" t="s">
        <v>245</v>
      </c>
      <c r="D1311" s="16" t="s">
        <v>1158</v>
      </c>
      <c r="E1311" s="17"/>
      <c r="G1311" s="17"/>
      <c r="H1311" s="10"/>
      <c r="J1311" s="16" t="s">
        <v>43</v>
      </c>
      <c r="K1311" s="16" t="s">
        <v>33</v>
      </c>
      <c r="L1311" s="31">
        <v>300.0</v>
      </c>
      <c r="N1311" s="16"/>
      <c r="O1311" s="16"/>
      <c r="P1311" s="23" t="s">
        <v>34</v>
      </c>
      <c r="Q1311" s="17">
        <f t="shared" si="127"/>
        <v>45729</v>
      </c>
      <c r="R1311" s="18">
        <f t="shared" si="128"/>
        <v>90</v>
      </c>
      <c r="S1311" s="20"/>
      <c r="T1311" s="68" t="str">
        <f>VLOOKUP(A1311,'Calendar ID'!$A:$C,3,false)</f>
        <v>arwen.mechineau@outlook.fr</v>
      </c>
      <c r="U1311" s="69" t="b">
        <v>1</v>
      </c>
      <c r="V1311" s="70" t="s">
        <v>247</v>
      </c>
      <c r="W1311" s="69" t="b">
        <v>1</v>
      </c>
      <c r="X1311" s="68" t="str">
        <f>VLOOKUP($A1311,'Calendar ID'!$A:$C,2,false)</f>
        <v>c_df86b3d6c5aa83af7e7dadc1108907ecb89d8fc7e4b645a62e375b31e7b5e3a3@group.calendar.google.com</v>
      </c>
    </row>
    <row r="1312">
      <c r="A1312" s="128" t="s">
        <v>276</v>
      </c>
      <c r="B1312" s="17">
        <v>45729.0</v>
      </c>
      <c r="C1312" s="16" t="s">
        <v>245</v>
      </c>
      <c r="D1312" s="16" t="s">
        <v>1159</v>
      </c>
      <c r="E1312" s="17"/>
      <c r="G1312" s="17"/>
      <c r="H1312" s="10"/>
      <c r="J1312" s="16" t="s">
        <v>43</v>
      </c>
      <c r="K1312" s="16" t="s">
        <v>33</v>
      </c>
      <c r="L1312" s="31">
        <v>300.0</v>
      </c>
      <c r="N1312" s="16"/>
      <c r="O1312" s="16"/>
      <c r="P1312" s="23" t="s">
        <v>34</v>
      </c>
      <c r="Q1312" s="17">
        <f t="shared" si="127"/>
        <v>45729</v>
      </c>
      <c r="R1312" s="18">
        <f t="shared" si="128"/>
        <v>90</v>
      </c>
      <c r="S1312" s="20"/>
      <c r="T1312" s="68" t="str">
        <f>VLOOKUP(A1312,'Calendar ID'!$A:$C,3,false)</f>
        <v>arwen.mechineau@outlook.fr</v>
      </c>
      <c r="U1312" s="69" t="b">
        <v>1</v>
      </c>
      <c r="V1312" s="70" t="s">
        <v>855</v>
      </c>
      <c r="W1312" s="69" t="b">
        <v>1</v>
      </c>
      <c r="X1312" s="68" t="str">
        <f>VLOOKUP($A1312,'Calendar ID'!$A:$C,2,false)</f>
        <v>c_df86b3d6c5aa83af7e7dadc1108907ecb89d8fc7e4b645a62e375b31e7b5e3a3@group.calendar.google.com</v>
      </c>
    </row>
    <row r="1313">
      <c r="A1313" s="128" t="s">
        <v>450</v>
      </c>
      <c r="B1313" s="11">
        <v>45729.0</v>
      </c>
      <c r="C1313" s="7" t="s">
        <v>245</v>
      </c>
      <c r="D1313" s="16" t="s">
        <v>1158</v>
      </c>
      <c r="E1313" s="26"/>
      <c r="F1313" s="26"/>
      <c r="G1313" s="26"/>
      <c r="H1313" s="23"/>
      <c r="I1313" s="7"/>
      <c r="J1313" s="7" t="s">
        <v>43</v>
      </c>
      <c r="K1313" s="7" t="s">
        <v>33</v>
      </c>
      <c r="L1313" s="15">
        <v>300.0</v>
      </c>
      <c r="M1313" s="7"/>
      <c r="N1313" s="23"/>
      <c r="O1313" s="23"/>
      <c r="P1313" s="23" t="s">
        <v>34</v>
      </c>
      <c r="Q1313" s="17">
        <f t="shared" si="127"/>
        <v>45729</v>
      </c>
      <c r="R1313" s="18">
        <f t="shared" si="128"/>
        <v>90</v>
      </c>
      <c r="S1313" s="68"/>
      <c r="T1313" s="68" t="str">
        <f>VLOOKUP(A1313,'Calendar ID'!$A:$C,3,false)</f>
        <v>#N/A</v>
      </c>
      <c r="U1313" s="71" t="b">
        <v>1</v>
      </c>
      <c r="V1313" s="70" t="s">
        <v>247</v>
      </c>
      <c r="W1313" s="71" t="b">
        <v>1</v>
      </c>
      <c r="X1313" s="68" t="str">
        <f>VLOOKUP($A1313,'Calendar ID'!$A:$C,2,false)</f>
        <v>#N/A</v>
      </c>
      <c r="Y1313" s="7"/>
      <c r="Z1313" s="7"/>
      <c r="AA1313" s="7"/>
      <c r="AB1313" s="7"/>
      <c r="AC1313" s="7"/>
    </row>
    <row r="1314">
      <c r="A1314" s="128" t="s">
        <v>450</v>
      </c>
      <c r="B1314" s="11">
        <v>45729.0</v>
      </c>
      <c r="C1314" s="7" t="s">
        <v>245</v>
      </c>
      <c r="D1314" s="16" t="s">
        <v>1159</v>
      </c>
      <c r="E1314" s="26"/>
      <c r="F1314" s="26"/>
      <c r="G1314" s="26"/>
      <c r="H1314" s="23"/>
      <c r="I1314" s="7"/>
      <c r="J1314" s="7" t="s">
        <v>43</v>
      </c>
      <c r="K1314" s="7" t="s">
        <v>33</v>
      </c>
      <c r="L1314" s="15">
        <v>300.0</v>
      </c>
      <c r="M1314" s="7"/>
      <c r="N1314" s="23"/>
      <c r="O1314" s="23"/>
      <c r="P1314" s="23" t="s">
        <v>34</v>
      </c>
      <c r="Q1314" s="17">
        <f t="shared" si="127"/>
        <v>45729</v>
      </c>
      <c r="R1314" s="18">
        <f t="shared" si="128"/>
        <v>90</v>
      </c>
      <c r="S1314" s="68"/>
      <c r="T1314" s="68" t="str">
        <f>VLOOKUP(A1314,'Calendar ID'!$A:$C,3,false)</f>
        <v>#N/A</v>
      </c>
      <c r="U1314" s="71" t="b">
        <v>1</v>
      </c>
      <c r="V1314" s="70" t="s">
        <v>247</v>
      </c>
      <c r="W1314" s="71" t="b">
        <v>1</v>
      </c>
      <c r="X1314" s="68" t="str">
        <f>VLOOKUP($A1314,'Calendar ID'!$A:$C,2,false)</f>
        <v>#N/A</v>
      </c>
      <c r="Y1314" s="7"/>
      <c r="Z1314" s="7"/>
      <c r="AA1314" s="7"/>
      <c r="AB1314" s="7"/>
      <c r="AC1314" s="7"/>
    </row>
    <row r="1315" hidden="1">
      <c r="A1315" s="16" t="s">
        <v>468</v>
      </c>
      <c r="B1315" s="17">
        <v>45700.0</v>
      </c>
      <c r="C1315" s="16" t="s">
        <v>1160</v>
      </c>
      <c r="E1315" s="17"/>
      <c r="G1315" s="17"/>
      <c r="H1315" s="10" t="s">
        <v>31</v>
      </c>
      <c r="J1315" s="16" t="s">
        <v>97</v>
      </c>
      <c r="K1315" s="16" t="s">
        <v>33</v>
      </c>
      <c r="L1315" s="31" t="s">
        <v>56</v>
      </c>
      <c r="N1315" s="16"/>
      <c r="O1315" s="16"/>
      <c r="P1315" s="16"/>
      <c r="Q1315" s="17">
        <f t="shared" si="127"/>
        <v>45700</v>
      </c>
      <c r="S1315" s="20"/>
      <c r="T1315" s="68" t="str">
        <f>VLOOKUP(A1315,'Calendar ID'!$A:$C,3,false)</f>
        <v>nidal.daghmi.pro@gmail.com </v>
      </c>
      <c r="U1315" s="69" t="b">
        <v>0</v>
      </c>
      <c r="V1315" s="68" t="str">
        <f>VLOOKUP($A1315,'Calendar ID'!$A:$C,2,false)</f>
        <v>c_3049f29ec7ef21ab890fb708cade8a20fa94574faa4b9a9f528d8a665fbc6262@group.calendar.google.com</v>
      </c>
      <c r="W1315" s="69" t="b">
        <v>0</v>
      </c>
      <c r="X1315" s="68" t="str">
        <f>VLOOKUP($A1315,'Calendar ID'!$A:$C,2,false)</f>
        <v>c_3049f29ec7ef21ab890fb708cade8a20fa94574faa4b9a9f528d8a665fbc6262@group.calendar.google.com</v>
      </c>
    </row>
    <row r="1316" hidden="1">
      <c r="A1316" s="16" t="s">
        <v>42</v>
      </c>
      <c r="B1316" s="17">
        <v>45699.0</v>
      </c>
      <c r="C1316" s="16" t="s">
        <v>1059</v>
      </c>
      <c r="E1316" s="17"/>
      <c r="G1316" s="17"/>
      <c r="H1316" s="10" t="s">
        <v>31</v>
      </c>
      <c r="J1316" s="16" t="s">
        <v>97</v>
      </c>
      <c r="K1316" s="16" t="s">
        <v>33</v>
      </c>
      <c r="L1316" s="31" t="s">
        <v>56</v>
      </c>
      <c r="N1316" s="16"/>
      <c r="O1316" s="16"/>
      <c r="P1316" s="16"/>
      <c r="Q1316" s="17">
        <f t="shared" si="127"/>
        <v>45699</v>
      </c>
      <c r="S1316" s="20"/>
      <c r="T1316" s="68" t="str">
        <f>VLOOKUP(A1316,'Calendar ID'!$A:$C,3,false)</f>
        <v>cmepls.pro@gmail.com</v>
      </c>
      <c r="U1316" s="69" t="b">
        <v>0</v>
      </c>
      <c r="V1316" s="68" t="str">
        <f>VLOOKUP($A1316,'Calendar ID'!$A:$C,2,false)</f>
        <v>c_15e3504fd6fde5b88106b6d99934e830e051067bbd4af855bfd432d30fc2f262@group.calendar.google.com</v>
      </c>
      <c r="W1316" s="69" t="b">
        <v>0</v>
      </c>
      <c r="X1316" s="68" t="str">
        <f>VLOOKUP($A1316,'Calendar ID'!$A:$C,2,false)</f>
        <v>c_15e3504fd6fde5b88106b6d99934e830e051067bbd4af855bfd432d30fc2f262@group.calendar.google.com</v>
      </c>
    </row>
    <row r="1317" hidden="1">
      <c r="A1317" s="16" t="s">
        <v>213</v>
      </c>
      <c r="B1317" s="17">
        <v>45698.0</v>
      </c>
      <c r="C1317" s="16" t="s">
        <v>1161</v>
      </c>
      <c r="E1317" s="17"/>
      <c r="G1317" s="17"/>
      <c r="H1317" s="10" t="s">
        <v>31</v>
      </c>
      <c r="J1317" s="16" t="s">
        <v>97</v>
      </c>
      <c r="K1317" s="16" t="s">
        <v>33</v>
      </c>
      <c r="L1317" s="31" t="s">
        <v>56</v>
      </c>
      <c r="N1317" s="16"/>
      <c r="O1317" s="16"/>
      <c r="P1317" s="16"/>
      <c r="Q1317" s="17">
        <f t="shared" si="127"/>
        <v>45698</v>
      </c>
      <c r="S1317" s="20"/>
      <c r="T1317" s="68" t="str">
        <f>VLOOKUP(A1317,'Calendar ID'!$A:$C,3,false)</f>
        <v>anaiswry@yahoo.fr</v>
      </c>
      <c r="U1317" s="69" t="b">
        <v>0</v>
      </c>
      <c r="V1317" s="68" t="str">
        <f>VLOOKUP($A1317,'Calendar ID'!$A:$C,2,false)</f>
        <v>c_2754856c5047affc6767bb85fb787591389bf7d14d3afd368efdff9979492ab5@group.calendar.google.com</v>
      </c>
      <c r="W1317" s="69" t="b">
        <v>0</v>
      </c>
      <c r="X1317" s="68" t="str">
        <f>VLOOKUP($A1317,'Calendar ID'!$A:$C,2,false)</f>
        <v>c_2754856c5047affc6767bb85fb787591389bf7d14d3afd368efdff9979492ab5@group.calendar.google.com</v>
      </c>
    </row>
    <row r="1318" hidden="1">
      <c r="A1318" s="16" t="s">
        <v>290</v>
      </c>
      <c r="B1318" s="17">
        <v>45698.0</v>
      </c>
      <c r="C1318" s="16" t="s">
        <v>1161</v>
      </c>
      <c r="E1318" s="17"/>
      <c r="G1318" s="17"/>
      <c r="H1318" s="10" t="s">
        <v>31</v>
      </c>
      <c r="J1318" s="16" t="s">
        <v>97</v>
      </c>
      <c r="K1318" s="16" t="s">
        <v>33</v>
      </c>
      <c r="L1318" s="31" t="s">
        <v>56</v>
      </c>
      <c r="N1318" s="16"/>
      <c r="O1318" s="16"/>
      <c r="P1318" s="16"/>
      <c r="Q1318" s="17">
        <f t="shared" si="127"/>
        <v>45698</v>
      </c>
      <c r="S1318" s="20"/>
      <c r="T1318" s="68" t="str">
        <f>VLOOKUP(A1318,'Calendar ID'!$A:$C,3,false)</f>
        <v>hello.gurbet@gmail.com </v>
      </c>
      <c r="U1318" s="69" t="b">
        <v>0</v>
      </c>
      <c r="V1318" s="68" t="str">
        <f>VLOOKUP($A1318,'Calendar ID'!$A:$C,2,false)</f>
        <v>c_db1fbd259183311b30d5bfa9e5494d85e4aa71562c2d699763ba11e15f3e8a3b@group.calendar.google.com</v>
      </c>
      <c r="W1318" s="69" t="b">
        <v>0</v>
      </c>
      <c r="X1318" s="68" t="str">
        <f>VLOOKUP($A1318,'Calendar ID'!$A:$C,2,false)</f>
        <v>c_db1fbd259183311b30d5bfa9e5494d85e4aa71562c2d699763ba11e15f3e8a3b@group.calendar.google.com</v>
      </c>
    </row>
    <row r="1319" hidden="1">
      <c r="A1319" s="16" t="s">
        <v>45</v>
      </c>
      <c r="B1319" s="17">
        <v>45698.0</v>
      </c>
      <c r="C1319" s="16" t="s">
        <v>1161</v>
      </c>
      <c r="E1319" s="17"/>
      <c r="G1319" s="17"/>
      <c r="H1319" s="10" t="s">
        <v>31</v>
      </c>
      <c r="J1319" s="16" t="s">
        <v>97</v>
      </c>
      <c r="K1319" s="16" t="s">
        <v>33</v>
      </c>
      <c r="L1319" s="31" t="s">
        <v>56</v>
      </c>
      <c r="N1319" s="16"/>
      <c r="O1319" s="16"/>
      <c r="P1319" s="16"/>
      <c r="Q1319" s="17">
        <f t="shared" si="127"/>
        <v>45698</v>
      </c>
      <c r="S1319" s="20"/>
      <c r="T1319" s="68" t="str">
        <f>VLOOKUP(A1319,'Calendar ID'!$A:$C,3,false)</f>
        <v>lilyy.nl@grapperagency.com</v>
      </c>
      <c r="U1319" s="69" t="b">
        <v>0</v>
      </c>
      <c r="V1319" s="68" t="str">
        <f>VLOOKUP($A1319,'Calendar ID'!$A:$C,2,false)</f>
        <v>c_665764ca21c8e4b3814e25bf24bc7074fa55890dce5d4073abb0fdddc70649d4@group.calendar.google.com</v>
      </c>
      <c r="W1319" s="69" t="b">
        <v>0</v>
      </c>
      <c r="X1319" s="68" t="str">
        <f>VLOOKUP($A1319,'Calendar ID'!$A:$C,2,false)</f>
        <v>c_665764ca21c8e4b3814e25bf24bc7074fa55890dce5d4073abb0fdddc70649d4@group.calendar.google.com</v>
      </c>
    </row>
    <row r="1320">
      <c r="A1320" s="16" t="s">
        <v>45</v>
      </c>
      <c r="B1320" s="17">
        <v>45729.0</v>
      </c>
      <c r="C1320" s="16" t="s">
        <v>245</v>
      </c>
      <c r="D1320" s="16" t="s">
        <v>1158</v>
      </c>
      <c r="E1320" s="17"/>
      <c r="G1320" s="17"/>
      <c r="H1320" s="10"/>
      <c r="J1320" s="16" t="s">
        <v>43</v>
      </c>
      <c r="K1320" s="16" t="s">
        <v>33</v>
      </c>
      <c r="L1320" s="31">
        <v>300.0</v>
      </c>
      <c r="N1320" s="16"/>
      <c r="O1320" s="16"/>
      <c r="P1320" s="23" t="s">
        <v>34</v>
      </c>
      <c r="Q1320" s="17">
        <f t="shared" si="127"/>
        <v>45729</v>
      </c>
      <c r="R1320" s="18">
        <f t="shared" ref="R1320:R1321" si="129">L1320*0.25</f>
        <v>75</v>
      </c>
      <c r="S1320" s="20"/>
      <c r="T1320" s="68" t="str">
        <f>VLOOKUP(A1320,'Calendar ID'!$A:$C,3,false)</f>
        <v>lilyy.nl@grapperagency.com</v>
      </c>
      <c r="U1320" s="71" t="b">
        <v>0</v>
      </c>
      <c r="V1320" s="68" t="str">
        <f>VLOOKUP($A1320,'Calendar ID'!$A:$C,2,false)</f>
        <v>c_665764ca21c8e4b3814e25bf24bc7074fa55890dce5d4073abb0fdddc70649d4@group.calendar.google.com</v>
      </c>
      <c r="W1320" s="71" t="b">
        <v>0</v>
      </c>
      <c r="X1320" s="68" t="str">
        <f>VLOOKUP($A1320,'Calendar ID'!$A:$C,2,false)</f>
        <v>c_665764ca21c8e4b3814e25bf24bc7074fa55890dce5d4073abb0fdddc70649d4@group.calendar.google.com</v>
      </c>
    </row>
    <row r="1321">
      <c r="A1321" s="16" t="s">
        <v>45</v>
      </c>
      <c r="B1321" s="17">
        <v>45729.0</v>
      </c>
      <c r="C1321" s="16" t="s">
        <v>245</v>
      </c>
      <c r="D1321" s="16" t="s">
        <v>1159</v>
      </c>
      <c r="E1321" s="17"/>
      <c r="G1321" s="17"/>
      <c r="H1321" s="10"/>
      <c r="J1321" s="16" t="s">
        <v>43</v>
      </c>
      <c r="K1321" s="16" t="s">
        <v>33</v>
      </c>
      <c r="L1321" s="31">
        <v>300.0</v>
      </c>
      <c r="N1321" s="16"/>
      <c r="O1321" s="16"/>
      <c r="P1321" s="23" t="s">
        <v>34</v>
      </c>
      <c r="Q1321" s="17">
        <f t="shared" si="127"/>
        <v>45729</v>
      </c>
      <c r="R1321" s="18">
        <f t="shared" si="129"/>
        <v>75</v>
      </c>
      <c r="S1321" s="20"/>
      <c r="T1321" s="68" t="str">
        <f>VLOOKUP(A1321,'Calendar ID'!$A:$C,3,false)</f>
        <v>lilyy.nl@grapperagency.com</v>
      </c>
      <c r="U1321" s="71" t="b">
        <v>0</v>
      </c>
      <c r="V1321" s="68" t="str">
        <f>VLOOKUP($A1321,'Calendar ID'!$A:$C,2,false)</f>
        <v>c_665764ca21c8e4b3814e25bf24bc7074fa55890dce5d4073abb0fdddc70649d4@group.calendar.google.com</v>
      </c>
      <c r="W1321" s="71" t="b">
        <v>0</v>
      </c>
      <c r="X1321" s="68" t="str">
        <f>VLOOKUP($A1321,'Calendar ID'!$A:$C,2,false)</f>
        <v>c_665764ca21c8e4b3814e25bf24bc7074fa55890dce5d4073abb0fdddc70649d4@group.calendar.google.com</v>
      </c>
    </row>
    <row r="1322" hidden="1">
      <c r="A1322" s="16" t="s">
        <v>348</v>
      </c>
      <c r="B1322" s="17">
        <v>45694.0</v>
      </c>
      <c r="C1322" s="16" t="s">
        <v>1162</v>
      </c>
      <c r="E1322" s="17"/>
      <c r="G1322" s="17"/>
      <c r="H1322" s="10" t="s">
        <v>31</v>
      </c>
      <c r="J1322" s="16" t="s">
        <v>97</v>
      </c>
      <c r="K1322" s="16" t="s">
        <v>33</v>
      </c>
      <c r="L1322" s="31" t="s">
        <v>1163</v>
      </c>
      <c r="N1322" s="16"/>
      <c r="O1322" s="16"/>
      <c r="P1322" s="16"/>
      <c r="Q1322" s="17">
        <f t="shared" si="127"/>
        <v>45694</v>
      </c>
      <c r="S1322" s="20"/>
      <c r="T1322" s="68" t="str">
        <f>VLOOKUP(A1322,'Calendar ID'!$A:$C,3,false)</f>
        <v>amani.mee10@gmail.com</v>
      </c>
      <c r="U1322" s="69" t="b">
        <v>0</v>
      </c>
      <c r="V1322" s="68" t="str">
        <f>VLOOKUP($A1322,'Calendar ID'!$A:$C,2,false)</f>
        <v>c_0fe46f911aa7c417189a62fdd8716ddaaef232a02bd45c49b9c02c6d6e2e4815@group.calendar.google.com</v>
      </c>
      <c r="W1322" s="69" t="b">
        <v>0</v>
      </c>
      <c r="X1322" s="68" t="str">
        <f>VLOOKUP($A1322,'Calendar ID'!$A:$C,2,false)</f>
        <v>c_0fe46f911aa7c417189a62fdd8716ddaaef232a02bd45c49b9c02c6d6e2e4815@group.calendar.google.com</v>
      </c>
    </row>
    <row r="1323" hidden="1">
      <c r="A1323" s="16" t="s">
        <v>290</v>
      </c>
      <c r="B1323" s="17">
        <v>45694.0</v>
      </c>
      <c r="C1323" s="16" t="s">
        <v>1162</v>
      </c>
      <c r="E1323" s="17"/>
      <c r="G1323" s="17"/>
      <c r="H1323" s="10" t="s">
        <v>31</v>
      </c>
      <c r="J1323" s="16" t="s">
        <v>97</v>
      </c>
      <c r="K1323" s="16" t="s">
        <v>33</v>
      </c>
      <c r="L1323" s="31" t="s">
        <v>1163</v>
      </c>
      <c r="N1323" s="16"/>
      <c r="O1323" s="16"/>
      <c r="P1323" s="16"/>
      <c r="Q1323" s="17">
        <f t="shared" si="127"/>
        <v>45694</v>
      </c>
      <c r="S1323" s="20"/>
      <c r="T1323" s="68" t="str">
        <f>VLOOKUP(A1323,'Calendar ID'!$A:$C,3,false)</f>
        <v>hello.gurbet@gmail.com </v>
      </c>
      <c r="U1323" s="69" t="b">
        <v>0</v>
      </c>
      <c r="V1323" s="68" t="str">
        <f>VLOOKUP($A1323,'Calendar ID'!$A:$C,2,false)</f>
        <v>c_db1fbd259183311b30d5bfa9e5494d85e4aa71562c2d699763ba11e15f3e8a3b@group.calendar.google.com</v>
      </c>
      <c r="W1323" s="69" t="b">
        <v>0</v>
      </c>
      <c r="X1323" s="68" t="str">
        <f>VLOOKUP($A1323,'Calendar ID'!$A:$C,2,false)</f>
        <v>c_db1fbd259183311b30d5bfa9e5494d85e4aa71562c2d699763ba11e15f3e8a3b@group.calendar.google.com</v>
      </c>
    </row>
    <row r="1324" hidden="1">
      <c r="A1324" s="16" t="s">
        <v>353</v>
      </c>
      <c r="B1324" s="17">
        <v>45694.0</v>
      </c>
      <c r="C1324" s="16" t="s">
        <v>1162</v>
      </c>
      <c r="E1324" s="17"/>
      <c r="G1324" s="17"/>
      <c r="H1324" s="10" t="s">
        <v>31</v>
      </c>
      <c r="J1324" s="16" t="s">
        <v>97</v>
      </c>
      <c r="K1324" s="16" t="s">
        <v>33</v>
      </c>
      <c r="L1324" s="31" t="s">
        <v>1163</v>
      </c>
      <c r="N1324" s="16"/>
      <c r="O1324" s="16"/>
      <c r="P1324" s="16"/>
      <c r="Q1324" s="17">
        <f t="shared" si="127"/>
        <v>45694</v>
      </c>
      <c r="S1324" s="20"/>
      <c r="T1324" s="68" t="str">
        <f>VLOOKUP(A1324,'Calendar ID'!$A:$C,3,false)</f>
        <v>hidaya.7bl@gmail.com </v>
      </c>
      <c r="U1324" s="69" t="b">
        <v>0</v>
      </c>
      <c r="V1324" s="68" t="str">
        <f>VLOOKUP($A1324,'Calendar ID'!$A:$C,2,false)</f>
        <v>c_056be6e79a6fa62e8f2a68280313995615b47a17f2b3679481d262413ec95701@group.calendar.google.com</v>
      </c>
      <c r="W1324" s="69" t="b">
        <v>0</v>
      </c>
      <c r="X1324" s="68" t="str">
        <f>VLOOKUP($A1324,'Calendar ID'!$A:$C,2,false)</f>
        <v>c_056be6e79a6fa62e8f2a68280313995615b47a17f2b3679481d262413ec95701@group.calendar.google.com</v>
      </c>
    </row>
    <row r="1325" hidden="1">
      <c r="A1325" s="16" t="s">
        <v>45</v>
      </c>
      <c r="B1325" s="17">
        <v>45694.0</v>
      </c>
      <c r="C1325" s="16" t="s">
        <v>1162</v>
      </c>
      <c r="E1325" s="17"/>
      <c r="G1325" s="17"/>
      <c r="H1325" s="10" t="s">
        <v>31</v>
      </c>
      <c r="J1325" s="16" t="s">
        <v>97</v>
      </c>
      <c r="K1325" s="16" t="s">
        <v>33</v>
      </c>
      <c r="L1325" s="31" t="s">
        <v>1163</v>
      </c>
      <c r="N1325" s="16"/>
      <c r="O1325" s="16"/>
      <c r="P1325" s="16"/>
      <c r="Q1325" s="17">
        <f t="shared" si="127"/>
        <v>45694</v>
      </c>
      <c r="S1325" s="20"/>
      <c r="T1325" s="68" t="str">
        <f>VLOOKUP(A1325,'Calendar ID'!$A:$C,3,false)</f>
        <v>lilyy.nl@grapperagency.com</v>
      </c>
      <c r="U1325" s="69" t="b">
        <v>0</v>
      </c>
      <c r="V1325" s="68" t="str">
        <f>VLOOKUP($A1325,'Calendar ID'!$A:$C,2,false)</f>
        <v>c_665764ca21c8e4b3814e25bf24bc7074fa55890dce5d4073abb0fdddc70649d4@group.calendar.google.com</v>
      </c>
      <c r="W1325" s="69" t="b">
        <v>0</v>
      </c>
      <c r="X1325" s="68" t="str">
        <f>VLOOKUP($A1325,'Calendar ID'!$A:$C,2,false)</f>
        <v>c_665764ca21c8e4b3814e25bf24bc7074fa55890dce5d4073abb0fdddc70649d4@group.calendar.google.com</v>
      </c>
    </row>
    <row r="1326" hidden="1">
      <c r="A1326" s="16" t="s">
        <v>213</v>
      </c>
      <c r="B1326" s="17">
        <v>45688.0</v>
      </c>
      <c r="C1326" s="16" t="s">
        <v>733</v>
      </c>
      <c r="E1326" s="17"/>
      <c r="G1326" s="17"/>
      <c r="H1326" s="10" t="s">
        <v>31</v>
      </c>
      <c r="K1326" s="16"/>
      <c r="L1326" s="31"/>
      <c r="N1326" s="16"/>
      <c r="O1326" s="16"/>
      <c r="P1326" s="16"/>
      <c r="Q1326" s="17">
        <f t="shared" si="127"/>
        <v>45688</v>
      </c>
      <c r="S1326" s="20"/>
      <c r="T1326" s="20"/>
      <c r="U1326" s="20"/>
      <c r="V1326" s="20"/>
      <c r="W1326" s="20"/>
      <c r="X1326" s="20"/>
    </row>
    <row r="1327" hidden="1">
      <c r="A1327" s="16" t="s">
        <v>244</v>
      </c>
      <c r="B1327" s="17">
        <v>45688.0</v>
      </c>
      <c r="C1327" s="16" t="s">
        <v>733</v>
      </c>
      <c r="E1327" s="17"/>
      <c r="G1327" s="17"/>
      <c r="H1327" s="10" t="s">
        <v>31</v>
      </c>
      <c r="K1327" s="16"/>
      <c r="L1327" s="31"/>
      <c r="N1327" s="16"/>
      <c r="O1327" s="16"/>
      <c r="P1327" s="16"/>
      <c r="Q1327" s="17">
        <f t="shared" si="127"/>
        <v>45688</v>
      </c>
      <c r="S1327" s="20"/>
      <c r="T1327" s="20"/>
      <c r="U1327" s="20"/>
      <c r="V1327" s="20"/>
      <c r="W1327" s="20"/>
      <c r="X1327" s="20"/>
    </row>
    <row r="1328" hidden="1">
      <c r="A1328" s="16" t="s">
        <v>45</v>
      </c>
      <c r="B1328" s="17">
        <v>45688.0</v>
      </c>
      <c r="C1328" s="16" t="s">
        <v>733</v>
      </c>
      <c r="E1328" s="17"/>
      <c r="G1328" s="17"/>
      <c r="H1328" s="10" t="s">
        <v>31</v>
      </c>
      <c r="K1328" s="16"/>
      <c r="L1328" s="31"/>
      <c r="N1328" s="16"/>
      <c r="O1328" s="16"/>
      <c r="P1328" s="16"/>
      <c r="Q1328" s="17">
        <f t="shared" si="127"/>
        <v>45688</v>
      </c>
      <c r="S1328" s="20"/>
      <c r="T1328" s="20"/>
      <c r="U1328" s="20"/>
      <c r="V1328" s="20"/>
      <c r="W1328" s="20"/>
      <c r="X1328" s="20"/>
    </row>
    <row r="1329" hidden="1">
      <c r="A1329" s="16" t="s">
        <v>110</v>
      </c>
      <c r="B1329" s="17">
        <v>45688.0</v>
      </c>
      <c r="C1329" s="16" t="s">
        <v>733</v>
      </c>
      <c r="E1329" s="17"/>
      <c r="G1329" s="17"/>
      <c r="H1329" s="10" t="s">
        <v>31</v>
      </c>
      <c r="J1329" s="7"/>
      <c r="K1329" s="16"/>
      <c r="L1329" s="31"/>
      <c r="N1329" s="16"/>
      <c r="O1329" s="16"/>
      <c r="P1329" s="16"/>
      <c r="Q1329" s="17">
        <f t="shared" si="127"/>
        <v>45688</v>
      </c>
      <c r="S1329" s="20"/>
      <c r="T1329" s="20"/>
      <c r="U1329" s="20"/>
      <c r="V1329" s="20"/>
      <c r="W1329" s="20"/>
      <c r="X1329" s="20"/>
    </row>
    <row r="1330" hidden="1">
      <c r="A1330" s="16" t="s">
        <v>215</v>
      </c>
      <c r="B1330" s="17">
        <v>45688.0</v>
      </c>
      <c r="C1330" s="16" t="s">
        <v>733</v>
      </c>
      <c r="E1330" s="17"/>
      <c r="G1330" s="17"/>
      <c r="H1330" s="10" t="s">
        <v>31</v>
      </c>
      <c r="K1330" s="16"/>
      <c r="L1330" s="31"/>
      <c r="N1330" s="16"/>
      <c r="O1330" s="16"/>
      <c r="P1330" s="16"/>
      <c r="Q1330" s="17">
        <f t="shared" si="127"/>
        <v>45688</v>
      </c>
      <c r="S1330" s="20"/>
      <c r="T1330" s="20"/>
      <c r="U1330" s="20"/>
      <c r="V1330" s="20"/>
      <c r="W1330" s="20"/>
      <c r="X1330" s="20"/>
    </row>
    <row r="1331" hidden="1">
      <c r="A1331" s="16" t="s">
        <v>468</v>
      </c>
      <c r="B1331" s="17">
        <v>45686.0</v>
      </c>
      <c r="C1331" s="16" t="s">
        <v>1164</v>
      </c>
      <c r="E1331" s="17"/>
      <c r="G1331" s="17"/>
      <c r="H1331" s="10" t="s">
        <v>31</v>
      </c>
      <c r="J1331" s="16" t="s">
        <v>97</v>
      </c>
      <c r="K1331" s="23" t="s">
        <v>33</v>
      </c>
      <c r="L1331" s="31" t="s">
        <v>56</v>
      </c>
      <c r="N1331" s="16"/>
      <c r="O1331" s="16"/>
      <c r="P1331" s="16"/>
      <c r="Q1331" s="17">
        <f t="shared" si="127"/>
        <v>45686</v>
      </c>
      <c r="S1331" s="20"/>
      <c r="T1331" s="68" t="str">
        <f>VLOOKUP(A1331,'Calendar ID'!$A:$C,3,false)</f>
        <v>nidal.daghmi.pro@gmail.com </v>
      </c>
      <c r="U1331" s="77" t="b">
        <v>0</v>
      </c>
      <c r="V1331" s="68" t="str">
        <f>VLOOKUP($A1331,'Calendar ID'!$A:$C,2,false)</f>
        <v>c_3049f29ec7ef21ab890fb708cade8a20fa94574faa4b9a9f528d8a665fbc6262@group.calendar.google.com</v>
      </c>
      <c r="W1331" s="77" t="b">
        <v>0</v>
      </c>
      <c r="X1331" s="68" t="str">
        <f>VLOOKUP($A1331,'Calendar ID'!$A:$C,2,false)</f>
        <v>c_3049f29ec7ef21ab890fb708cade8a20fa94574faa4b9a9f528d8a665fbc6262@group.calendar.google.com</v>
      </c>
    </row>
    <row r="1332" hidden="1">
      <c r="A1332" s="16" t="s">
        <v>468</v>
      </c>
      <c r="B1332" s="17">
        <v>45684.0</v>
      </c>
      <c r="C1332" s="16" t="s">
        <v>944</v>
      </c>
      <c r="E1332" s="17"/>
      <c r="G1332" s="17"/>
      <c r="H1332" s="10" t="s">
        <v>31</v>
      </c>
      <c r="J1332" s="16" t="s">
        <v>641</v>
      </c>
      <c r="K1332" s="23" t="s">
        <v>33</v>
      </c>
      <c r="L1332" s="31" t="s">
        <v>56</v>
      </c>
      <c r="N1332" s="16"/>
      <c r="O1332" s="16"/>
      <c r="P1332" s="16"/>
      <c r="Q1332" s="17">
        <f t="shared" si="127"/>
        <v>45684</v>
      </c>
      <c r="S1332" s="20"/>
      <c r="T1332" s="20"/>
      <c r="U1332" s="20"/>
      <c r="V1332" s="20"/>
      <c r="W1332" s="20"/>
      <c r="X1332" s="20"/>
    </row>
    <row r="1333" hidden="1">
      <c r="A1333" s="10" t="s">
        <v>290</v>
      </c>
      <c r="B1333" s="11">
        <v>45680.0</v>
      </c>
      <c r="C1333" s="23" t="s">
        <v>931</v>
      </c>
      <c r="D1333" s="7"/>
      <c r="E1333" s="26"/>
      <c r="F1333" s="11"/>
      <c r="G1333" s="11"/>
      <c r="H1333" s="10" t="s">
        <v>31</v>
      </c>
      <c r="I1333" s="7"/>
      <c r="J1333" s="23" t="s">
        <v>641</v>
      </c>
      <c r="K1333" s="23" t="s">
        <v>33</v>
      </c>
      <c r="L1333" s="14" t="s">
        <v>56</v>
      </c>
      <c r="M1333" s="7"/>
      <c r="N1333" s="23"/>
      <c r="O1333" s="23"/>
      <c r="P1333" s="23"/>
      <c r="Q1333" s="17">
        <f t="shared" si="127"/>
        <v>45680</v>
      </c>
      <c r="R1333" s="7"/>
      <c r="S1333" s="68"/>
      <c r="T1333" s="78" t="str">
        <f>VLOOKUP(A1333,'Calendar ID'!$A:$C,3,false)</f>
        <v>hello.gurbet@gmail.com </v>
      </c>
      <c r="U1333" s="71" t="b">
        <v>0</v>
      </c>
      <c r="V1333" s="78" t="str">
        <f>VLOOKUP($A1333,'Calendar ID'!$A:$C,2,false)</f>
        <v>c_db1fbd259183311b30d5bfa9e5494d85e4aa71562c2d699763ba11e15f3e8a3b@group.calendar.google.com</v>
      </c>
      <c r="W1333" s="69" t="b">
        <v>1</v>
      </c>
      <c r="X1333" s="77" t="s">
        <v>82</v>
      </c>
      <c r="Y1333" s="7"/>
      <c r="Z1333" s="7"/>
      <c r="AA1333" s="7"/>
      <c r="AB1333" s="7"/>
      <c r="AC1333" s="7"/>
    </row>
    <row r="1334">
      <c r="A1334" s="128" t="s">
        <v>113</v>
      </c>
      <c r="B1334" s="11">
        <v>45729.0</v>
      </c>
      <c r="C1334" s="7" t="s">
        <v>245</v>
      </c>
      <c r="D1334" s="16" t="s">
        <v>1158</v>
      </c>
      <c r="E1334" s="26"/>
      <c r="F1334" s="26"/>
      <c r="G1334" s="26"/>
      <c r="H1334" s="23"/>
      <c r="I1334" s="7"/>
      <c r="J1334" s="7" t="s">
        <v>43</v>
      </c>
      <c r="K1334" s="7" t="s">
        <v>33</v>
      </c>
      <c r="L1334" s="15">
        <v>300.0</v>
      </c>
      <c r="M1334" s="7"/>
      <c r="N1334" s="23"/>
      <c r="O1334" s="23"/>
      <c r="P1334" s="23" t="s">
        <v>34</v>
      </c>
      <c r="Q1334" s="17">
        <f t="shared" si="127"/>
        <v>45729</v>
      </c>
      <c r="R1334" s="18">
        <f>L1334*0.3</f>
        <v>90</v>
      </c>
      <c r="S1334" s="68"/>
      <c r="T1334" s="68" t="str">
        <f>VLOOKUP(A1334,'Calendar ID'!$A:$C,3,false)</f>
        <v>lovelyMytb@gmail.com </v>
      </c>
      <c r="U1334" s="71" t="b">
        <v>1</v>
      </c>
      <c r="V1334" s="70" t="s">
        <v>247</v>
      </c>
      <c r="W1334" s="71" t="b">
        <v>1</v>
      </c>
      <c r="X1334" s="68" t="str">
        <f>VLOOKUP($A1334,'Calendar ID'!$A:$C,2,false)</f>
        <v>c_68f94d9ebfae6399f09ec01b19d2012d5d2b7c5efbd47328c79c373cbeec7a5b@group.calendar.google.com</v>
      </c>
      <c r="Y1334" s="7"/>
      <c r="Z1334" s="7"/>
      <c r="AA1334" s="7"/>
      <c r="AB1334" s="7"/>
      <c r="AC1334" s="7"/>
    </row>
    <row r="1335" hidden="1">
      <c r="A1335" s="16" t="s">
        <v>57</v>
      </c>
      <c r="B1335" s="17">
        <v>45604.0</v>
      </c>
      <c r="C1335" s="16" t="s">
        <v>799</v>
      </c>
      <c r="E1335" s="17"/>
      <c r="G1335" s="17"/>
      <c r="H1335" s="10" t="s">
        <v>31</v>
      </c>
      <c r="J1335" s="16" t="s">
        <v>97</v>
      </c>
      <c r="K1335" s="23" t="s">
        <v>33</v>
      </c>
      <c r="L1335" s="31" t="s">
        <v>56</v>
      </c>
      <c r="N1335" s="16"/>
      <c r="O1335" s="16"/>
      <c r="P1335" s="16"/>
      <c r="Q1335" s="17">
        <f t="shared" si="127"/>
        <v>45604</v>
      </c>
      <c r="R1335" s="15"/>
      <c r="S1335" s="20"/>
      <c r="T1335" s="68" t="str">
        <f>VLOOKUP(A1335,'Calendar ID'!$A:$C,3,false)</f>
        <v>fgirault3@gmail.com</v>
      </c>
      <c r="U1335" s="77" t="b">
        <v>0</v>
      </c>
      <c r="V1335" s="68" t="str">
        <f>VLOOKUP($A1335,'Calendar ID'!$A:$C,2,false)</f>
        <v>c_b412638d97e7dcffa392ccd62e6d5e2eccb052c0c08de7e1e7d547811d81c44c@group.calendar.google.com</v>
      </c>
      <c r="W1335" s="77" t="b">
        <v>0</v>
      </c>
      <c r="X1335" s="68" t="str">
        <f>VLOOKUP($A1335,'Calendar ID'!$A:$C,2,false)</f>
        <v>c_b412638d97e7dcffa392ccd62e6d5e2eccb052c0c08de7e1e7d547811d81c44c@group.calendar.google.com</v>
      </c>
    </row>
    <row r="1336">
      <c r="A1336" s="128" t="s">
        <v>113</v>
      </c>
      <c r="B1336" s="11">
        <v>45729.0</v>
      </c>
      <c r="C1336" s="7" t="s">
        <v>245</v>
      </c>
      <c r="D1336" s="16" t="s">
        <v>1159</v>
      </c>
      <c r="E1336" s="26"/>
      <c r="F1336" s="26"/>
      <c r="G1336" s="26"/>
      <c r="H1336" s="23"/>
      <c r="I1336" s="7"/>
      <c r="J1336" s="7" t="s">
        <v>43</v>
      </c>
      <c r="K1336" s="7" t="s">
        <v>33</v>
      </c>
      <c r="L1336" s="15">
        <v>300.0</v>
      </c>
      <c r="M1336" s="7"/>
      <c r="N1336" s="23"/>
      <c r="O1336" s="23"/>
      <c r="P1336" s="23" t="s">
        <v>34</v>
      </c>
      <c r="Q1336" s="17">
        <f t="shared" si="127"/>
        <v>45729</v>
      </c>
      <c r="R1336" s="18">
        <f t="shared" ref="R1336:R1338" si="130">L1336*0.3</f>
        <v>90</v>
      </c>
      <c r="S1336" s="68"/>
      <c r="T1336" s="68" t="str">
        <f>VLOOKUP(A1336,'Calendar ID'!$A:$C,3,false)</f>
        <v>lovelyMytb@gmail.com </v>
      </c>
      <c r="U1336" s="71" t="b">
        <v>1</v>
      </c>
      <c r="V1336" s="70" t="s">
        <v>247</v>
      </c>
      <c r="W1336" s="71" t="b">
        <v>1</v>
      </c>
      <c r="X1336" s="68" t="str">
        <f>VLOOKUP($A1336,'Calendar ID'!$A:$C,2,false)</f>
        <v>c_68f94d9ebfae6399f09ec01b19d2012d5d2b7c5efbd47328c79c373cbeec7a5b@group.calendar.google.com</v>
      </c>
      <c r="Y1336" s="7"/>
      <c r="Z1336" s="7"/>
      <c r="AA1336" s="7"/>
      <c r="AB1336" s="7"/>
      <c r="AC1336" s="7"/>
    </row>
    <row r="1337">
      <c r="A1337" s="128" t="s">
        <v>215</v>
      </c>
      <c r="B1337" s="17">
        <v>45729.0</v>
      </c>
      <c r="C1337" s="16" t="s">
        <v>245</v>
      </c>
      <c r="D1337" s="16" t="s">
        <v>1158</v>
      </c>
      <c r="E1337" s="17"/>
      <c r="G1337" s="17"/>
      <c r="H1337" s="10"/>
      <c r="J1337" s="16" t="s">
        <v>43</v>
      </c>
      <c r="K1337" s="16" t="s">
        <v>33</v>
      </c>
      <c r="L1337" s="31">
        <v>300.0</v>
      </c>
      <c r="N1337" s="16"/>
      <c r="O1337" s="16"/>
      <c r="P1337" s="23" t="s">
        <v>34</v>
      </c>
      <c r="Q1337" s="17">
        <f t="shared" si="127"/>
        <v>45729</v>
      </c>
      <c r="R1337" s="18">
        <f t="shared" si="130"/>
        <v>90</v>
      </c>
      <c r="S1337" s="20"/>
      <c r="T1337" s="68" t="str">
        <f>VLOOKUP(A1337,'Calendar ID'!$A:$C,3,false)</f>
        <v>iimslmapro@outlook.fr</v>
      </c>
      <c r="U1337" s="69" t="b">
        <v>1</v>
      </c>
      <c r="V1337" s="70" t="s">
        <v>855</v>
      </c>
      <c r="W1337" s="69" t="b">
        <v>1</v>
      </c>
      <c r="X1337" s="68" t="str">
        <f>VLOOKUP($A1337,'Calendar ID'!$A:$C,2,false)</f>
        <v>c_a80d776e58d8881ef4e876da99555e813842eeed9733f23e6f4b85d237e1fdec@group.calendar.google.com</v>
      </c>
    </row>
    <row r="1338">
      <c r="A1338" s="128" t="s">
        <v>215</v>
      </c>
      <c r="B1338" s="17">
        <v>45729.0</v>
      </c>
      <c r="C1338" s="16" t="s">
        <v>245</v>
      </c>
      <c r="D1338" s="16" t="s">
        <v>1159</v>
      </c>
      <c r="E1338" s="17"/>
      <c r="G1338" s="17"/>
      <c r="H1338" s="10"/>
      <c r="J1338" s="16" t="s">
        <v>43</v>
      </c>
      <c r="K1338" s="16" t="s">
        <v>33</v>
      </c>
      <c r="L1338" s="31">
        <v>300.0</v>
      </c>
      <c r="N1338" s="16"/>
      <c r="O1338" s="16"/>
      <c r="P1338" s="23" t="s">
        <v>34</v>
      </c>
      <c r="Q1338" s="17">
        <f t="shared" si="127"/>
        <v>45729</v>
      </c>
      <c r="R1338" s="18">
        <f t="shared" si="130"/>
        <v>90</v>
      </c>
      <c r="S1338" s="20"/>
      <c r="T1338" s="68" t="str">
        <f>VLOOKUP(A1338,'Calendar ID'!$A:$C,3,false)</f>
        <v>iimslmapro@outlook.fr</v>
      </c>
      <c r="U1338" s="69" t="b">
        <v>1</v>
      </c>
      <c r="V1338" s="70" t="s">
        <v>247</v>
      </c>
      <c r="W1338" s="69" t="b">
        <v>1</v>
      </c>
      <c r="X1338" s="68" t="str">
        <f>VLOOKUP($A1338,'Calendar ID'!$A:$C,2,false)</f>
        <v>c_a80d776e58d8881ef4e876da99555e813842eeed9733f23e6f4b85d237e1fdec@group.calendar.google.com</v>
      </c>
    </row>
    <row r="1339">
      <c r="A1339" s="16" t="s">
        <v>623</v>
      </c>
      <c r="B1339" s="17">
        <v>45723.0</v>
      </c>
      <c r="C1339" s="16" t="s">
        <v>30</v>
      </c>
      <c r="E1339" s="17"/>
      <c r="G1339" s="17"/>
      <c r="H1339" s="10"/>
      <c r="J1339" s="16" t="s">
        <v>43</v>
      </c>
      <c r="K1339" s="16" t="s">
        <v>33</v>
      </c>
      <c r="L1339" s="31">
        <f>4785-1800</f>
        <v>2985</v>
      </c>
      <c r="N1339" s="16"/>
      <c r="O1339" s="16"/>
      <c r="P1339" s="23" t="s">
        <v>34</v>
      </c>
      <c r="Q1339" s="17">
        <f t="shared" si="127"/>
        <v>45723</v>
      </c>
      <c r="R1339" s="16">
        <v>1733.0</v>
      </c>
      <c r="S1339" s="20"/>
      <c r="T1339" s="68" t="str">
        <f>VLOOKUP(A1339,'Calendar ID'!$A:$C,3,false)</f>
        <v>#N/A</v>
      </c>
      <c r="U1339" s="71" t="b">
        <v>0</v>
      </c>
      <c r="V1339" s="68" t="str">
        <f>VLOOKUP($A1339,'Calendar ID'!$A:$C,2,false)</f>
        <v>#N/A</v>
      </c>
      <c r="W1339" s="71" t="b">
        <v>0</v>
      </c>
      <c r="X1339" s="68" t="str">
        <f>VLOOKUP($A1339,'Calendar ID'!$A:$C,2,false)</f>
        <v>#N/A</v>
      </c>
    </row>
    <row r="1340">
      <c r="A1340" s="16" t="s">
        <v>443</v>
      </c>
      <c r="B1340" s="17">
        <v>45703.0</v>
      </c>
      <c r="C1340" s="16" t="s">
        <v>245</v>
      </c>
      <c r="D1340" s="16" t="s">
        <v>1158</v>
      </c>
      <c r="E1340" s="17"/>
      <c r="F1340" s="133"/>
      <c r="G1340" s="17"/>
      <c r="H1340" s="10"/>
      <c r="J1340" s="16" t="s">
        <v>43</v>
      </c>
      <c r="K1340" s="16" t="s">
        <v>33</v>
      </c>
      <c r="L1340" s="31">
        <v>300.0</v>
      </c>
      <c r="N1340" s="16"/>
      <c r="O1340" s="16"/>
      <c r="P1340" s="23" t="s">
        <v>34</v>
      </c>
      <c r="Q1340" s="17">
        <f t="shared" si="127"/>
        <v>45703</v>
      </c>
      <c r="R1340" s="18">
        <f t="shared" ref="R1340:R1347" si="131">L1340*0.3</f>
        <v>90</v>
      </c>
      <c r="S1340" s="20"/>
      <c r="T1340" s="68" t="str">
        <f>VLOOKUP(A1340,'Calendar ID'!$A:$C,3,false)</f>
        <v>Lyassa.ospro@gmail.com </v>
      </c>
      <c r="U1340" s="71" t="b">
        <v>0</v>
      </c>
      <c r="V1340" s="68" t="str">
        <f>VLOOKUP($A1340,'Calendar ID'!$A:$C,2,false)</f>
        <v>c_2ab5bc877123c6d06b681700306d382bcc765d7810badc543daeacf05260ecd9@group.calendar.google.com</v>
      </c>
      <c r="W1340" s="71" t="b">
        <v>0</v>
      </c>
      <c r="X1340" s="68" t="str">
        <f>VLOOKUP($A1340,'Calendar ID'!$A:$C,2,false)</f>
        <v>c_2ab5bc877123c6d06b681700306d382bcc765d7810badc543daeacf05260ecd9@group.calendar.google.com</v>
      </c>
    </row>
    <row r="1341">
      <c r="A1341" s="16" t="s">
        <v>443</v>
      </c>
      <c r="B1341" s="17">
        <v>45703.0</v>
      </c>
      <c r="C1341" s="16" t="s">
        <v>245</v>
      </c>
      <c r="D1341" s="16" t="s">
        <v>1159</v>
      </c>
      <c r="E1341" s="17"/>
      <c r="F1341" s="133"/>
      <c r="G1341" s="17"/>
      <c r="H1341" s="10"/>
      <c r="J1341" s="16" t="s">
        <v>43</v>
      </c>
      <c r="K1341" s="16" t="s">
        <v>33</v>
      </c>
      <c r="L1341" s="31">
        <v>300.0</v>
      </c>
      <c r="N1341" s="16"/>
      <c r="O1341" s="16"/>
      <c r="P1341" s="23" t="s">
        <v>34</v>
      </c>
      <c r="Q1341" s="17">
        <f t="shared" si="127"/>
        <v>45703</v>
      </c>
      <c r="R1341" s="18">
        <f t="shared" si="131"/>
        <v>90</v>
      </c>
      <c r="S1341" s="20"/>
      <c r="T1341" s="68" t="str">
        <f>VLOOKUP(A1341,'Calendar ID'!$A:$C,3,false)</f>
        <v>Lyassa.ospro@gmail.com </v>
      </c>
      <c r="U1341" s="71" t="b">
        <v>0</v>
      </c>
      <c r="V1341" s="68" t="str">
        <f>VLOOKUP($A1341,'Calendar ID'!$A:$C,2,false)</f>
        <v>c_2ab5bc877123c6d06b681700306d382bcc765d7810badc543daeacf05260ecd9@group.calendar.google.com</v>
      </c>
      <c r="W1341" s="71" t="b">
        <v>0</v>
      </c>
      <c r="X1341" s="68" t="str">
        <f>VLOOKUP($A1341,'Calendar ID'!$A:$C,2,false)</f>
        <v>c_2ab5bc877123c6d06b681700306d382bcc765d7810badc543daeacf05260ecd9@group.calendar.google.com</v>
      </c>
    </row>
    <row r="1342">
      <c r="A1342" s="16" t="s">
        <v>448</v>
      </c>
      <c r="B1342" s="17">
        <v>45703.0</v>
      </c>
      <c r="C1342" s="16" t="s">
        <v>245</v>
      </c>
      <c r="D1342" s="23" t="s">
        <v>1158</v>
      </c>
      <c r="E1342" s="17"/>
      <c r="F1342" s="133"/>
      <c r="G1342" s="26"/>
      <c r="H1342" s="10"/>
      <c r="J1342" s="16" t="s">
        <v>43</v>
      </c>
      <c r="K1342" s="16" t="s">
        <v>33</v>
      </c>
      <c r="L1342" s="31">
        <v>300.0</v>
      </c>
      <c r="N1342" s="16"/>
      <c r="O1342" s="16"/>
      <c r="P1342" s="23" t="s">
        <v>34</v>
      </c>
      <c r="Q1342" s="17">
        <f t="shared" si="127"/>
        <v>45703</v>
      </c>
      <c r="R1342" s="18">
        <f t="shared" si="131"/>
        <v>90</v>
      </c>
      <c r="S1342" s="20"/>
      <c r="T1342" s="68" t="str">
        <f>VLOOKUP(A1342,'Calendar ID'!$A:$C,3,false)</f>
        <v>farahdisiaque@gmail.com</v>
      </c>
      <c r="U1342" s="71" t="b">
        <v>0</v>
      </c>
      <c r="V1342" s="68" t="str">
        <f>VLOOKUP($A1342,'Calendar ID'!$A:$C,2,false)</f>
        <v>c_311aaffc8651807276a982d2e3621559621998746b9adad33a9304b73b24dbd9@group.calendar.google.com</v>
      </c>
      <c r="W1342" s="71" t="b">
        <v>0</v>
      </c>
      <c r="X1342" s="68" t="str">
        <f>VLOOKUP($A1342,'Calendar ID'!$A:$C,2,false)</f>
        <v>c_311aaffc8651807276a982d2e3621559621998746b9adad33a9304b73b24dbd9@group.calendar.google.com</v>
      </c>
    </row>
    <row r="1343">
      <c r="A1343" s="16" t="s">
        <v>448</v>
      </c>
      <c r="B1343" s="17">
        <v>45703.0</v>
      </c>
      <c r="C1343" s="16" t="s">
        <v>245</v>
      </c>
      <c r="D1343" s="23" t="s">
        <v>1159</v>
      </c>
      <c r="E1343" s="17"/>
      <c r="F1343" s="133"/>
      <c r="G1343" s="17"/>
      <c r="H1343" s="10"/>
      <c r="J1343" s="16" t="s">
        <v>43</v>
      </c>
      <c r="K1343" s="16" t="s">
        <v>33</v>
      </c>
      <c r="L1343" s="31">
        <v>300.0</v>
      </c>
      <c r="N1343" s="16"/>
      <c r="O1343" s="16"/>
      <c r="P1343" s="23" t="s">
        <v>34</v>
      </c>
      <c r="Q1343" s="17">
        <f t="shared" si="127"/>
        <v>45703</v>
      </c>
      <c r="R1343" s="18">
        <f t="shared" si="131"/>
        <v>90</v>
      </c>
      <c r="S1343" s="20"/>
      <c r="T1343" s="68" t="str">
        <f>VLOOKUP(A1343,'Calendar ID'!$A:$C,3,false)</f>
        <v>farahdisiaque@gmail.com</v>
      </c>
      <c r="U1343" s="71" t="b">
        <v>0</v>
      </c>
      <c r="V1343" s="68" t="str">
        <f>VLOOKUP($A1343,'Calendar ID'!$A:$C,2,false)</f>
        <v>c_311aaffc8651807276a982d2e3621559621998746b9adad33a9304b73b24dbd9@group.calendar.google.com</v>
      </c>
      <c r="W1343" s="71" t="b">
        <v>0</v>
      </c>
      <c r="X1343" s="68" t="str">
        <f>VLOOKUP($A1343,'Calendar ID'!$A:$C,2,false)</f>
        <v>c_311aaffc8651807276a982d2e3621559621998746b9adad33a9304b73b24dbd9@group.calendar.google.com</v>
      </c>
    </row>
    <row r="1344">
      <c r="A1344" s="16" t="s">
        <v>244</v>
      </c>
      <c r="B1344" s="17">
        <v>45703.0</v>
      </c>
      <c r="C1344" s="16" t="s">
        <v>245</v>
      </c>
      <c r="D1344" s="23" t="s">
        <v>1158</v>
      </c>
      <c r="E1344" s="17"/>
      <c r="F1344" s="133"/>
      <c r="G1344" s="17"/>
      <c r="H1344" s="10"/>
      <c r="J1344" s="16" t="s">
        <v>43</v>
      </c>
      <c r="K1344" s="16" t="s">
        <v>33</v>
      </c>
      <c r="L1344" s="31">
        <v>300.0</v>
      </c>
      <c r="N1344" s="16"/>
      <c r="O1344" s="16"/>
      <c r="P1344" s="23" t="s">
        <v>34</v>
      </c>
      <c r="Q1344" s="17">
        <f t="shared" si="127"/>
        <v>45703</v>
      </c>
      <c r="R1344" s="18">
        <f t="shared" si="131"/>
        <v>90</v>
      </c>
      <c r="S1344" s="20"/>
      <c r="T1344" s="68" t="str">
        <f>VLOOKUP(A1344,'Calendar ID'!$A:$C,3,false)</f>
        <v>jasminepro26@icloud.com </v>
      </c>
      <c r="U1344" s="71" t="b">
        <v>0</v>
      </c>
      <c r="V1344" s="68" t="str">
        <f>VLOOKUP($A1344,'Calendar ID'!$A:$C,2,false)</f>
        <v>c_b534e1be73647e660d74cbb308a8c39b0102a8b56261b3886e0967d9ee34f368@group.calendar.google.com</v>
      </c>
      <c r="W1344" s="71" t="b">
        <v>0</v>
      </c>
      <c r="X1344" s="68" t="str">
        <f>VLOOKUP($A1344,'Calendar ID'!$A:$C,2,false)</f>
        <v>c_b534e1be73647e660d74cbb308a8c39b0102a8b56261b3886e0967d9ee34f368@group.calendar.google.com</v>
      </c>
    </row>
    <row r="1345">
      <c r="A1345" s="16" t="s">
        <v>244</v>
      </c>
      <c r="B1345" s="17">
        <v>45703.0</v>
      </c>
      <c r="C1345" s="16" t="s">
        <v>245</v>
      </c>
      <c r="D1345" s="23" t="s">
        <v>1159</v>
      </c>
      <c r="E1345" s="17"/>
      <c r="F1345" s="133"/>
      <c r="G1345" s="17"/>
      <c r="H1345" s="10"/>
      <c r="J1345" s="16" t="s">
        <v>43</v>
      </c>
      <c r="K1345" s="16" t="s">
        <v>33</v>
      </c>
      <c r="L1345" s="31">
        <v>300.0</v>
      </c>
      <c r="N1345" s="16"/>
      <c r="O1345" s="16"/>
      <c r="P1345" s="23" t="s">
        <v>34</v>
      </c>
      <c r="Q1345" s="17">
        <f t="shared" si="127"/>
        <v>45703</v>
      </c>
      <c r="R1345" s="18">
        <f t="shared" si="131"/>
        <v>90</v>
      </c>
      <c r="S1345" s="20"/>
      <c r="T1345" s="68" t="str">
        <f>VLOOKUP(A1345,'Calendar ID'!$A:$C,3,false)</f>
        <v>jasminepro26@icloud.com </v>
      </c>
      <c r="U1345" s="71" t="b">
        <v>0</v>
      </c>
      <c r="V1345" s="68" t="str">
        <f>VLOOKUP($A1345,'Calendar ID'!$A:$C,2,false)</f>
        <v>c_b534e1be73647e660d74cbb308a8c39b0102a8b56261b3886e0967d9ee34f368@group.calendar.google.com</v>
      </c>
      <c r="W1345" s="71" t="b">
        <v>0</v>
      </c>
      <c r="X1345" s="68" t="str">
        <f>VLOOKUP($A1345,'Calendar ID'!$A:$C,2,false)</f>
        <v>c_b534e1be73647e660d74cbb308a8c39b0102a8b56261b3886e0967d9ee34f368@group.calendar.google.com</v>
      </c>
    </row>
    <row r="1346">
      <c r="A1346" s="16" t="s">
        <v>364</v>
      </c>
      <c r="B1346" s="17">
        <v>45698.0</v>
      </c>
      <c r="C1346" s="16" t="s">
        <v>245</v>
      </c>
      <c r="D1346" s="16" t="s">
        <v>1158</v>
      </c>
      <c r="E1346" s="17"/>
      <c r="F1346" s="133"/>
      <c r="G1346" s="17"/>
      <c r="H1346" s="10"/>
      <c r="J1346" s="16" t="s">
        <v>43</v>
      </c>
      <c r="K1346" s="16" t="s">
        <v>33</v>
      </c>
      <c r="L1346" s="31">
        <v>300.0</v>
      </c>
      <c r="N1346" s="16"/>
      <c r="O1346" s="16"/>
      <c r="P1346" s="23" t="s">
        <v>34</v>
      </c>
      <c r="Q1346" s="17">
        <f t="shared" si="127"/>
        <v>45698</v>
      </c>
      <c r="R1346" s="18">
        <f t="shared" si="131"/>
        <v>90</v>
      </c>
      <c r="S1346" s="20"/>
      <c r="T1346" s="68" t="str">
        <f>VLOOKUP(A1346,'Calendar ID'!$A:$C,3,false)</f>
        <v>Sirine.yza@gmail.com</v>
      </c>
      <c r="U1346" s="71" t="b">
        <v>0</v>
      </c>
      <c r="V1346" s="68" t="str">
        <f>VLOOKUP($A1346,'Calendar ID'!$A:$C,2,false)</f>
        <v>c_4bf2087a99450838a520f4ce4fc6de01f87130a4f381347449792eaf1546cc46@group.calendar.google.com</v>
      </c>
      <c r="W1346" s="71" t="b">
        <v>0</v>
      </c>
      <c r="X1346" s="68" t="str">
        <f>VLOOKUP($A1346,'Calendar ID'!$A:$C,2,false)</f>
        <v>c_4bf2087a99450838a520f4ce4fc6de01f87130a4f381347449792eaf1546cc46@group.calendar.google.com</v>
      </c>
    </row>
    <row r="1347">
      <c r="A1347" s="16" t="s">
        <v>364</v>
      </c>
      <c r="B1347" s="17">
        <v>45698.0</v>
      </c>
      <c r="C1347" s="16" t="s">
        <v>245</v>
      </c>
      <c r="D1347" s="16" t="s">
        <v>1159</v>
      </c>
      <c r="E1347" s="17"/>
      <c r="F1347" s="133"/>
      <c r="G1347" s="17"/>
      <c r="H1347" s="10"/>
      <c r="J1347" s="16" t="s">
        <v>43</v>
      </c>
      <c r="K1347" s="16" t="s">
        <v>33</v>
      </c>
      <c r="L1347" s="31">
        <v>300.0</v>
      </c>
      <c r="N1347" s="16"/>
      <c r="O1347" s="16"/>
      <c r="P1347" s="23" t="s">
        <v>34</v>
      </c>
      <c r="Q1347" s="17">
        <f t="shared" si="127"/>
        <v>45698</v>
      </c>
      <c r="R1347" s="18">
        <f t="shared" si="131"/>
        <v>90</v>
      </c>
      <c r="S1347" s="20"/>
      <c r="T1347" s="68" t="str">
        <f>VLOOKUP(A1347,'Calendar ID'!$A:$C,3,false)</f>
        <v>Sirine.yza@gmail.com</v>
      </c>
      <c r="U1347" s="71" t="b">
        <v>0</v>
      </c>
      <c r="V1347" s="68" t="str">
        <f>VLOOKUP($A1347,'Calendar ID'!$A:$C,2,false)</f>
        <v>c_4bf2087a99450838a520f4ce4fc6de01f87130a4f381347449792eaf1546cc46@group.calendar.google.com</v>
      </c>
      <c r="W1347" s="71" t="b">
        <v>0</v>
      </c>
      <c r="X1347" s="68" t="str">
        <f>VLOOKUP($A1347,'Calendar ID'!$A:$C,2,false)</f>
        <v>c_4bf2087a99450838a520f4ce4fc6de01f87130a4f381347449792eaf1546cc46@group.calendar.google.com</v>
      </c>
    </row>
    <row r="1348">
      <c r="A1348" s="16" t="s">
        <v>45</v>
      </c>
      <c r="B1348" s="17">
        <v>45678.0</v>
      </c>
      <c r="C1348" s="16" t="s">
        <v>322</v>
      </c>
      <c r="D1348" s="16" t="s">
        <v>1165</v>
      </c>
      <c r="E1348" s="17"/>
      <c r="G1348" s="17"/>
      <c r="H1348" s="23"/>
      <c r="J1348" s="16" t="s">
        <v>43</v>
      </c>
      <c r="K1348" s="23" t="s">
        <v>33</v>
      </c>
      <c r="L1348" s="31">
        <v>270.0</v>
      </c>
      <c r="N1348" s="16"/>
      <c r="O1348" s="16" t="s">
        <v>1166</v>
      </c>
      <c r="P1348" s="16" t="s">
        <v>34</v>
      </c>
      <c r="Q1348" s="17">
        <f t="shared" si="127"/>
        <v>45678</v>
      </c>
      <c r="R1348" s="18">
        <f>L1348*0.25</f>
        <v>67.5</v>
      </c>
      <c r="S1348" s="20"/>
      <c r="T1348" s="68" t="str">
        <f>VLOOKUP(A1348,'Calendar ID'!$A:$C,3,false)</f>
        <v>lilyy.nl@grapperagency.com</v>
      </c>
      <c r="U1348" s="77" t="b">
        <v>0</v>
      </c>
      <c r="V1348" s="68" t="str">
        <f>VLOOKUP($A1348,'Calendar ID'!$A:$C,2,false)</f>
        <v>c_665764ca21c8e4b3814e25bf24bc7074fa55890dce5d4073abb0fdddc70649d4@group.calendar.google.com</v>
      </c>
      <c r="W1348" s="77" t="b">
        <v>0</v>
      </c>
      <c r="X1348" s="68" t="str">
        <f>VLOOKUP($A1348,'Calendar ID'!$A:$C,2,false)</f>
        <v>c_665764ca21c8e4b3814e25bf24bc7074fa55890dce5d4073abb0fdddc70649d4@group.calendar.google.com</v>
      </c>
    </row>
    <row r="1349">
      <c r="A1349" s="16" t="s">
        <v>364</v>
      </c>
      <c r="B1349" s="17">
        <v>45845.0</v>
      </c>
      <c r="C1349" s="16" t="s">
        <v>1167</v>
      </c>
      <c r="E1349" s="17"/>
      <c r="F1349" s="17"/>
      <c r="G1349" s="17"/>
      <c r="H1349" s="10"/>
      <c r="I1349" s="16" t="s">
        <v>1168</v>
      </c>
      <c r="J1349" s="16" t="s">
        <v>43</v>
      </c>
      <c r="K1349" s="23" t="s">
        <v>33</v>
      </c>
      <c r="L1349" s="31">
        <v>2100.0</v>
      </c>
      <c r="N1349" s="16"/>
      <c r="O1349" s="16"/>
      <c r="P1349" s="10" t="s">
        <v>34</v>
      </c>
      <c r="Q1349" s="17">
        <f t="shared" si="127"/>
        <v>45845</v>
      </c>
      <c r="R1349" s="18">
        <f t="shared" ref="R1349:R1350" si="132">L1349*0.3</f>
        <v>630</v>
      </c>
      <c r="S1349" s="20"/>
      <c r="T1349" s="68" t="str">
        <f>VLOOKUP(A1349,'Calendar ID'!$A:$C,3,false)</f>
        <v>Sirine.yza@gmail.com</v>
      </c>
      <c r="U1349" s="77" t="b">
        <v>0</v>
      </c>
      <c r="V1349" s="68" t="str">
        <f>VLOOKUP($A1349,'Calendar ID'!$A:$C,2,false)</f>
        <v>c_4bf2087a99450838a520f4ce4fc6de01f87130a4f381347449792eaf1546cc46@group.calendar.google.com</v>
      </c>
      <c r="W1349" s="77" t="b">
        <v>0</v>
      </c>
      <c r="X1349" s="68" t="str">
        <f>VLOOKUP($A1349,'Calendar ID'!$A:$C,2,false)</f>
        <v>c_4bf2087a99450838a520f4ce4fc6de01f87130a4f381347449792eaf1546cc46@group.calendar.google.com</v>
      </c>
    </row>
    <row r="1350">
      <c r="A1350" s="16" t="s">
        <v>113</v>
      </c>
      <c r="B1350" s="17">
        <v>45847.0</v>
      </c>
      <c r="C1350" s="16" t="s">
        <v>1167</v>
      </c>
      <c r="E1350" s="17"/>
      <c r="F1350" s="17"/>
      <c r="G1350" s="17"/>
      <c r="H1350" s="10"/>
      <c r="I1350" s="16" t="s">
        <v>1169</v>
      </c>
      <c r="J1350" s="16" t="s">
        <v>43</v>
      </c>
      <c r="K1350" s="23" t="s">
        <v>33</v>
      </c>
      <c r="L1350" s="31">
        <f>3000*0.85</f>
        <v>2550</v>
      </c>
      <c r="N1350" s="16"/>
      <c r="O1350" s="16"/>
      <c r="P1350" s="10" t="s">
        <v>34</v>
      </c>
      <c r="Q1350" s="17">
        <f t="shared" si="127"/>
        <v>45847</v>
      </c>
      <c r="R1350" s="18">
        <f t="shared" si="132"/>
        <v>765</v>
      </c>
      <c r="S1350" s="20"/>
      <c r="T1350" s="68" t="str">
        <f>VLOOKUP(A1350,'Calendar ID'!$A:$C,3,false)</f>
        <v>lovelyMytb@gmail.com </v>
      </c>
      <c r="U1350" s="77" t="b">
        <v>0</v>
      </c>
      <c r="V1350" s="68" t="str">
        <f>VLOOKUP($A1350,'Calendar ID'!$A:$C,2,false)</f>
        <v>c_68f94d9ebfae6399f09ec01b19d2012d5d2b7c5efbd47328c79c373cbeec7a5b@group.calendar.google.com</v>
      </c>
      <c r="W1350" s="77" t="b">
        <v>0</v>
      </c>
      <c r="X1350" s="68" t="str">
        <f>VLOOKUP($A1350,'Calendar ID'!$A:$C,2,false)</f>
        <v>c_68f94d9ebfae6399f09ec01b19d2012d5d2b7c5efbd47328c79c373cbeec7a5b@group.calendar.google.com</v>
      </c>
    </row>
    <row r="1351">
      <c r="A1351" s="16" t="s">
        <v>91</v>
      </c>
      <c r="B1351" s="17">
        <v>45852.0</v>
      </c>
      <c r="C1351" s="16" t="s">
        <v>1146</v>
      </c>
      <c r="D1351" s="16" t="s">
        <v>1170</v>
      </c>
      <c r="E1351" s="17"/>
      <c r="F1351" s="17"/>
      <c r="G1351" s="17"/>
      <c r="H1351" s="10"/>
      <c r="L1351" s="31"/>
      <c r="N1351" s="16"/>
      <c r="O1351" s="16"/>
      <c r="P1351" s="23"/>
      <c r="Q1351" s="17"/>
      <c r="R1351" s="15"/>
      <c r="S1351" s="20"/>
      <c r="T1351" s="68" t="str">
        <f>VLOOKUP(A1351,'Calendar ID'!$A:$C,3,false)</f>
        <v>juliane.bernard57@icloud.com</v>
      </c>
      <c r="U1351" s="77" t="b">
        <v>0</v>
      </c>
      <c r="V1351" s="68" t="str">
        <f>VLOOKUP($A1351,'Calendar ID'!$A:$C,2,false)</f>
        <v>c_f6970d92e9be72b1307e3c015a265d69ae87140c691e7728bc83462544d82455@group.calendar.google.com</v>
      </c>
      <c r="W1351" s="77" t="b">
        <v>0</v>
      </c>
      <c r="X1351" s="68" t="str">
        <f>VLOOKUP($A1351,'Calendar ID'!$A:$C,2,false)</f>
        <v>c_f6970d92e9be72b1307e3c015a265d69ae87140c691e7728bc83462544d82455@group.calendar.google.com</v>
      </c>
    </row>
    <row r="1352">
      <c r="A1352" s="16" t="s">
        <v>353</v>
      </c>
      <c r="B1352" s="17">
        <v>45855.0</v>
      </c>
      <c r="C1352" s="16" t="s">
        <v>1167</v>
      </c>
      <c r="E1352" s="17"/>
      <c r="F1352" s="17"/>
      <c r="G1352" s="17"/>
      <c r="H1352" s="10"/>
      <c r="J1352" s="16" t="s">
        <v>43</v>
      </c>
      <c r="K1352" s="16" t="s">
        <v>33</v>
      </c>
      <c r="L1352" s="31">
        <v>3000.0</v>
      </c>
      <c r="N1352" s="16"/>
      <c r="O1352" s="16"/>
      <c r="P1352" s="10" t="s">
        <v>34</v>
      </c>
      <c r="Q1352" s="17">
        <f t="shared" ref="Q1352:Q1358" si="133">B1352</f>
        <v>45855</v>
      </c>
      <c r="R1352" s="18">
        <f t="shared" ref="R1352:R1358" si="134">L1352*0.3</f>
        <v>900</v>
      </c>
      <c r="S1352" s="20"/>
      <c r="T1352" s="68" t="str">
        <f>VLOOKUP(A1352,'Calendar ID'!$A:$C,3,false)</f>
        <v>hidaya.7bl@gmail.com </v>
      </c>
      <c r="U1352" s="77" t="b">
        <v>0</v>
      </c>
      <c r="V1352" s="68" t="str">
        <f>VLOOKUP($A1352,'Calendar ID'!$A:$C,2,false)</f>
        <v>c_056be6e79a6fa62e8f2a68280313995615b47a17f2b3679481d262413ec95701@group.calendar.google.com</v>
      </c>
      <c r="W1352" s="77" t="b">
        <v>0</v>
      </c>
      <c r="X1352" s="68" t="str">
        <f>VLOOKUP($A1352,'Calendar ID'!$A:$C,2,false)</f>
        <v>c_056be6e79a6fa62e8f2a68280313995615b47a17f2b3679481d262413ec95701@group.calendar.google.com</v>
      </c>
    </row>
    <row r="1353">
      <c r="A1353" s="16" t="s">
        <v>260</v>
      </c>
      <c r="B1353" s="17">
        <v>45859.0</v>
      </c>
      <c r="C1353" s="16" t="s">
        <v>54</v>
      </c>
      <c r="E1353" s="17"/>
      <c r="F1353" s="17"/>
      <c r="G1353" s="17"/>
      <c r="H1353" s="10"/>
      <c r="J1353" s="16" t="s">
        <v>43</v>
      </c>
      <c r="K1353" s="16" t="s">
        <v>33</v>
      </c>
      <c r="L1353" s="31">
        <v>600.0</v>
      </c>
      <c r="N1353" s="16"/>
      <c r="O1353" s="16"/>
      <c r="P1353" s="10" t="s">
        <v>34</v>
      </c>
      <c r="Q1353" s="17">
        <f t="shared" si="133"/>
        <v>45859</v>
      </c>
      <c r="R1353" s="18">
        <f t="shared" si="134"/>
        <v>180</v>
      </c>
      <c r="S1353" s="20"/>
      <c r="T1353" s="68" t="str">
        <f>VLOOKUP(A1353,'Calendar ID'!$A:$C,3,false)</f>
        <v>asmae-nemar@hotmail.fr </v>
      </c>
      <c r="U1353" s="77" t="b">
        <v>0</v>
      </c>
      <c r="V1353" s="68" t="str">
        <f>VLOOKUP($A1353,'Calendar ID'!$A:$C,2,false)</f>
        <v>c_35f3aada7c9c0ba626ac56e6cf10c5959c56663450ffd058a5bdc005508d0954@group.calendar.google.com</v>
      </c>
      <c r="W1353" s="77" t="b">
        <v>0</v>
      </c>
      <c r="X1353" s="68" t="str">
        <f>VLOOKUP($A1353,'Calendar ID'!$A:$C,2,false)</f>
        <v>c_35f3aada7c9c0ba626ac56e6cf10c5959c56663450ffd058a5bdc005508d0954@group.calendar.google.com</v>
      </c>
    </row>
    <row r="1354">
      <c r="A1354" s="16" t="s">
        <v>453</v>
      </c>
      <c r="B1354" s="17">
        <v>45867.0</v>
      </c>
      <c r="C1354" s="16" t="s">
        <v>86</v>
      </c>
      <c r="E1354" s="17"/>
      <c r="F1354" s="17"/>
      <c r="G1354" s="17"/>
      <c r="H1354" s="10"/>
      <c r="J1354" s="16" t="s">
        <v>43</v>
      </c>
      <c r="K1354" s="23" t="s">
        <v>33</v>
      </c>
      <c r="L1354" s="31">
        <v>300.0</v>
      </c>
      <c r="N1354" s="16"/>
      <c r="O1354" s="16"/>
      <c r="P1354" s="10" t="s">
        <v>34</v>
      </c>
      <c r="Q1354" s="17">
        <f t="shared" si="133"/>
        <v>45867</v>
      </c>
      <c r="R1354" s="18">
        <f t="shared" si="134"/>
        <v>90</v>
      </c>
      <c r="S1354" s="20"/>
      <c r="T1354" s="68"/>
      <c r="U1354" s="77"/>
      <c r="V1354" s="68"/>
      <c r="W1354" s="71"/>
      <c r="X1354" s="20"/>
    </row>
    <row r="1355">
      <c r="A1355" s="16" t="s">
        <v>453</v>
      </c>
      <c r="B1355" s="17">
        <v>45867.0</v>
      </c>
      <c r="C1355" s="16" t="s">
        <v>86</v>
      </c>
      <c r="E1355" s="17"/>
      <c r="F1355" s="17"/>
      <c r="G1355" s="17"/>
      <c r="H1355" s="10"/>
      <c r="J1355" s="16" t="s">
        <v>43</v>
      </c>
      <c r="K1355" s="23" t="s">
        <v>33</v>
      </c>
      <c r="L1355" s="31">
        <v>300.0</v>
      </c>
      <c r="N1355" s="16"/>
      <c r="O1355" s="16"/>
      <c r="P1355" s="10" t="s">
        <v>34</v>
      </c>
      <c r="Q1355" s="17">
        <f t="shared" si="133"/>
        <v>45867</v>
      </c>
      <c r="R1355" s="18">
        <f t="shared" si="134"/>
        <v>90</v>
      </c>
      <c r="S1355" s="20"/>
      <c r="T1355" s="68"/>
      <c r="U1355" s="77"/>
      <c r="V1355" s="68"/>
      <c r="W1355" s="71"/>
      <c r="X1355" s="20"/>
    </row>
    <row r="1356">
      <c r="A1356" s="16" t="s">
        <v>39</v>
      </c>
      <c r="B1356" s="17">
        <v>45867.0</v>
      </c>
      <c r="C1356" s="16" t="s">
        <v>86</v>
      </c>
      <c r="E1356" s="17"/>
      <c r="F1356" s="17"/>
      <c r="G1356" s="17"/>
      <c r="H1356" s="10"/>
      <c r="J1356" s="16" t="s">
        <v>43</v>
      </c>
      <c r="K1356" s="23" t="s">
        <v>33</v>
      </c>
      <c r="L1356" s="31">
        <v>600.0</v>
      </c>
      <c r="N1356" s="16"/>
      <c r="O1356" s="16"/>
      <c r="P1356" s="10" t="s">
        <v>34</v>
      </c>
      <c r="Q1356" s="17">
        <f t="shared" si="133"/>
        <v>45867</v>
      </c>
      <c r="R1356" s="18">
        <f t="shared" si="134"/>
        <v>180</v>
      </c>
      <c r="S1356" s="20"/>
      <c r="T1356" s="68"/>
      <c r="U1356" s="77"/>
      <c r="V1356" s="68"/>
      <c r="W1356" s="71"/>
      <c r="X1356" s="20"/>
    </row>
    <row r="1357">
      <c r="A1357" s="16" t="s">
        <v>39</v>
      </c>
      <c r="B1357" s="17">
        <v>45867.0</v>
      </c>
      <c r="C1357" s="16" t="s">
        <v>1171</v>
      </c>
      <c r="E1357" s="17"/>
      <c r="F1357" s="17"/>
      <c r="G1357" s="17"/>
      <c r="H1357" s="10"/>
      <c r="J1357" s="16" t="s">
        <v>43</v>
      </c>
      <c r="K1357" s="23" t="s">
        <v>33</v>
      </c>
      <c r="L1357" s="31">
        <v>1280.0</v>
      </c>
      <c r="N1357" s="16"/>
      <c r="O1357" s="16"/>
      <c r="P1357" s="10" t="s">
        <v>34</v>
      </c>
      <c r="Q1357" s="17">
        <f t="shared" si="133"/>
        <v>45867</v>
      </c>
      <c r="R1357" s="18">
        <f t="shared" si="134"/>
        <v>384</v>
      </c>
      <c r="S1357" s="20"/>
      <c r="T1357" s="68"/>
      <c r="U1357" s="77"/>
      <c r="V1357" s="68"/>
      <c r="W1357" s="71"/>
      <c r="X1357" s="20"/>
    </row>
    <row r="1358">
      <c r="A1358" s="16" t="s">
        <v>353</v>
      </c>
      <c r="B1358" s="17">
        <v>45869.0</v>
      </c>
      <c r="C1358" s="16" t="s">
        <v>199</v>
      </c>
      <c r="E1358" s="17"/>
      <c r="F1358" s="17"/>
      <c r="G1358" s="17"/>
      <c r="H1358" s="10"/>
      <c r="J1358" s="16" t="s">
        <v>43</v>
      </c>
      <c r="K1358" s="23" t="s">
        <v>33</v>
      </c>
      <c r="L1358" s="31">
        <v>600.0</v>
      </c>
      <c r="N1358" s="16"/>
      <c r="O1358" s="16"/>
      <c r="P1358" s="10" t="s">
        <v>34</v>
      </c>
      <c r="Q1358" s="17">
        <f t="shared" si="133"/>
        <v>45869</v>
      </c>
      <c r="R1358" s="18">
        <f t="shared" si="134"/>
        <v>180</v>
      </c>
      <c r="S1358" s="20"/>
      <c r="T1358" s="68"/>
      <c r="U1358" s="77"/>
      <c r="V1358" s="68"/>
      <c r="W1358" s="71"/>
      <c r="X1358" s="20"/>
    </row>
    <row r="1359">
      <c r="A1359" s="16"/>
      <c r="B1359" s="17"/>
      <c r="E1359" s="17"/>
      <c r="F1359" s="17"/>
      <c r="G1359" s="17"/>
      <c r="H1359" s="10"/>
      <c r="L1359" s="31"/>
      <c r="N1359" s="16"/>
      <c r="O1359" s="16"/>
      <c r="P1359" s="23"/>
      <c r="Q1359" s="17"/>
      <c r="R1359" s="15"/>
      <c r="S1359" s="20"/>
      <c r="T1359" s="68"/>
      <c r="U1359" s="77"/>
      <c r="V1359" s="68"/>
      <c r="W1359" s="71"/>
      <c r="X1359" s="20"/>
    </row>
    <row r="1360">
      <c r="A1360" s="16"/>
      <c r="B1360" s="17"/>
      <c r="E1360" s="17"/>
      <c r="F1360" s="17"/>
      <c r="G1360" s="17"/>
      <c r="H1360" s="10"/>
      <c r="L1360" s="31"/>
      <c r="N1360" s="16"/>
      <c r="O1360" s="16"/>
      <c r="P1360" s="23"/>
      <c r="Q1360" s="17"/>
      <c r="R1360" s="15"/>
      <c r="S1360" s="20"/>
      <c r="T1360" s="68"/>
      <c r="U1360" s="77"/>
      <c r="V1360" s="68"/>
      <c r="W1360" s="71"/>
      <c r="X1360" s="20"/>
    </row>
    <row r="1361">
      <c r="A1361" s="16"/>
      <c r="B1361" s="17"/>
      <c r="E1361" s="17"/>
      <c r="F1361" s="17"/>
      <c r="G1361" s="17"/>
      <c r="H1361" s="10"/>
      <c r="L1361" s="31"/>
      <c r="N1361" s="16"/>
      <c r="O1361" s="16"/>
      <c r="P1361" s="23"/>
      <c r="Q1361" s="17"/>
      <c r="R1361" s="15"/>
      <c r="S1361" s="20"/>
      <c r="T1361" s="68"/>
      <c r="U1361" s="77"/>
      <c r="V1361" s="68"/>
      <c r="W1361" s="71"/>
      <c r="X1361" s="20"/>
    </row>
    <row r="1362">
      <c r="A1362" s="16"/>
      <c r="B1362" s="17"/>
      <c r="E1362" s="17"/>
      <c r="F1362" s="17"/>
      <c r="G1362" s="17"/>
      <c r="H1362" s="10"/>
      <c r="L1362" s="31"/>
      <c r="N1362" s="16"/>
      <c r="O1362" s="16"/>
      <c r="P1362" s="23"/>
      <c r="Q1362" s="17"/>
      <c r="R1362" s="15"/>
      <c r="S1362" s="20"/>
      <c r="T1362" s="68"/>
      <c r="U1362" s="77"/>
      <c r="V1362" s="68"/>
      <c r="W1362" s="71"/>
      <c r="X1362" s="20"/>
    </row>
    <row r="1363">
      <c r="A1363" s="16"/>
      <c r="B1363" s="17"/>
      <c r="E1363" s="17"/>
      <c r="F1363" s="17"/>
      <c r="G1363" s="17"/>
      <c r="H1363" s="10"/>
      <c r="L1363" s="31"/>
      <c r="N1363" s="16"/>
      <c r="O1363" s="16"/>
      <c r="P1363" s="23"/>
      <c r="Q1363" s="17"/>
      <c r="R1363" s="15"/>
      <c r="S1363" s="20"/>
      <c r="T1363" s="68"/>
      <c r="U1363" s="77"/>
      <c r="V1363" s="68"/>
      <c r="W1363" s="71"/>
      <c r="X1363" s="20"/>
    </row>
    <row r="1364">
      <c r="A1364" s="16"/>
      <c r="B1364" s="17"/>
      <c r="E1364" s="17"/>
      <c r="F1364" s="17"/>
      <c r="G1364" s="17"/>
      <c r="H1364" s="10"/>
      <c r="L1364" s="31"/>
      <c r="N1364" s="16"/>
      <c r="O1364" s="16"/>
      <c r="P1364" s="23"/>
      <c r="Q1364" s="17"/>
      <c r="R1364" s="15"/>
      <c r="S1364" s="20"/>
      <c r="T1364" s="68"/>
      <c r="U1364" s="77"/>
      <c r="V1364" s="68"/>
      <c r="W1364" s="71"/>
      <c r="X1364" s="20"/>
    </row>
    <row r="1365">
      <c r="A1365" s="16"/>
      <c r="B1365" s="17"/>
      <c r="E1365" s="17"/>
      <c r="F1365" s="17"/>
      <c r="G1365" s="17"/>
      <c r="H1365" s="10"/>
      <c r="L1365" s="31"/>
      <c r="N1365" s="16"/>
      <c r="O1365" s="16"/>
      <c r="P1365" s="23"/>
      <c r="Q1365" s="17"/>
      <c r="R1365" s="15"/>
      <c r="S1365" s="20"/>
      <c r="T1365" s="68"/>
      <c r="U1365" s="77"/>
      <c r="V1365" s="68"/>
      <c r="W1365" s="71"/>
      <c r="X1365" s="20"/>
    </row>
    <row r="1366">
      <c r="A1366" s="16"/>
      <c r="B1366" s="17"/>
      <c r="E1366" s="17"/>
      <c r="F1366" s="17"/>
      <c r="G1366" s="17"/>
      <c r="H1366" s="10"/>
      <c r="L1366" s="31"/>
      <c r="N1366" s="16"/>
      <c r="O1366" s="16"/>
      <c r="P1366" s="23"/>
      <c r="Q1366" s="17"/>
      <c r="R1366" s="15"/>
      <c r="S1366" s="20"/>
      <c r="T1366" s="68"/>
      <c r="U1366" s="77"/>
      <c r="V1366" s="68"/>
      <c r="W1366" s="71"/>
      <c r="X1366" s="20"/>
    </row>
    <row r="1367">
      <c r="A1367" s="16"/>
      <c r="B1367" s="17"/>
      <c r="E1367" s="17"/>
      <c r="F1367" s="17"/>
      <c r="G1367" s="17"/>
      <c r="H1367" s="10"/>
      <c r="L1367" s="31"/>
      <c r="N1367" s="16"/>
      <c r="O1367" s="16"/>
      <c r="P1367" s="23"/>
      <c r="Q1367" s="17"/>
      <c r="R1367" s="15"/>
      <c r="S1367" s="20"/>
      <c r="T1367" s="68"/>
      <c r="U1367" s="77"/>
      <c r="V1367" s="68"/>
      <c r="W1367" s="71"/>
      <c r="X1367" s="20"/>
    </row>
    <row r="1368">
      <c r="A1368" s="16"/>
      <c r="B1368" s="17"/>
      <c r="E1368" s="17"/>
      <c r="F1368" s="17"/>
      <c r="G1368" s="17"/>
      <c r="H1368" s="10"/>
      <c r="L1368" s="31"/>
      <c r="N1368" s="16"/>
      <c r="O1368" s="16"/>
      <c r="P1368" s="23"/>
      <c r="Q1368" s="17"/>
      <c r="R1368" s="15"/>
      <c r="S1368" s="20"/>
      <c r="T1368" s="68"/>
      <c r="U1368" s="77"/>
      <c r="V1368" s="68"/>
      <c r="W1368" s="71"/>
      <c r="X1368" s="20"/>
    </row>
    <row r="1369">
      <c r="A1369" s="16"/>
      <c r="B1369" s="17"/>
      <c r="E1369" s="17"/>
      <c r="F1369" s="17"/>
      <c r="G1369" s="17"/>
      <c r="H1369" s="10"/>
      <c r="L1369" s="31"/>
      <c r="N1369" s="16"/>
      <c r="O1369" s="16"/>
      <c r="P1369" s="23"/>
      <c r="Q1369" s="17"/>
      <c r="R1369" s="15"/>
      <c r="S1369" s="20"/>
      <c r="T1369" s="68"/>
      <c r="U1369" s="77"/>
      <c r="V1369" s="68"/>
      <c r="W1369" s="71"/>
      <c r="X1369" s="20"/>
    </row>
    <row r="1370">
      <c r="A1370" s="16"/>
      <c r="B1370" s="17"/>
      <c r="E1370" s="17"/>
      <c r="F1370" s="17"/>
      <c r="G1370" s="17"/>
      <c r="H1370" s="10"/>
      <c r="L1370" s="31"/>
      <c r="N1370" s="16"/>
      <c r="O1370" s="16"/>
      <c r="P1370" s="23"/>
      <c r="Q1370" s="17"/>
      <c r="R1370" s="15"/>
      <c r="S1370" s="20"/>
      <c r="T1370" s="68"/>
      <c r="U1370" s="77"/>
      <c r="V1370" s="68"/>
      <c r="W1370" s="71"/>
      <c r="X1370" s="20"/>
    </row>
    <row r="1371">
      <c r="A1371" s="16"/>
      <c r="B1371" s="17"/>
      <c r="E1371" s="17"/>
      <c r="F1371" s="17"/>
      <c r="G1371" s="17"/>
      <c r="H1371" s="10"/>
      <c r="L1371" s="31"/>
      <c r="N1371" s="16"/>
      <c r="O1371" s="16"/>
      <c r="P1371" s="23"/>
      <c r="Q1371" s="17"/>
      <c r="R1371" s="15"/>
      <c r="S1371" s="20"/>
      <c r="T1371" s="68"/>
      <c r="U1371" s="77"/>
      <c r="V1371" s="68"/>
      <c r="W1371" s="71"/>
      <c r="X1371" s="20"/>
    </row>
    <row r="1372">
      <c r="A1372" s="16"/>
      <c r="B1372" s="17"/>
      <c r="E1372" s="17"/>
      <c r="F1372" s="17"/>
      <c r="G1372" s="17"/>
      <c r="H1372" s="10"/>
      <c r="L1372" s="31"/>
      <c r="N1372" s="16"/>
      <c r="O1372" s="16"/>
      <c r="P1372" s="23"/>
      <c r="Q1372" s="17"/>
      <c r="R1372" s="15"/>
      <c r="S1372" s="20"/>
      <c r="T1372" s="68"/>
      <c r="U1372" s="77"/>
      <c r="V1372" s="68"/>
      <c r="W1372" s="71"/>
      <c r="X1372" s="20"/>
    </row>
    <row r="1373">
      <c r="A1373" s="16"/>
      <c r="B1373" s="17"/>
      <c r="E1373" s="17"/>
      <c r="F1373" s="17"/>
      <c r="G1373" s="17"/>
      <c r="H1373" s="10"/>
      <c r="L1373" s="31"/>
      <c r="N1373" s="16"/>
      <c r="O1373" s="16"/>
      <c r="P1373" s="23"/>
      <c r="Q1373" s="17"/>
      <c r="R1373" s="15"/>
      <c r="S1373" s="20"/>
      <c r="T1373" s="68"/>
      <c r="U1373" s="77"/>
      <c r="V1373" s="68"/>
      <c r="W1373" s="71"/>
      <c r="X1373" s="20"/>
    </row>
    <row r="1374">
      <c r="A1374" s="16"/>
      <c r="B1374" s="17"/>
      <c r="E1374" s="17"/>
      <c r="F1374" s="17"/>
      <c r="G1374" s="17"/>
      <c r="H1374" s="10"/>
      <c r="L1374" s="31"/>
      <c r="N1374" s="16"/>
      <c r="O1374" s="16"/>
      <c r="P1374" s="23"/>
      <c r="Q1374" s="17"/>
      <c r="R1374" s="15"/>
      <c r="S1374" s="20"/>
      <c r="T1374" s="68"/>
      <c r="U1374" s="77"/>
      <c r="V1374" s="68"/>
      <c r="W1374" s="71"/>
      <c r="X1374" s="20"/>
    </row>
    <row r="1375">
      <c r="A1375" s="16"/>
      <c r="B1375" s="17"/>
      <c r="E1375" s="17"/>
      <c r="F1375" s="17"/>
      <c r="G1375" s="17"/>
      <c r="H1375" s="10"/>
      <c r="L1375" s="31"/>
      <c r="N1375" s="16"/>
      <c r="O1375" s="16"/>
      <c r="P1375" s="23"/>
      <c r="Q1375" s="17"/>
      <c r="R1375" s="15"/>
      <c r="S1375" s="20"/>
      <c r="T1375" s="68"/>
      <c r="U1375" s="77"/>
      <c r="V1375" s="68"/>
      <c r="W1375" s="71"/>
      <c r="X1375" s="20"/>
    </row>
    <row r="1376">
      <c r="A1376" s="16"/>
      <c r="B1376" s="17"/>
      <c r="E1376" s="17"/>
      <c r="F1376" s="17"/>
      <c r="G1376" s="17"/>
      <c r="H1376" s="10"/>
      <c r="L1376" s="31"/>
      <c r="N1376" s="16"/>
      <c r="O1376" s="16"/>
      <c r="P1376" s="23"/>
      <c r="Q1376" s="17"/>
      <c r="R1376" s="15"/>
      <c r="S1376" s="20"/>
      <c r="T1376" s="68"/>
      <c r="U1376" s="77"/>
      <c r="V1376" s="68"/>
      <c r="W1376" s="71"/>
      <c r="X1376" s="20"/>
    </row>
    <row r="1377">
      <c r="A1377" s="16"/>
      <c r="B1377" s="17"/>
      <c r="E1377" s="17"/>
      <c r="F1377" s="17"/>
      <c r="G1377" s="17"/>
      <c r="H1377" s="10"/>
      <c r="L1377" s="31"/>
      <c r="N1377" s="16"/>
      <c r="O1377" s="16"/>
      <c r="P1377" s="23"/>
      <c r="Q1377" s="17"/>
      <c r="R1377" s="15"/>
      <c r="S1377" s="20"/>
      <c r="T1377" s="68"/>
      <c r="U1377" s="77"/>
      <c r="V1377" s="68"/>
      <c r="W1377" s="71"/>
      <c r="X1377" s="20"/>
    </row>
    <row r="1378">
      <c r="A1378" s="16"/>
      <c r="B1378" s="17"/>
      <c r="E1378" s="17"/>
      <c r="F1378" s="17"/>
      <c r="G1378" s="17"/>
      <c r="H1378" s="10"/>
      <c r="L1378" s="31"/>
      <c r="N1378" s="16"/>
      <c r="O1378" s="16"/>
      <c r="P1378" s="23"/>
      <c r="Q1378" s="17"/>
      <c r="R1378" s="15"/>
      <c r="S1378" s="20"/>
      <c r="T1378" s="68"/>
      <c r="U1378" s="77"/>
      <c r="V1378" s="68"/>
      <c r="W1378" s="71"/>
      <c r="X1378" s="20"/>
    </row>
    <row r="1379">
      <c r="A1379" s="16"/>
      <c r="B1379" s="17"/>
      <c r="E1379" s="17"/>
      <c r="F1379" s="17"/>
      <c r="G1379" s="17"/>
      <c r="H1379" s="10"/>
      <c r="L1379" s="31"/>
      <c r="N1379" s="16"/>
      <c r="O1379" s="16"/>
      <c r="P1379" s="23"/>
      <c r="Q1379" s="17"/>
      <c r="R1379" s="15"/>
      <c r="S1379" s="20"/>
      <c r="T1379" s="68"/>
      <c r="U1379" s="77"/>
      <c r="V1379" s="68"/>
      <c r="W1379" s="71"/>
      <c r="X1379" s="20"/>
    </row>
    <row r="1380">
      <c r="A1380" s="16"/>
      <c r="B1380" s="17"/>
      <c r="E1380" s="17"/>
      <c r="F1380" s="17"/>
      <c r="G1380" s="17"/>
      <c r="H1380" s="10"/>
      <c r="L1380" s="31"/>
      <c r="N1380" s="16"/>
      <c r="O1380" s="16"/>
      <c r="P1380" s="23"/>
      <c r="Q1380" s="17"/>
      <c r="R1380" s="15"/>
      <c r="S1380" s="20"/>
      <c r="T1380" s="68"/>
      <c r="U1380" s="77"/>
      <c r="V1380" s="68"/>
      <c r="W1380" s="71"/>
      <c r="X1380" s="20"/>
    </row>
    <row r="1381">
      <c r="A1381" s="16"/>
      <c r="B1381" s="17"/>
      <c r="E1381" s="17"/>
      <c r="F1381" s="17"/>
      <c r="G1381" s="17"/>
      <c r="H1381" s="10"/>
      <c r="L1381" s="31"/>
      <c r="N1381" s="16"/>
      <c r="O1381" s="16"/>
      <c r="P1381" s="23"/>
      <c r="Q1381" s="17"/>
      <c r="R1381" s="15"/>
      <c r="S1381" s="20"/>
      <c r="T1381" s="68"/>
      <c r="U1381" s="77"/>
      <c r="V1381" s="68"/>
      <c r="W1381" s="71"/>
      <c r="X1381" s="20"/>
    </row>
    <row r="1382">
      <c r="A1382" s="16"/>
      <c r="B1382" s="17"/>
      <c r="E1382" s="17"/>
      <c r="F1382" s="17"/>
      <c r="G1382" s="17"/>
      <c r="H1382" s="10"/>
      <c r="L1382" s="31"/>
      <c r="N1382" s="16"/>
      <c r="O1382" s="16"/>
      <c r="P1382" s="23"/>
      <c r="Q1382" s="17"/>
      <c r="R1382" s="15"/>
      <c r="S1382" s="20"/>
      <c r="T1382" s="68"/>
      <c r="U1382" s="77"/>
      <c r="V1382" s="68"/>
      <c r="W1382" s="71"/>
      <c r="X1382" s="20"/>
    </row>
    <row r="1383">
      <c r="A1383" s="16"/>
      <c r="B1383" s="17"/>
      <c r="E1383" s="17"/>
      <c r="F1383" s="17"/>
      <c r="G1383" s="17"/>
      <c r="H1383" s="10"/>
      <c r="L1383" s="31"/>
      <c r="N1383" s="16"/>
      <c r="O1383" s="16"/>
      <c r="P1383" s="23"/>
      <c r="Q1383" s="17"/>
      <c r="R1383" s="15"/>
      <c r="S1383" s="20"/>
      <c r="T1383" s="68"/>
      <c r="U1383" s="77"/>
      <c r="V1383" s="68"/>
      <c r="W1383" s="71"/>
      <c r="X1383" s="20"/>
    </row>
    <row r="1384">
      <c r="A1384" s="16"/>
      <c r="B1384" s="17"/>
      <c r="E1384" s="17"/>
      <c r="F1384" s="17"/>
      <c r="G1384" s="17"/>
      <c r="H1384" s="10"/>
      <c r="L1384" s="31"/>
      <c r="N1384" s="16"/>
      <c r="O1384" s="16"/>
      <c r="P1384" s="23"/>
      <c r="Q1384" s="17"/>
      <c r="R1384" s="15"/>
      <c r="S1384" s="20"/>
      <c r="T1384" s="68"/>
      <c r="U1384" s="77"/>
      <c r="V1384" s="68"/>
      <c r="W1384" s="71"/>
      <c r="X1384" s="20"/>
    </row>
    <row r="1385">
      <c r="A1385" s="16"/>
      <c r="B1385" s="17"/>
      <c r="E1385" s="17"/>
      <c r="F1385" s="17"/>
      <c r="G1385" s="17"/>
      <c r="H1385" s="10"/>
      <c r="L1385" s="31"/>
      <c r="N1385" s="16"/>
      <c r="O1385" s="16"/>
      <c r="P1385" s="23"/>
      <c r="Q1385" s="17"/>
      <c r="R1385" s="15"/>
      <c r="S1385" s="20"/>
      <c r="T1385" s="68"/>
      <c r="U1385" s="77"/>
      <c r="V1385" s="68"/>
      <c r="W1385" s="71"/>
      <c r="X1385" s="20"/>
    </row>
    <row r="1386">
      <c r="A1386" s="16"/>
      <c r="B1386" s="17"/>
      <c r="E1386" s="17"/>
      <c r="F1386" s="17"/>
      <c r="G1386" s="17"/>
      <c r="H1386" s="10"/>
      <c r="L1386" s="31"/>
      <c r="N1386" s="16"/>
      <c r="O1386" s="16"/>
      <c r="P1386" s="23"/>
      <c r="Q1386" s="17"/>
      <c r="R1386" s="15"/>
      <c r="S1386" s="20"/>
      <c r="T1386" s="68"/>
      <c r="U1386" s="77"/>
      <c r="V1386" s="68"/>
      <c r="W1386" s="71"/>
      <c r="X1386" s="20"/>
    </row>
    <row r="1387">
      <c r="A1387" s="16"/>
      <c r="B1387" s="17"/>
      <c r="E1387" s="17"/>
      <c r="F1387" s="17"/>
      <c r="G1387" s="17"/>
      <c r="H1387" s="10"/>
      <c r="L1387" s="31"/>
      <c r="N1387" s="16"/>
      <c r="O1387" s="16"/>
      <c r="P1387" s="23"/>
      <c r="Q1387" s="17"/>
      <c r="R1387" s="15"/>
      <c r="S1387" s="20"/>
      <c r="T1387" s="68"/>
      <c r="U1387" s="77"/>
      <c r="V1387" s="68"/>
      <c r="W1387" s="71"/>
      <c r="X1387" s="20"/>
    </row>
    <row r="1388">
      <c r="A1388" s="16"/>
      <c r="B1388" s="17"/>
      <c r="E1388" s="17"/>
      <c r="F1388" s="17"/>
      <c r="G1388" s="17"/>
      <c r="H1388" s="10"/>
      <c r="L1388" s="31"/>
      <c r="N1388" s="16"/>
      <c r="O1388" s="16"/>
      <c r="P1388" s="23"/>
      <c r="Q1388" s="17"/>
      <c r="R1388" s="15"/>
      <c r="S1388" s="20"/>
      <c r="T1388" s="68"/>
      <c r="U1388" s="77"/>
      <c r="V1388" s="68"/>
      <c r="W1388" s="71"/>
      <c r="X1388" s="20"/>
    </row>
    <row r="1389">
      <c r="A1389" s="16"/>
      <c r="B1389" s="17"/>
      <c r="E1389" s="17"/>
      <c r="F1389" s="17"/>
      <c r="G1389" s="17"/>
      <c r="H1389" s="10"/>
      <c r="L1389" s="31"/>
      <c r="N1389" s="16"/>
      <c r="O1389" s="16"/>
      <c r="P1389" s="23"/>
      <c r="Q1389" s="17"/>
      <c r="R1389" s="15"/>
      <c r="S1389" s="20"/>
      <c r="T1389" s="68"/>
      <c r="U1389" s="77"/>
      <c r="V1389" s="68"/>
      <c r="W1389" s="71"/>
      <c r="X1389" s="20"/>
    </row>
    <row r="1390">
      <c r="A1390" s="16"/>
      <c r="B1390" s="17"/>
      <c r="E1390" s="17"/>
      <c r="F1390" s="17"/>
      <c r="G1390" s="17"/>
      <c r="H1390" s="10"/>
      <c r="L1390" s="31"/>
      <c r="N1390" s="16"/>
      <c r="O1390" s="16"/>
      <c r="P1390" s="23"/>
      <c r="Q1390" s="17"/>
      <c r="R1390" s="15"/>
      <c r="S1390" s="20"/>
      <c r="T1390" s="68"/>
      <c r="U1390" s="77"/>
      <c r="V1390" s="68"/>
      <c r="W1390" s="71"/>
      <c r="X1390" s="20"/>
    </row>
    <row r="1391">
      <c r="A1391" s="16"/>
      <c r="B1391" s="17"/>
      <c r="E1391" s="17"/>
      <c r="F1391" s="17"/>
      <c r="G1391" s="17"/>
      <c r="H1391" s="10"/>
      <c r="L1391" s="31"/>
      <c r="N1391" s="16"/>
      <c r="O1391" s="16"/>
      <c r="P1391" s="23"/>
      <c r="Q1391" s="17"/>
      <c r="R1391" s="15"/>
      <c r="S1391" s="20"/>
      <c r="T1391" s="68"/>
      <c r="U1391" s="77"/>
      <c r="V1391" s="68"/>
      <c r="W1391" s="71"/>
      <c r="X1391" s="20"/>
    </row>
    <row r="1392">
      <c r="A1392" s="16"/>
      <c r="B1392" s="17"/>
      <c r="E1392" s="17"/>
      <c r="F1392" s="17"/>
      <c r="G1392" s="17"/>
      <c r="H1392" s="10"/>
      <c r="L1392" s="31"/>
      <c r="N1392" s="16"/>
      <c r="O1392" s="16"/>
      <c r="P1392" s="23"/>
      <c r="Q1392" s="17"/>
      <c r="R1392" s="15"/>
      <c r="S1392" s="20"/>
      <c r="T1392" s="68"/>
      <c r="U1392" s="77"/>
      <c r="V1392" s="68"/>
      <c r="W1392" s="71"/>
      <c r="X1392" s="20"/>
    </row>
    <row r="1393">
      <c r="A1393" s="16"/>
      <c r="B1393" s="17"/>
      <c r="E1393" s="17"/>
      <c r="F1393" s="17"/>
      <c r="G1393" s="17"/>
      <c r="H1393" s="10"/>
      <c r="L1393" s="31"/>
      <c r="N1393" s="16"/>
      <c r="O1393" s="16"/>
      <c r="P1393" s="23"/>
      <c r="Q1393" s="17"/>
      <c r="R1393" s="15"/>
      <c r="S1393" s="20"/>
      <c r="T1393" s="68"/>
      <c r="U1393" s="77"/>
      <c r="V1393" s="68"/>
      <c r="W1393" s="71"/>
      <c r="X1393" s="20"/>
    </row>
    <row r="1394">
      <c r="A1394" s="16"/>
      <c r="B1394" s="17"/>
      <c r="E1394" s="17"/>
      <c r="F1394" s="17"/>
      <c r="G1394" s="17"/>
      <c r="H1394" s="10"/>
      <c r="L1394" s="31"/>
      <c r="N1394" s="16"/>
      <c r="O1394" s="16"/>
      <c r="P1394" s="23"/>
      <c r="Q1394" s="17"/>
      <c r="R1394" s="15"/>
      <c r="S1394" s="20"/>
      <c r="T1394" s="68"/>
      <c r="U1394" s="77"/>
      <c r="V1394" s="68"/>
      <c r="W1394" s="71"/>
      <c r="X1394" s="20"/>
    </row>
    <row r="1395">
      <c r="A1395" s="16"/>
      <c r="B1395" s="17"/>
      <c r="E1395" s="17"/>
      <c r="F1395" s="17"/>
      <c r="G1395" s="17"/>
      <c r="H1395" s="10"/>
      <c r="L1395" s="31"/>
      <c r="N1395" s="16"/>
      <c r="O1395" s="16"/>
      <c r="P1395" s="23"/>
      <c r="Q1395" s="17"/>
      <c r="R1395" s="15"/>
      <c r="S1395" s="20"/>
      <c r="T1395" s="68"/>
      <c r="U1395" s="77"/>
      <c r="V1395" s="68"/>
      <c r="W1395" s="71"/>
      <c r="X1395" s="20"/>
    </row>
    <row r="1396">
      <c r="A1396" s="16"/>
      <c r="B1396" s="17"/>
      <c r="E1396" s="17"/>
      <c r="F1396" s="17"/>
      <c r="G1396" s="17"/>
      <c r="H1396" s="10"/>
      <c r="L1396" s="31"/>
      <c r="N1396" s="16"/>
      <c r="O1396" s="16"/>
      <c r="P1396" s="23"/>
      <c r="Q1396" s="17"/>
      <c r="R1396" s="15"/>
      <c r="S1396" s="20"/>
      <c r="T1396" s="68"/>
      <c r="U1396" s="77"/>
      <c r="V1396" s="68"/>
      <c r="W1396" s="71"/>
      <c r="X1396" s="20"/>
    </row>
    <row r="1397">
      <c r="A1397" s="16"/>
      <c r="B1397" s="17"/>
      <c r="E1397" s="17"/>
      <c r="F1397" s="17"/>
      <c r="G1397" s="17"/>
      <c r="H1397" s="10"/>
      <c r="L1397" s="31"/>
      <c r="N1397" s="16"/>
      <c r="O1397" s="16"/>
      <c r="P1397" s="23"/>
      <c r="Q1397" s="17"/>
      <c r="R1397" s="15"/>
      <c r="S1397" s="20"/>
      <c r="T1397" s="68"/>
      <c r="U1397" s="77"/>
      <c r="V1397" s="68"/>
      <c r="W1397" s="71"/>
      <c r="X1397" s="20"/>
    </row>
    <row r="1398">
      <c r="A1398" s="16"/>
      <c r="B1398" s="17"/>
      <c r="E1398" s="17"/>
      <c r="F1398" s="17"/>
      <c r="G1398" s="17"/>
      <c r="H1398" s="10"/>
      <c r="L1398" s="31"/>
      <c r="N1398" s="16"/>
      <c r="O1398" s="16"/>
      <c r="P1398" s="23"/>
      <c r="Q1398" s="17"/>
      <c r="R1398" s="15"/>
      <c r="S1398" s="20"/>
      <c r="T1398" s="68"/>
      <c r="U1398" s="77"/>
      <c r="V1398" s="68"/>
      <c r="W1398" s="71"/>
      <c r="X1398" s="20"/>
    </row>
    <row r="1399">
      <c r="A1399" s="16"/>
      <c r="B1399" s="17"/>
      <c r="E1399" s="17"/>
      <c r="F1399" s="17"/>
      <c r="G1399" s="17"/>
      <c r="H1399" s="10"/>
      <c r="L1399" s="31"/>
      <c r="N1399" s="16"/>
      <c r="O1399" s="16"/>
      <c r="P1399" s="23"/>
      <c r="Q1399" s="17"/>
      <c r="R1399" s="15"/>
      <c r="S1399" s="20"/>
      <c r="T1399" s="68"/>
      <c r="U1399" s="77"/>
      <c r="V1399" s="68"/>
      <c r="W1399" s="71"/>
      <c r="X1399" s="20"/>
    </row>
    <row r="1400">
      <c r="A1400" s="16"/>
      <c r="B1400" s="17"/>
      <c r="E1400" s="17"/>
      <c r="F1400" s="17"/>
      <c r="G1400" s="17"/>
      <c r="H1400" s="10"/>
      <c r="L1400" s="31"/>
      <c r="N1400" s="16"/>
      <c r="O1400" s="16"/>
      <c r="P1400" s="23"/>
      <c r="Q1400" s="17"/>
      <c r="R1400" s="15"/>
      <c r="S1400" s="20"/>
      <c r="T1400" s="68"/>
      <c r="U1400" s="77"/>
      <c r="V1400" s="68"/>
      <c r="W1400" s="71"/>
      <c r="X1400" s="20"/>
    </row>
    <row r="1401">
      <c r="A1401" s="16"/>
      <c r="B1401" s="17"/>
      <c r="E1401" s="17"/>
      <c r="F1401" s="17"/>
      <c r="G1401" s="17"/>
      <c r="H1401" s="10"/>
      <c r="L1401" s="31"/>
      <c r="N1401" s="16"/>
      <c r="O1401" s="16"/>
      <c r="P1401" s="23"/>
      <c r="Q1401" s="17"/>
      <c r="R1401" s="15"/>
      <c r="S1401" s="20"/>
      <c r="T1401" s="68"/>
      <c r="U1401" s="77"/>
      <c r="V1401" s="68"/>
      <c r="W1401" s="71"/>
      <c r="X1401" s="20"/>
    </row>
    <row r="1402">
      <c r="A1402" s="16"/>
      <c r="B1402" s="17"/>
      <c r="E1402" s="17"/>
      <c r="F1402" s="17"/>
      <c r="G1402" s="17"/>
      <c r="H1402" s="10"/>
      <c r="L1402" s="31"/>
      <c r="N1402" s="16"/>
      <c r="O1402" s="16"/>
      <c r="P1402" s="23"/>
      <c r="Q1402" s="17"/>
      <c r="R1402" s="15"/>
      <c r="S1402" s="20"/>
      <c r="T1402" s="68"/>
      <c r="U1402" s="77"/>
      <c r="V1402" s="68"/>
      <c r="W1402" s="71"/>
      <c r="X1402" s="20"/>
    </row>
    <row r="1403">
      <c r="A1403" s="16"/>
      <c r="B1403" s="17"/>
      <c r="E1403" s="17"/>
      <c r="F1403" s="17"/>
      <c r="G1403" s="17"/>
      <c r="H1403" s="10"/>
      <c r="L1403" s="31"/>
      <c r="N1403" s="16"/>
      <c r="O1403" s="16"/>
      <c r="P1403" s="23"/>
      <c r="Q1403" s="17"/>
      <c r="R1403" s="15"/>
      <c r="S1403" s="20"/>
      <c r="T1403" s="68"/>
      <c r="U1403" s="77"/>
      <c r="V1403" s="68"/>
      <c r="W1403" s="71"/>
      <c r="X1403" s="20"/>
    </row>
    <row r="1404">
      <c r="A1404" s="16"/>
      <c r="B1404" s="17"/>
      <c r="E1404" s="17"/>
      <c r="F1404" s="17"/>
      <c r="G1404" s="17"/>
      <c r="H1404" s="10"/>
      <c r="L1404" s="31"/>
      <c r="N1404" s="16"/>
      <c r="O1404" s="16"/>
      <c r="P1404" s="23"/>
      <c r="Q1404" s="17"/>
      <c r="R1404" s="15"/>
      <c r="S1404" s="20"/>
      <c r="T1404" s="68"/>
      <c r="U1404" s="77"/>
      <c r="V1404" s="68"/>
      <c r="W1404" s="71"/>
      <c r="X1404" s="20"/>
    </row>
    <row r="1405">
      <c r="A1405" s="16"/>
      <c r="B1405" s="17"/>
      <c r="E1405" s="17"/>
      <c r="F1405" s="17"/>
      <c r="G1405" s="17"/>
      <c r="H1405" s="10"/>
      <c r="L1405" s="31"/>
      <c r="N1405" s="16"/>
      <c r="O1405" s="16"/>
      <c r="P1405" s="23"/>
      <c r="Q1405" s="17"/>
      <c r="R1405" s="15"/>
      <c r="S1405" s="20"/>
      <c r="T1405" s="68"/>
      <c r="U1405" s="77"/>
      <c r="V1405" s="68"/>
      <c r="W1405" s="71"/>
      <c r="X1405" s="20"/>
    </row>
    <row r="1406">
      <c r="A1406" s="16"/>
      <c r="B1406" s="17"/>
      <c r="E1406" s="17"/>
      <c r="F1406" s="17"/>
      <c r="G1406" s="17"/>
      <c r="H1406" s="10"/>
      <c r="L1406" s="31"/>
      <c r="N1406" s="16"/>
      <c r="O1406" s="16"/>
      <c r="P1406" s="23"/>
      <c r="Q1406" s="17"/>
      <c r="R1406" s="15"/>
      <c r="S1406" s="20"/>
      <c r="T1406" s="68"/>
      <c r="U1406" s="77"/>
      <c r="V1406" s="68"/>
      <c r="W1406" s="71"/>
      <c r="X1406" s="20"/>
    </row>
    <row r="1407">
      <c r="A1407" s="16"/>
      <c r="B1407" s="17"/>
      <c r="E1407" s="17"/>
      <c r="F1407" s="17"/>
      <c r="G1407" s="17"/>
      <c r="H1407" s="10"/>
      <c r="L1407" s="31"/>
      <c r="N1407" s="16"/>
      <c r="O1407" s="16"/>
      <c r="P1407" s="23"/>
      <c r="Q1407" s="17"/>
      <c r="R1407" s="15"/>
      <c r="S1407" s="20"/>
      <c r="T1407" s="68"/>
      <c r="U1407" s="77"/>
      <c r="V1407" s="68"/>
      <c r="W1407" s="71"/>
      <c r="X1407" s="20"/>
    </row>
    <row r="1408">
      <c r="A1408" s="16"/>
      <c r="B1408" s="17"/>
      <c r="E1408" s="17"/>
      <c r="F1408" s="17"/>
      <c r="G1408" s="17"/>
      <c r="H1408" s="10"/>
      <c r="L1408" s="31"/>
      <c r="N1408" s="16"/>
      <c r="O1408" s="16"/>
      <c r="P1408" s="23"/>
      <c r="Q1408" s="17"/>
      <c r="R1408" s="15"/>
      <c r="S1408" s="20"/>
      <c r="T1408" s="68"/>
      <c r="U1408" s="77"/>
      <c r="V1408" s="68"/>
      <c r="W1408" s="71"/>
      <c r="X1408" s="20"/>
    </row>
    <row r="1409">
      <c r="A1409" s="16"/>
      <c r="B1409" s="17"/>
      <c r="E1409" s="17"/>
      <c r="F1409" s="17"/>
      <c r="G1409" s="17"/>
      <c r="H1409" s="10"/>
      <c r="L1409" s="31"/>
      <c r="N1409" s="16"/>
      <c r="O1409" s="16"/>
      <c r="P1409" s="23"/>
      <c r="Q1409" s="17"/>
      <c r="R1409" s="15"/>
      <c r="S1409" s="20"/>
      <c r="T1409" s="68"/>
      <c r="U1409" s="77"/>
      <c r="V1409" s="68"/>
      <c r="W1409" s="71"/>
      <c r="X1409" s="20"/>
    </row>
    <row r="1410">
      <c r="A1410" s="16"/>
      <c r="B1410" s="17"/>
      <c r="E1410" s="17"/>
      <c r="F1410" s="17"/>
      <c r="G1410" s="17"/>
      <c r="H1410" s="10"/>
      <c r="L1410" s="31"/>
      <c r="N1410" s="16"/>
      <c r="O1410" s="16"/>
      <c r="P1410" s="23"/>
      <c r="Q1410" s="17"/>
      <c r="R1410" s="15"/>
      <c r="S1410" s="20"/>
      <c r="T1410" s="68"/>
      <c r="U1410" s="77"/>
      <c r="V1410" s="68"/>
      <c r="W1410" s="71"/>
      <c r="X1410" s="20"/>
    </row>
    <row r="1411">
      <c r="A1411" s="16"/>
      <c r="B1411" s="17"/>
      <c r="E1411" s="17"/>
      <c r="F1411" s="17"/>
      <c r="G1411" s="17"/>
      <c r="H1411" s="10"/>
      <c r="L1411" s="31"/>
      <c r="N1411" s="16"/>
      <c r="O1411" s="16"/>
      <c r="P1411" s="23"/>
      <c r="Q1411" s="17"/>
      <c r="R1411" s="15"/>
      <c r="S1411" s="20"/>
      <c r="T1411" s="68"/>
      <c r="U1411" s="77"/>
      <c r="V1411" s="68"/>
      <c r="W1411" s="71"/>
      <c r="X1411" s="20"/>
    </row>
    <row r="1412">
      <c r="A1412" s="16"/>
      <c r="B1412" s="17"/>
      <c r="E1412" s="17"/>
      <c r="F1412" s="17"/>
      <c r="G1412" s="17"/>
      <c r="H1412" s="10"/>
      <c r="L1412" s="31"/>
      <c r="N1412" s="16"/>
      <c r="O1412" s="16"/>
      <c r="P1412" s="23"/>
      <c r="Q1412" s="17"/>
      <c r="R1412" s="15"/>
      <c r="S1412" s="20"/>
      <c r="T1412" s="68"/>
      <c r="U1412" s="77"/>
      <c r="V1412" s="68"/>
      <c r="W1412" s="71"/>
      <c r="X1412" s="20"/>
    </row>
    <row r="1413">
      <c r="A1413" s="16"/>
      <c r="B1413" s="17"/>
      <c r="E1413" s="17"/>
      <c r="F1413" s="17"/>
      <c r="G1413" s="17"/>
      <c r="H1413" s="10"/>
      <c r="L1413" s="31"/>
      <c r="N1413" s="16"/>
      <c r="O1413" s="16"/>
      <c r="P1413" s="23"/>
      <c r="Q1413" s="17"/>
      <c r="R1413" s="15"/>
      <c r="S1413" s="20"/>
      <c r="T1413" s="68"/>
      <c r="U1413" s="77"/>
      <c r="V1413" s="68"/>
      <c r="W1413" s="71"/>
      <c r="X1413" s="20"/>
    </row>
    <row r="1414">
      <c r="A1414" s="16"/>
      <c r="B1414" s="17"/>
      <c r="E1414" s="17"/>
      <c r="F1414" s="17"/>
      <c r="G1414" s="17"/>
      <c r="H1414" s="10"/>
      <c r="L1414" s="31"/>
      <c r="N1414" s="16"/>
      <c r="O1414" s="16"/>
      <c r="P1414" s="23"/>
      <c r="Q1414" s="17"/>
      <c r="R1414" s="15"/>
      <c r="S1414" s="20"/>
      <c r="T1414" s="68"/>
      <c r="U1414" s="77"/>
      <c r="V1414" s="68"/>
      <c r="W1414" s="71"/>
      <c r="X1414" s="20"/>
    </row>
    <row r="1415">
      <c r="A1415" s="16"/>
      <c r="B1415" s="17"/>
      <c r="E1415" s="17"/>
      <c r="F1415" s="17"/>
      <c r="G1415" s="17"/>
      <c r="H1415" s="10"/>
      <c r="L1415" s="31"/>
      <c r="N1415" s="16"/>
      <c r="O1415" s="16"/>
      <c r="P1415" s="23"/>
      <c r="Q1415" s="17"/>
      <c r="R1415" s="15"/>
      <c r="S1415" s="20"/>
      <c r="T1415" s="68"/>
      <c r="U1415" s="77"/>
      <c r="V1415" s="68"/>
      <c r="W1415" s="71"/>
      <c r="X1415" s="20"/>
    </row>
    <row r="1416">
      <c r="A1416" s="16"/>
      <c r="B1416" s="17"/>
      <c r="E1416" s="17"/>
      <c r="F1416" s="17"/>
      <c r="G1416" s="17"/>
      <c r="H1416" s="10"/>
      <c r="L1416" s="31"/>
      <c r="N1416" s="16"/>
      <c r="O1416" s="16"/>
      <c r="P1416" s="23"/>
      <c r="Q1416" s="17"/>
      <c r="R1416" s="15"/>
      <c r="S1416" s="20"/>
      <c r="T1416" s="68"/>
      <c r="U1416" s="77"/>
      <c r="V1416" s="68"/>
      <c r="W1416" s="71"/>
      <c r="X1416" s="20"/>
    </row>
    <row r="1417">
      <c r="A1417" s="16"/>
      <c r="B1417" s="17"/>
      <c r="E1417" s="17"/>
      <c r="F1417" s="17"/>
      <c r="G1417" s="17"/>
      <c r="H1417" s="10"/>
      <c r="L1417" s="31"/>
      <c r="N1417" s="16"/>
      <c r="O1417" s="16"/>
      <c r="P1417" s="23"/>
      <c r="Q1417" s="17"/>
      <c r="R1417" s="15"/>
      <c r="S1417" s="20"/>
      <c r="T1417" s="68"/>
      <c r="U1417" s="77"/>
      <c r="V1417" s="68"/>
      <c r="W1417" s="71"/>
      <c r="X1417" s="20"/>
    </row>
    <row r="1418">
      <c r="A1418" s="16"/>
      <c r="B1418" s="17"/>
      <c r="E1418" s="17"/>
      <c r="F1418" s="17"/>
      <c r="G1418" s="17"/>
      <c r="H1418" s="10"/>
      <c r="L1418" s="31"/>
      <c r="N1418" s="16"/>
      <c r="O1418" s="16"/>
      <c r="P1418" s="23"/>
      <c r="Q1418" s="17"/>
      <c r="R1418" s="15"/>
      <c r="S1418" s="20"/>
      <c r="T1418" s="68"/>
      <c r="U1418" s="77"/>
      <c r="V1418" s="68"/>
      <c r="W1418" s="71"/>
      <c r="X1418" s="20"/>
    </row>
    <row r="1419">
      <c r="A1419" s="16"/>
      <c r="B1419" s="17"/>
      <c r="E1419" s="17"/>
      <c r="F1419" s="17"/>
      <c r="G1419" s="17"/>
      <c r="H1419" s="10"/>
      <c r="L1419" s="31"/>
      <c r="N1419" s="16"/>
      <c r="O1419" s="16"/>
      <c r="P1419" s="23"/>
      <c r="Q1419" s="17"/>
      <c r="R1419" s="15"/>
      <c r="S1419" s="20"/>
      <c r="T1419" s="68"/>
      <c r="U1419" s="77"/>
      <c r="V1419" s="68"/>
      <c r="W1419" s="71"/>
      <c r="X1419" s="20"/>
    </row>
    <row r="1420">
      <c r="A1420" s="16"/>
      <c r="B1420" s="17"/>
      <c r="E1420" s="17"/>
      <c r="F1420" s="17"/>
      <c r="G1420" s="17"/>
      <c r="H1420" s="10"/>
      <c r="L1420" s="31"/>
      <c r="N1420" s="16"/>
      <c r="O1420" s="16"/>
      <c r="P1420" s="23"/>
      <c r="Q1420" s="17"/>
      <c r="R1420" s="15"/>
      <c r="S1420" s="20"/>
      <c r="T1420" s="68"/>
      <c r="U1420" s="77"/>
      <c r="V1420" s="68"/>
      <c r="W1420" s="71"/>
      <c r="X1420" s="20"/>
    </row>
    <row r="1421">
      <c r="A1421" s="16"/>
      <c r="B1421" s="17"/>
      <c r="E1421" s="17"/>
      <c r="F1421" s="17"/>
      <c r="G1421" s="17"/>
      <c r="H1421" s="10"/>
      <c r="L1421" s="31"/>
      <c r="N1421" s="16"/>
      <c r="O1421" s="16"/>
      <c r="P1421" s="23"/>
      <c r="Q1421" s="17"/>
      <c r="R1421" s="15"/>
      <c r="S1421" s="20"/>
      <c r="T1421" s="68"/>
      <c r="U1421" s="77"/>
      <c r="V1421" s="68"/>
      <c r="W1421" s="71"/>
      <c r="X1421" s="20"/>
    </row>
    <row r="1422">
      <c r="A1422" s="16"/>
      <c r="B1422" s="17"/>
      <c r="E1422" s="17"/>
      <c r="F1422" s="17"/>
      <c r="G1422" s="17"/>
      <c r="H1422" s="10"/>
      <c r="L1422" s="31"/>
      <c r="N1422" s="16"/>
      <c r="O1422" s="16"/>
      <c r="P1422" s="23"/>
      <c r="Q1422" s="17"/>
      <c r="R1422" s="15"/>
      <c r="S1422" s="20"/>
      <c r="T1422" s="68"/>
      <c r="U1422" s="77"/>
      <c r="V1422" s="68"/>
      <c r="W1422" s="71"/>
      <c r="X1422" s="20"/>
    </row>
    <row r="1423">
      <c r="A1423" s="16"/>
      <c r="B1423" s="17"/>
      <c r="E1423" s="17"/>
      <c r="F1423" s="17"/>
      <c r="G1423" s="17"/>
      <c r="H1423" s="10"/>
      <c r="L1423" s="31"/>
      <c r="N1423" s="16"/>
      <c r="O1423" s="16"/>
      <c r="P1423" s="23"/>
      <c r="Q1423" s="17"/>
      <c r="R1423" s="15"/>
      <c r="S1423" s="20"/>
      <c r="T1423" s="68"/>
      <c r="U1423" s="77"/>
      <c r="V1423" s="68"/>
      <c r="W1423" s="71"/>
      <c r="X1423" s="20"/>
    </row>
    <row r="1424">
      <c r="A1424" s="16"/>
      <c r="B1424" s="17"/>
      <c r="E1424" s="17"/>
      <c r="F1424" s="17"/>
      <c r="G1424" s="17"/>
      <c r="H1424" s="10"/>
      <c r="L1424" s="31"/>
      <c r="N1424" s="16"/>
      <c r="O1424" s="16"/>
      <c r="P1424" s="23"/>
      <c r="Q1424" s="17"/>
      <c r="R1424" s="15"/>
      <c r="S1424" s="20"/>
      <c r="T1424" s="68"/>
      <c r="U1424" s="77"/>
      <c r="V1424" s="68"/>
      <c r="W1424" s="71"/>
      <c r="X1424" s="20"/>
    </row>
    <row r="1425">
      <c r="A1425" s="16"/>
      <c r="B1425" s="17"/>
      <c r="E1425" s="17"/>
      <c r="F1425" s="17"/>
      <c r="G1425" s="17"/>
      <c r="H1425" s="10"/>
      <c r="L1425" s="31"/>
      <c r="N1425" s="16"/>
      <c r="O1425" s="16"/>
      <c r="P1425" s="23"/>
      <c r="Q1425" s="17"/>
      <c r="R1425" s="15"/>
      <c r="S1425" s="20"/>
      <c r="T1425" s="68"/>
      <c r="U1425" s="77"/>
      <c r="V1425" s="68"/>
      <c r="W1425" s="71"/>
      <c r="X1425" s="20"/>
    </row>
    <row r="1426">
      <c r="A1426" s="16"/>
      <c r="B1426" s="17"/>
      <c r="E1426" s="17"/>
      <c r="F1426" s="17"/>
      <c r="G1426" s="17"/>
      <c r="H1426" s="10"/>
      <c r="L1426" s="31"/>
      <c r="N1426" s="16"/>
      <c r="O1426" s="16"/>
      <c r="P1426" s="23"/>
      <c r="Q1426" s="17"/>
      <c r="R1426" s="15"/>
      <c r="S1426" s="20"/>
      <c r="T1426" s="68"/>
      <c r="U1426" s="77"/>
      <c r="V1426" s="68"/>
      <c r="W1426" s="71"/>
      <c r="X1426" s="20"/>
    </row>
    <row r="1427">
      <c r="A1427" s="16"/>
      <c r="B1427" s="17"/>
      <c r="E1427" s="17"/>
      <c r="F1427" s="17"/>
      <c r="G1427" s="17"/>
      <c r="H1427" s="10"/>
      <c r="L1427" s="31"/>
      <c r="N1427" s="16"/>
      <c r="O1427" s="16"/>
      <c r="P1427" s="23"/>
      <c r="Q1427" s="17"/>
      <c r="R1427" s="15"/>
      <c r="S1427" s="20"/>
      <c r="T1427" s="68"/>
      <c r="U1427" s="77"/>
      <c r="V1427" s="68"/>
      <c r="W1427" s="71"/>
      <c r="X1427" s="20"/>
    </row>
    <row r="1428">
      <c r="A1428" s="16"/>
      <c r="B1428" s="17"/>
      <c r="E1428" s="17"/>
      <c r="F1428" s="17"/>
      <c r="G1428" s="17"/>
      <c r="H1428" s="10"/>
      <c r="L1428" s="31"/>
      <c r="N1428" s="16"/>
      <c r="O1428" s="16"/>
      <c r="P1428" s="23"/>
      <c r="Q1428" s="17"/>
      <c r="R1428" s="15"/>
      <c r="S1428" s="20"/>
      <c r="T1428" s="68"/>
      <c r="U1428" s="77"/>
      <c r="V1428" s="68"/>
      <c r="W1428" s="71"/>
      <c r="X1428" s="20"/>
    </row>
    <row r="1429">
      <c r="A1429" s="16"/>
      <c r="B1429" s="17"/>
      <c r="E1429" s="17"/>
      <c r="F1429" s="17"/>
      <c r="G1429" s="17"/>
      <c r="H1429" s="10"/>
      <c r="L1429" s="31"/>
      <c r="N1429" s="16"/>
      <c r="O1429" s="16"/>
      <c r="P1429" s="23"/>
      <c r="Q1429" s="17"/>
      <c r="R1429" s="15"/>
      <c r="S1429" s="20"/>
      <c r="T1429" s="68"/>
      <c r="U1429" s="77"/>
      <c r="V1429" s="68"/>
      <c r="W1429" s="71"/>
      <c r="X1429" s="20"/>
    </row>
    <row r="1430">
      <c r="A1430" s="16"/>
      <c r="B1430" s="17"/>
      <c r="E1430" s="17"/>
      <c r="F1430" s="17"/>
      <c r="G1430" s="17"/>
      <c r="H1430" s="10"/>
      <c r="L1430" s="31"/>
      <c r="N1430" s="16"/>
      <c r="O1430" s="16"/>
      <c r="P1430" s="23"/>
      <c r="Q1430" s="17"/>
      <c r="R1430" s="15"/>
      <c r="S1430" s="20"/>
      <c r="T1430" s="68"/>
      <c r="U1430" s="77"/>
      <c r="V1430" s="68"/>
      <c r="W1430" s="71"/>
      <c r="X1430" s="20"/>
    </row>
    <row r="1431">
      <c r="A1431" s="16"/>
      <c r="B1431" s="17"/>
      <c r="E1431" s="17"/>
      <c r="F1431" s="17"/>
      <c r="G1431" s="17"/>
      <c r="H1431" s="10"/>
      <c r="L1431" s="31"/>
      <c r="N1431" s="16"/>
      <c r="O1431" s="16"/>
      <c r="P1431" s="23"/>
      <c r="Q1431" s="17"/>
      <c r="R1431" s="15"/>
      <c r="S1431" s="20"/>
      <c r="T1431" s="68"/>
      <c r="U1431" s="77"/>
      <c r="V1431" s="68"/>
      <c r="W1431" s="71"/>
      <c r="X1431" s="20"/>
    </row>
    <row r="1432">
      <c r="A1432" s="16"/>
      <c r="B1432" s="17"/>
      <c r="E1432" s="17"/>
      <c r="F1432" s="17"/>
      <c r="G1432" s="17"/>
      <c r="H1432" s="10"/>
      <c r="L1432" s="31"/>
      <c r="N1432" s="16"/>
      <c r="O1432" s="16"/>
      <c r="P1432" s="23"/>
      <c r="Q1432" s="17"/>
      <c r="R1432" s="15"/>
      <c r="S1432" s="20"/>
      <c r="T1432" s="68"/>
      <c r="U1432" s="77"/>
      <c r="V1432" s="68"/>
      <c r="W1432" s="71"/>
      <c r="X1432" s="20"/>
    </row>
    <row r="1433">
      <c r="A1433" s="16"/>
      <c r="B1433" s="17"/>
      <c r="E1433" s="17"/>
      <c r="F1433" s="17"/>
      <c r="G1433" s="17"/>
      <c r="H1433" s="10"/>
      <c r="L1433" s="31"/>
      <c r="N1433" s="16"/>
      <c r="O1433" s="16"/>
      <c r="P1433" s="23"/>
      <c r="Q1433" s="17"/>
      <c r="R1433" s="15"/>
      <c r="S1433" s="20"/>
      <c r="T1433" s="68"/>
      <c r="U1433" s="77"/>
      <c r="V1433" s="68"/>
      <c r="W1433" s="71"/>
      <c r="X1433" s="20"/>
    </row>
    <row r="1434">
      <c r="A1434" s="16"/>
      <c r="B1434" s="17"/>
      <c r="E1434" s="17"/>
      <c r="F1434" s="17"/>
      <c r="G1434" s="17"/>
      <c r="H1434" s="10"/>
      <c r="L1434" s="31"/>
      <c r="N1434" s="16"/>
      <c r="O1434" s="16"/>
      <c r="P1434" s="23"/>
      <c r="Q1434" s="17"/>
      <c r="R1434" s="15"/>
      <c r="S1434" s="20"/>
      <c r="T1434" s="68"/>
      <c r="U1434" s="77"/>
      <c r="V1434" s="68"/>
      <c r="W1434" s="71"/>
      <c r="X1434" s="20"/>
    </row>
    <row r="1435">
      <c r="A1435" s="16"/>
      <c r="B1435" s="17"/>
      <c r="E1435" s="17"/>
      <c r="F1435" s="17"/>
      <c r="G1435" s="17"/>
      <c r="H1435" s="10"/>
      <c r="L1435" s="31"/>
      <c r="N1435" s="16"/>
      <c r="O1435" s="16"/>
      <c r="P1435" s="23"/>
      <c r="Q1435" s="17"/>
      <c r="R1435" s="15"/>
      <c r="S1435" s="20"/>
      <c r="T1435" s="68"/>
      <c r="U1435" s="77"/>
      <c r="V1435" s="68"/>
      <c r="W1435" s="71"/>
      <c r="X1435" s="20"/>
    </row>
    <row r="1436">
      <c r="A1436" s="16"/>
      <c r="B1436" s="17"/>
      <c r="E1436" s="17"/>
      <c r="F1436" s="17"/>
      <c r="G1436" s="17"/>
      <c r="H1436" s="10"/>
      <c r="L1436" s="31"/>
      <c r="N1436" s="16"/>
      <c r="O1436" s="16"/>
      <c r="P1436" s="23"/>
      <c r="Q1436" s="17"/>
      <c r="R1436" s="15"/>
      <c r="S1436" s="20"/>
      <c r="T1436" s="68"/>
      <c r="U1436" s="77"/>
      <c r="V1436" s="68"/>
      <c r="W1436" s="71"/>
      <c r="X1436" s="20"/>
    </row>
    <row r="1437">
      <c r="A1437" s="16"/>
      <c r="B1437" s="17"/>
      <c r="E1437" s="17"/>
      <c r="F1437" s="17"/>
      <c r="G1437" s="17"/>
      <c r="H1437" s="10"/>
      <c r="L1437" s="31"/>
      <c r="N1437" s="16"/>
      <c r="O1437" s="16"/>
      <c r="P1437" s="23"/>
      <c r="Q1437" s="17"/>
      <c r="R1437" s="15"/>
      <c r="S1437" s="20"/>
      <c r="T1437" s="68"/>
      <c r="U1437" s="77"/>
      <c r="V1437" s="68"/>
      <c r="W1437" s="71"/>
      <c r="X1437" s="20"/>
    </row>
    <row r="1438">
      <c r="A1438" s="16"/>
      <c r="B1438" s="17"/>
      <c r="E1438" s="17"/>
      <c r="F1438" s="17"/>
      <c r="G1438" s="17"/>
      <c r="H1438" s="10"/>
      <c r="L1438" s="31"/>
      <c r="N1438" s="16"/>
      <c r="O1438" s="16"/>
      <c r="P1438" s="23"/>
      <c r="Q1438" s="17"/>
      <c r="R1438" s="15"/>
      <c r="S1438" s="20"/>
      <c r="T1438" s="68"/>
      <c r="U1438" s="77"/>
      <c r="V1438" s="68"/>
      <c r="W1438" s="71"/>
      <c r="X1438" s="20"/>
    </row>
    <row r="1439">
      <c r="A1439" s="16"/>
      <c r="B1439" s="17"/>
      <c r="E1439" s="17"/>
      <c r="F1439" s="17"/>
      <c r="G1439" s="17"/>
      <c r="H1439" s="10"/>
      <c r="L1439" s="31"/>
      <c r="N1439" s="16"/>
      <c r="O1439" s="16"/>
      <c r="P1439" s="23"/>
      <c r="Q1439" s="17"/>
      <c r="R1439" s="15"/>
      <c r="S1439" s="20"/>
      <c r="T1439" s="68"/>
      <c r="U1439" s="77"/>
      <c r="V1439" s="68"/>
      <c r="W1439" s="71"/>
      <c r="X1439" s="20"/>
    </row>
    <row r="1440">
      <c r="A1440" s="16"/>
      <c r="B1440" s="17"/>
      <c r="E1440" s="17"/>
      <c r="F1440" s="17"/>
      <c r="G1440" s="17"/>
      <c r="H1440" s="10"/>
      <c r="L1440" s="31"/>
      <c r="N1440" s="16"/>
      <c r="O1440" s="16"/>
      <c r="P1440" s="23"/>
      <c r="Q1440" s="17"/>
      <c r="R1440" s="15"/>
      <c r="S1440" s="20"/>
      <c r="T1440" s="68"/>
      <c r="U1440" s="77"/>
      <c r="V1440" s="68"/>
      <c r="W1440" s="71"/>
      <c r="X1440" s="20"/>
    </row>
    <row r="1441">
      <c r="A1441" s="16"/>
      <c r="B1441" s="17"/>
      <c r="E1441" s="17"/>
      <c r="F1441" s="17"/>
      <c r="G1441" s="17"/>
      <c r="H1441" s="10"/>
      <c r="L1441" s="31"/>
      <c r="N1441" s="16"/>
      <c r="O1441" s="16"/>
      <c r="P1441" s="23"/>
      <c r="Q1441" s="17"/>
      <c r="R1441" s="15"/>
      <c r="S1441" s="20"/>
      <c r="T1441" s="68"/>
      <c r="U1441" s="77"/>
      <c r="V1441" s="68"/>
      <c r="W1441" s="71"/>
      <c r="X1441" s="20"/>
    </row>
    <row r="1442">
      <c r="A1442" s="16"/>
      <c r="B1442" s="17"/>
      <c r="E1442" s="17"/>
      <c r="F1442" s="17"/>
      <c r="G1442" s="17"/>
      <c r="H1442" s="10"/>
      <c r="L1442" s="31"/>
      <c r="N1442" s="16"/>
      <c r="O1442" s="16"/>
      <c r="P1442" s="23"/>
      <c r="Q1442" s="17"/>
      <c r="R1442" s="15"/>
      <c r="S1442" s="20"/>
      <c r="T1442" s="68"/>
      <c r="U1442" s="77"/>
      <c r="V1442" s="68"/>
      <c r="W1442" s="71"/>
      <c r="X1442" s="20"/>
    </row>
    <row r="1443">
      <c r="A1443" s="16"/>
      <c r="B1443" s="17"/>
      <c r="E1443" s="17"/>
      <c r="F1443" s="17"/>
      <c r="G1443" s="17"/>
      <c r="H1443" s="10"/>
      <c r="L1443" s="31"/>
      <c r="N1443" s="16"/>
      <c r="O1443" s="16"/>
      <c r="P1443" s="23"/>
      <c r="Q1443" s="17"/>
      <c r="R1443" s="15"/>
      <c r="S1443" s="20"/>
      <c r="T1443" s="68"/>
      <c r="U1443" s="77"/>
      <c r="V1443" s="68"/>
      <c r="W1443" s="71"/>
      <c r="X1443" s="20"/>
    </row>
    <row r="1444">
      <c r="A1444" s="16"/>
      <c r="B1444" s="17"/>
      <c r="E1444" s="17"/>
      <c r="F1444" s="17"/>
      <c r="G1444" s="17"/>
      <c r="H1444" s="10"/>
      <c r="L1444" s="31"/>
      <c r="N1444" s="16"/>
      <c r="O1444" s="16"/>
      <c r="P1444" s="23"/>
      <c r="Q1444" s="17"/>
      <c r="R1444" s="15"/>
      <c r="S1444" s="20"/>
      <c r="T1444" s="68"/>
      <c r="U1444" s="77"/>
      <c r="V1444" s="68"/>
      <c r="W1444" s="71"/>
      <c r="X1444" s="20"/>
    </row>
    <row r="1445">
      <c r="A1445" s="16"/>
      <c r="B1445" s="17"/>
      <c r="E1445" s="17"/>
      <c r="F1445" s="17"/>
      <c r="G1445" s="17"/>
      <c r="H1445" s="10"/>
      <c r="L1445" s="31"/>
      <c r="N1445" s="16"/>
      <c r="O1445" s="16"/>
      <c r="P1445" s="23"/>
      <c r="Q1445" s="17"/>
      <c r="R1445" s="15"/>
      <c r="S1445" s="20"/>
      <c r="T1445" s="68"/>
      <c r="U1445" s="77"/>
      <c r="V1445" s="68"/>
      <c r="W1445" s="71"/>
      <c r="X1445" s="20"/>
    </row>
    <row r="1446">
      <c r="A1446" s="16"/>
      <c r="B1446" s="17"/>
      <c r="E1446" s="17"/>
      <c r="F1446" s="17"/>
      <c r="G1446" s="17"/>
      <c r="H1446" s="10"/>
      <c r="L1446" s="31"/>
      <c r="N1446" s="16"/>
      <c r="O1446" s="16"/>
      <c r="P1446" s="23"/>
      <c r="Q1446" s="17"/>
      <c r="R1446" s="15"/>
      <c r="S1446" s="20"/>
      <c r="T1446" s="68"/>
      <c r="U1446" s="77"/>
      <c r="V1446" s="68"/>
      <c r="W1446" s="71"/>
      <c r="X1446" s="20"/>
    </row>
    <row r="1447">
      <c r="A1447" s="16"/>
      <c r="B1447" s="17"/>
      <c r="E1447" s="17"/>
      <c r="F1447" s="17"/>
      <c r="G1447" s="17"/>
      <c r="H1447" s="10"/>
      <c r="L1447" s="31"/>
      <c r="N1447" s="16"/>
      <c r="O1447" s="16"/>
      <c r="P1447" s="23"/>
      <c r="Q1447" s="17"/>
      <c r="R1447" s="15"/>
      <c r="S1447" s="20"/>
      <c r="T1447" s="68"/>
      <c r="U1447" s="77"/>
      <c r="V1447" s="68"/>
      <c r="W1447" s="71"/>
      <c r="X1447" s="20"/>
    </row>
    <row r="1448">
      <c r="A1448" s="16"/>
      <c r="B1448" s="17"/>
      <c r="E1448" s="17"/>
      <c r="F1448" s="17"/>
      <c r="G1448" s="17"/>
      <c r="H1448" s="10"/>
      <c r="L1448" s="31"/>
      <c r="N1448" s="16"/>
      <c r="O1448" s="16"/>
      <c r="P1448" s="23"/>
      <c r="Q1448" s="17"/>
      <c r="R1448" s="15"/>
      <c r="S1448" s="20"/>
      <c r="T1448" s="68"/>
      <c r="U1448" s="77"/>
      <c r="V1448" s="68"/>
      <c r="W1448" s="71"/>
      <c r="X1448" s="20"/>
    </row>
    <row r="1449">
      <c r="A1449" s="16"/>
      <c r="B1449" s="17"/>
      <c r="E1449" s="17"/>
      <c r="F1449" s="17"/>
      <c r="G1449" s="17"/>
      <c r="H1449" s="10"/>
      <c r="L1449" s="31"/>
      <c r="N1449" s="16"/>
      <c r="O1449" s="16"/>
      <c r="P1449" s="23"/>
      <c r="Q1449" s="17"/>
      <c r="R1449" s="15"/>
      <c r="S1449" s="20"/>
      <c r="T1449" s="68"/>
      <c r="U1449" s="77"/>
      <c r="V1449" s="68"/>
      <c r="W1449" s="71"/>
      <c r="X1449" s="20"/>
    </row>
    <row r="1450">
      <c r="A1450" s="16"/>
      <c r="B1450" s="17"/>
      <c r="E1450" s="17"/>
      <c r="F1450" s="17"/>
      <c r="G1450" s="17"/>
      <c r="H1450" s="10"/>
      <c r="L1450" s="31"/>
      <c r="N1450" s="16"/>
      <c r="O1450" s="16"/>
      <c r="P1450" s="23"/>
      <c r="Q1450" s="17"/>
      <c r="R1450" s="15"/>
      <c r="S1450" s="20"/>
      <c r="T1450" s="68"/>
      <c r="U1450" s="77"/>
      <c r="V1450" s="68"/>
      <c r="W1450" s="71"/>
      <c r="X1450" s="20"/>
    </row>
    <row r="1451">
      <c r="A1451" s="16"/>
      <c r="B1451" s="17"/>
      <c r="E1451" s="17"/>
      <c r="F1451" s="17"/>
      <c r="G1451" s="17"/>
      <c r="H1451" s="10"/>
      <c r="L1451" s="31"/>
      <c r="N1451" s="16"/>
      <c r="O1451" s="16"/>
      <c r="P1451" s="23"/>
      <c r="Q1451" s="17"/>
      <c r="R1451" s="15"/>
      <c r="S1451" s="20"/>
      <c r="T1451" s="68"/>
      <c r="U1451" s="77"/>
      <c r="V1451" s="68"/>
      <c r="W1451" s="71"/>
      <c r="X1451" s="20"/>
    </row>
    <row r="1452">
      <c r="A1452" s="16"/>
      <c r="B1452" s="17"/>
      <c r="E1452" s="17"/>
      <c r="F1452" s="17"/>
      <c r="G1452" s="17"/>
      <c r="H1452" s="10"/>
      <c r="L1452" s="31"/>
      <c r="N1452" s="16"/>
      <c r="O1452" s="16"/>
      <c r="P1452" s="23"/>
      <c r="Q1452" s="17"/>
      <c r="R1452" s="15"/>
      <c r="S1452" s="20"/>
      <c r="T1452" s="68"/>
      <c r="U1452" s="77"/>
      <c r="V1452" s="68"/>
      <c r="W1452" s="71"/>
      <c r="X1452" s="20"/>
    </row>
    <row r="1453">
      <c r="A1453" s="16"/>
      <c r="B1453" s="17"/>
      <c r="E1453" s="17"/>
      <c r="F1453" s="17"/>
      <c r="G1453" s="17"/>
      <c r="H1453" s="10"/>
      <c r="L1453" s="31"/>
      <c r="N1453" s="16"/>
      <c r="O1453" s="16"/>
      <c r="P1453" s="23"/>
      <c r="Q1453" s="17"/>
      <c r="R1453" s="15"/>
      <c r="S1453" s="20"/>
      <c r="T1453" s="68"/>
      <c r="U1453" s="77"/>
      <c r="V1453" s="68"/>
      <c r="W1453" s="71"/>
      <c r="X1453" s="20"/>
    </row>
    <row r="1454">
      <c r="A1454" s="16"/>
      <c r="B1454" s="17"/>
      <c r="E1454" s="17"/>
      <c r="F1454" s="17"/>
      <c r="G1454" s="17"/>
      <c r="H1454" s="10"/>
      <c r="L1454" s="31"/>
      <c r="N1454" s="16"/>
      <c r="O1454" s="16"/>
      <c r="P1454" s="23"/>
      <c r="Q1454" s="17"/>
      <c r="R1454" s="15"/>
      <c r="S1454" s="20"/>
      <c r="T1454" s="68"/>
      <c r="U1454" s="77"/>
      <c r="V1454" s="68"/>
      <c r="W1454" s="71"/>
      <c r="X1454" s="20"/>
    </row>
    <row r="1455">
      <c r="A1455" s="16"/>
      <c r="B1455" s="17"/>
      <c r="E1455" s="17"/>
      <c r="F1455" s="17"/>
      <c r="G1455" s="17"/>
      <c r="H1455" s="10"/>
      <c r="L1455" s="31"/>
      <c r="N1455" s="16"/>
      <c r="O1455" s="16"/>
      <c r="P1455" s="23"/>
      <c r="Q1455" s="17"/>
      <c r="R1455" s="15"/>
      <c r="S1455" s="20"/>
      <c r="T1455" s="68"/>
      <c r="U1455" s="77"/>
      <c r="V1455" s="68"/>
      <c r="W1455" s="71"/>
      <c r="X1455" s="20"/>
    </row>
    <row r="1456">
      <c r="A1456" s="16"/>
      <c r="B1456" s="17"/>
      <c r="E1456" s="17"/>
      <c r="F1456" s="17"/>
      <c r="G1456" s="17"/>
      <c r="H1456" s="10"/>
      <c r="L1456" s="31"/>
      <c r="N1456" s="16"/>
      <c r="O1456" s="16"/>
      <c r="P1456" s="23"/>
      <c r="Q1456" s="17"/>
      <c r="R1456" s="15"/>
      <c r="S1456" s="20"/>
      <c r="T1456" s="68"/>
      <c r="U1456" s="77"/>
      <c r="V1456" s="68"/>
      <c r="W1456" s="71"/>
      <c r="X1456" s="20"/>
    </row>
    <row r="1457">
      <c r="A1457" s="16"/>
      <c r="B1457" s="17"/>
      <c r="E1457" s="17"/>
      <c r="F1457" s="17"/>
      <c r="G1457" s="17"/>
      <c r="H1457" s="10"/>
      <c r="L1457" s="31"/>
      <c r="N1457" s="16"/>
      <c r="O1457" s="16"/>
      <c r="P1457" s="23"/>
      <c r="Q1457" s="17"/>
      <c r="R1457" s="15"/>
      <c r="S1457" s="20"/>
      <c r="T1457" s="68"/>
      <c r="U1457" s="77"/>
      <c r="V1457" s="68"/>
      <c r="W1457" s="71"/>
      <c r="X1457" s="20"/>
    </row>
    <row r="1458">
      <c r="A1458" s="16"/>
      <c r="B1458" s="17"/>
      <c r="E1458" s="17"/>
      <c r="F1458" s="17"/>
      <c r="G1458" s="17"/>
      <c r="H1458" s="10"/>
      <c r="L1458" s="31"/>
      <c r="N1458" s="16"/>
      <c r="O1458" s="16"/>
      <c r="P1458" s="23"/>
      <c r="Q1458" s="17"/>
      <c r="R1458" s="15"/>
      <c r="S1458" s="20"/>
      <c r="T1458" s="68"/>
      <c r="U1458" s="77"/>
      <c r="V1458" s="68"/>
      <c r="W1458" s="71"/>
      <c r="X1458" s="20"/>
    </row>
    <row r="1459">
      <c r="A1459" s="16"/>
      <c r="B1459" s="17"/>
      <c r="E1459" s="17"/>
      <c r="F1459" s="17"/>
      <c r="G1459" s="17"/>
      <c r="H1459" s="10"/>
      <c r="L1459" s="31"/>
      <c r="N1459" s="16"/>
      <c r="O1459" s="16"/>
      <c r="P1459" s="23"/>
      <c r="Q1459" s="17"/>
      <c r="R1459" s="15"/>
      <c r="S1459" s="20"/>
      <c r="T1459" s="68"/>
      <c r="U1459" s="77"/>
      <c r="V1459" s="68"/>
      <c r="W1459" s="71"/>
      <c r="X1459" s="20"/>
    </row>
    <row r="1460">
      <c r="A1460" s="16"/>
      <c r="B1460" s="17"/>
      <c r="E1460" s="17"/>
      <c r="F1460" s="17"/>
      <c r="G1460" s="17"/>
      <c r="H1460" s="10"/>
      <c r="L1460" s="31"/>
      <c r="N1460" s="16"/>
      <c r="O1460" s="16"/>
      <c r="P1460" s="23"/>
      <c r="Q1460" s="17"/>
      <c r="R1460" s="15"/>
      <c r="S1460" s="20"/>
      <c r="T1460" s="68"/>
      <c r="U1460" s="77"/>
      <c r="V1460" s="68"/>
      <c r="W1460" s="71"/>
      <c r="X1460" s="20"/>
    </row>
    <row r="1461">
      <c r="A1461" s="16"/>
      <c r="B1461" s="17"/>
      <c r="E1461" s="17"/>
      <c r="F1461" s="17"/>
      <c r="G1461" s="17"/>
      <c r="H1461" s="10"/>
      <c r="L1461" s="31"/>
      <c r="N1461" s="16"/>
      <c r="O1461" s="16"/>
      <c r="P1461" s="23"/>
      <c r="Q1461" s="17"/>
      <c r="R1461" s="15"/>
      <c r="S1461" s="20"/>
      <c r="T1461" s="68"/>
      <c r="U1461" s="77"/>
      <c r="V1461" s="68"/>
      <c r="W1461" s="71"/>
      <c r="X1461" s="20"/>
    </row>
    <row r="1462">
      <c r="A1462" s="16"/>
      <c r="B1462" s="17"/>
      <c r="E1462" s="17"/>
      <c r="F1462" s="17"/>
      <c r="G1462" s="17"/>
      <c r="H1462" s="10"/>
      <c r="L1462" s="31"/>
      <c r="N1462" s="16"/>
      <c r="O1462" s="16"/>
      <c r="P1462" s="23"/>
      <c r="Q1462" s="17"/>
      <c r="R1462" s="15"/>
      <c r="S1462" s="20"/>
      <c r="T1462" s="68"/>
      <c r="U1462" s="77"/>
      <c r="V1462" s="68"/>
      <c r="W1462" s="71"/>
      <c r="X1462" s="20"/>
    </row>
    <row r="1463">
      <c r="A1463" s="16"/>
      <c r="B1463" s="17"/>
      <c r="E1463" s="17"/>
      <c r="F1463" s="17"/>
      <c r="G1463" s="17"/>
      <c r="H1463" s="10"/>
      <c r="L1463" s="31"/>
      <c r="N1463" s="16"/>
      <c r="O1463" s="16"/>
      <c r="P1463" s="23"/>
      <c r="Q1463" s="17"/>
      <c r="R1463" s="15"/>
      <c r="S1463" s="20"/>
      <c r="T1463" s="68"/>
      <c r="U1463" s="77"/>
      <c r="V1463" s="68"/>
      <c r="W1463" s="71"/>
      <c r="X1463" s="20"/>
    </row>
    <row r="1464">
      <c r="A1464" s="16"/>
      <c r="B1464" s="17"/>
      <c r="E1464" s="17"/>
      <c r="F1464" s="17"/>
      <c r="G1464" s="17"/>
      <c r="H1464" s="10"/>
      <c r="L1464" s="31"/>
      <c r="N1464" s="16"/>
      <c r="O1464" s="16"/>
      <c r="P1464" s="23"/>
      <c r="Q1464" s="17"/>
      <c r="R1464" s="15"/>
      <c r="S1464" s="20"/>
      <c r="T1464" s="68"/>
      <c r="U1464" s="77"/>
      <c r="V1464" s="68"/>
      <c r="W1464" s="71"/>
      <c r="X1464" s="20"/>
    </row>
    <row r="1465">
      <c r="A1465" s="16"/>
      <c r="B1465" s="17"/>
      <c r="E1465" s="17"/>
      <c r="F1465" s="17"/>
      <c r="G1465" s="17"/>
      <c r="H1465" s="10"/>
      <c r="L1465" s="31"/>
      <c r="N1465" s="16"/>
      <c r="O1465" s="16"/>
      <c r="P1465" s="23"/>
      <c r="Q1465" s="17"/>
      <c r="R1465" s="15"/>
      <c r="S1465" s="20"/>
      <c r="T1465" s="68"/>
      <c r="U1465" s="77"/>
      <c r="V1465" s="68"/>
      <c r="W1465" s="71"/>
      <c r="X1465" s="20"/>
    </row>
    <row r="1466">
      <c r="A1466" s="16"/>
      <c r="B1466" s="17"/>
      <c r="E1466" s="17"/>
      <c r="F1466" s="17"/>
      <c r="G1466" s="17"/>
      <c r="H1466" s="10"/>
      <c r="L1466" s="31"/>
      <c r="N1466" s="16"/>
      <c r="O1466" s="16"/>
      <c r="P1466" s="23"/>
      <c r="Q1466" s="17"/>
      <c r="R1466" s="15"/>
      <c r="S1466" s="20"/>
      <c r="T1466" s="68"/>
      <c r="U1466" s="77"/>
      <c r="V1466" s="68"/>
      <c r="W1466" s="71"/>
      <c r="X1466" s="20"/>
    </row>
    <row r="1467">
      <c r="A1467" s="16"/>
      <c r="B1467" s="17"/>
      <c r="E1467" s="17"/>
      <c r="F1467" s="17"/>
      <c r="G1467" s="17"/>
      <c r="H1467" s="10"/>
      <c r="L1467" s="31"/>
      <c r="N1467" s="16"/>
      <c r="O1467" s="16"/>
      <c r="P1467" s="23"/>
      <c r="Q1467" s="17"/>
      <c r="R1467" s="15"/>
      <c r="S1467" s="20"/>
      <c r="T1467" s="68"/>
      <c r="U1467" s="77"/>
      <c r="V1467" s="68"/>
      <c r="W1467" s="71"/>
      <c r="X1467" s="20"/>
    </row>
    <row r="1468">
      <c r="A1468" s="16"/>
      <c r="B1468" s="17"/>
      <c r="E1468" s="17"/>
      <c r="F1468" s="17"/>
      <c r="G1468" s="17"/>
      <c r="H1468" s="10"/>
      <c r="L1468" s="31"/>
      <c r="N1468" s="16"/>
      <c r="O1468" s="16"/>
      <c r="P1468" s="23"/>
      <c r="Q1468" s="17"/>
      <c r="R1468" s="15"/>
      <c r="S1468" s="20"/>
      <c r="T1468" s="68"/>
      <c r="U1468" s="77"/>
      <c r="V1468" s="68"/>
      <c r="W1468" s="71"/>
      <c r="X1468" s="20"/>
    </row>
    <row r="1469">
      <c r="A1469" s="16"/>
      <c r="B1469" s="17"/>
      <c r="E1469" s="17"/>
      <c r="F1469" s="17"/>
      <c r="G1469" s="17"/>
      <c r="H1469" s="10"/>
      <c r="L1469" s="31"/>
      <c r="N1469" s="16"/>
      <c r="O1469" s="16"/>
      <c r="P1469" s="23"/>
      <c r="Q1469" s="17"/>
      <c r="R1469" s="15"/>
      <c r="S1469" s="20"/>
      <c r="T1469" s="68"/>
      <c r="U1469" s="77"/>
      <c r="V1469" s="68"/>
      <c r="W1469" s="71"/>
      <c r="X1469" s="20"/>
    </row>
    <row r="1470">
      <c r="A1470" s="16"/>
      <c r="B1470" s="17"/>
      <c r="E1470" s="17"/>
      <c r="F1470" s="17"/>
      <c r="G1470" s="17"/>
      <c r="H1470" s="10"/>
      <c r="L1470" s="31"/>
      <c r="N1470" s="16"/>
      <c r="O1470" s="16"/>
      <c r="P1470" s="23"/>
      <c r="Q1470" s="17"/>
      <c r="R1470" s="15"/>
      <c r="S1470" s="20"/>
      <c r="T1470" s="68"/>
      <c r="U1470" s="77"/>
      <c r="V1470" s="68"/>
      <c r="W1470" s="71"/>
      <c r="X1470" s="20"/>
    </row>
    <row r="1471">
      <c r="A1471" s="16"/>
      <c r="B1471" s="17"/>
      <c r="E1471" s="17"/>
      <c r="F1471" s="17"/>
      <c r="G1471" s="17"/>
      <c r="H1471" s="10"/>
      <c r="L1471" s="31"/>
      <c r="N1471" s="16"/>
      <c r="O1471" s="16"/>
      <c r="P1471" s="23"/>
      <c r="Q1471" s="17"/>
      <c r="R1471" s="15"/>
      <c r="S1471" s="20"/>
      <c r="T1471" s="68"/>
      <c r="U1471" s="77"/>
      <c r="V1471" s="68"/>
      <c r="W1471" s="71"/>
      <c r="X1471" s="20"/>
    </row>
    <row r="1472">
      <c r="A1472" s="16"/>
      <c r="B1472" s="17"/>
      <c r="E1472" s="17"/>
      <c r="F1472" s="17"/>
      <c r="G1472" s="17"/>
      <c r="H1472" s="10"/>
      <c r="L1472" s="31"/>
      <c r="N1472" s="16"/>
      <c r="O1472" s="16"/>
      <c r="P1472" s="23"/>
      <c r="Q1472" s="17"/>
      <c r="R1472" s="15"/>
      <c r="S1472" s="20"/>
      <c r="T1472" s="68"/>
      <c r="U1472" s="77"/>
      <c r="V1472" s="68"/>
      <c r="W1472" s="71"/>
      <c r="X1472" s="20"/>
    </row>
    <row r="1473">
      <c r="A1473" s="16"/>
      <c r="B1473" s="17"/>
      <c r="E1473" s="17"/>
      <c r="F1473" s="17"/>
      <c r="G1473" s="17"/>
      <c r="H1473" s="10"/>
      <c r="L1473" s="31"/>
      <c r="N1473" s="16"/>
      <c r="O1473" s="16"/>
      <c r="P1473" s="23"/>
      <c r="Q1473" s="17"/>
      <c r="R1473" s="15"/>
      <c r="S1473" s="20"/>
      <c r="T1473" s="68"/>
      <c r="U1473" s="77"/>
      <c r="V1473" s="68"/>
      <c r="W1473" s="71"/>
      <c r="X1473" s="20"/>
    </row>
    <row r="1474">
      <c r="A1474" s="16"/>
      <c r="B1474" s="17"/>
      <c r="E1474" s="17"/>
      <c r="F1474" s="17"/>
      <c r="G1474" s="17"/>
      <c r="H1474" s="10"/>
      <c r="L1474" s="31"/>
      <c r="N1474" s="16"/>
      <c r="O1474" s="16"/>
      <c r="P1474" s="23"/>
      <c r="Q1474" s="17"/>
      <c r="R1474" s="15"/>
      <c r="S1474" s="20"/>
      <c r="T1474" s="68"/>
      <c r="U1474" s="77"/>
      <c r="V1474" s="68"/>
      <c r="W1474" s="71"/>
      <c r="X1474" s="20"/>
    </row>
    <row r="1475">
      <c r="A1475" s="16"/>
      <c r="B1475" s="17"/>
      <c r="E1475" s="17"/>
      <c r="F1475" s="17"/>
      <c r="G1475" s="17"/>
      <c r="H1475" s="10"/>
      <c r="L1475" s="31"/>
      <c r="N1475" s="16"/>
      <c r="O1475" s="16"/>
      <c r="P1475" s="23"/>
      <c r="Q1475" s="17"/>
      <c r="R1475" s="15"/>
      <c r="S1475" s="20"/>
      <c r="T1475" s="68"/>
      <c r="U1475" s="77"/>
      <c r="V1475" s="68"/>
      <c r="W1475" s="71"/>
      <c r="X1475" s="20"/>
    </row>
    <row r="1476">
      <c r="A1476" s="16"/>
      <c r="B1476" s="17"/>
      <c r="E1476" s="17"/>
      <c r="F1476" s="17"/>
      <c r="G1476" s="17"/>
      <c r="H1476" s="10"/>
      <c r="L1476" s="31"/>
      <c r="N1476" s="16"/>
      <c r="O1476" s="16"/>
      <c r="P1476" s="23"/>
      <c r="Q1476" s="17"/>
      <c r="R1476" s="15"/>
      <c r="S1476" s="20"/>
      <c r="T1476" s="68"/>
      <c r="U1476" s="77"/>
      <c r="V1476" s="68"/>
      <c r="W1476" s="71"/>
      <c r="X1476" s="20"/>
    </row>
    <row r="1477">
      <c r="A1477" s="16"/>
      <c r="B1477" s="17"/>
      <c r="E1477" s="17"/>
      <c r="F1477" s="17"/>
      <c r="G1477" s="17"/>
      <c r="H1477" s="10"/>
      <c r="L1477" s="31"/>
      <c r="N1477" s="16"/>
      <c r="O1477" s="16"/>
      <c r="P1477" s="23"/>
      <c r="Q1477" s="17"/>
      <c r="R1477" s="15"/>
      <c r="S1477" s="20"/>
      <c r="T1477" s="68"/>
      <c r="U1477" s="77"/>
      <c r="V1477" s="68"/>
      <c r="W1477" s="71"/>
      <c r="X1477" s="20"/>
    </row>
    <row r="1478">
      <c r="A1478" s="16"/>
      <c r="B1478" s="17"/>
      <c r="E1478" s="17"/>
      <c r="F1478" s="17"/>
      <c r="G1478" s="17"/>
      <c r="H1478" s="10"/>
      <c r="L1478" s="31"/>
      <c r="N1478" s="16"/>
      <c r="O1478" s="16"/>
      <c r="P1478" s="23"/>
      <c r="Q1478" s="17"/>
      <c r="R1478" s="15"/>
      <c r="S1478" s="20"/>
      <c r="T1478" s="68"/>
      <c r="U1478" s="77"/>
      <c r="V1478" s="68"/>
      <c r="W1478" s="71"/>
      <c r="X1478" s="20"/>
    </row>
    <row r="1479">
      <c r="A1479" s="16"/>
      <c r="B1479" s="17"/>
      <c r="E1479" s="17"/>
      <c r="F1479" s="17"/>
      <c r="G1479" s="17"/>
      <c r="H1479" s="10"/>
      <c r="L1479" s="31"/>
      <c r="N1479" s="16"/>
      <c r="O1479" s="16"/>
      <c r="P1479" s="23"/>
      <c r="Q1479" s="17"/>
      <c r="R1479" s="15"/>
      <c r="S1479" s="20"/>
      <c r="T1479" s="68"/>
      <c r="U1479" s="77"/>
      <c r="V1479" s="68"/>
      <c r="W1479" s="71"/>
      <c r="X1479" s="20"/>
    </row>
    <row r="1480">
      <c r="A1480" s="16"/>
      <c r="B1480" s="17"/>
      <c r="E1480" s="17"/>
      <c r="F1480" s="17"/>
      <c r="G1480" s="17"/>
      <c r="H1480" s="10"/>
      <c r="L1480" s="31"/>
      <c r="N1480" s="16"/>
      <c r="O1480" s="16"/>
      <c r="P1480" s="23"/>
      <c r="Q1480" s="17"/>
      <c r="R1480" s="15"/>
      <c r="S1480" s="20"/>
      <c r="T1480" s="68"/>
      <c r="U1480" s="77"/>
      <c r="V1480" s="68"/>
      <c r="W1480" s="71"/>
      <c r="X1480" s="20"/>
    </row>
    <row r="1481">
      <c r="A1481" s="16"/>
      <c r="B1481" s="17"/>
      <c r="E1481" s="17"/>
      <c r="F1481" s="17"/>
      <c r="G1481" s="17"/>
      <c r="H1481" s="10"/>
      <c r="L1481" s="31"/>
      <c r="N1481" s="16"/>
      <c r="O1481" s="16"/>
      <c r="P1481" s="23"/>
      <c r="Q1481" s="17"/>
      <c r="R1481" s="15"/>
      <c r="S1481" s="20"/>
      <c r="T1481" s="68"/>
      <c r="U1481" s="77"/>
      <c r="V1481" s="68"/>
      <c r="W1481" s="71"/>
      <c r="X1481" s="20"/>
    </row>
    <row r="1482">
      <c r="A1482" s="16"/>
      <c r="B1482" s="17"/>
      <c r="E1482" s="17"/>
      <c r="F1482" s="17"/>
      <c r="G1482" s="17"/>
      <c r="H1482" s="10"/>
      <c r="L1482" s="31"/>
      <c r="N1482" s="16"/>
      <c r="O1482" s="16"/>
      <c r="P1482" s="23"/>
      <c r="Q1482" s="17"/>
      <c r="R1482" s="15"/>
      <c r="S1482" s="20"/>
      <c r="T1482" s="68"/>
      <c r="U1482" s="77"/>
      <c r="V1482" s="68"/>
      <c r="W1482" s="71"/>
      <c r="X1482" s="20"/>
    </row>
    <row r="1483">
      <c r="A1483" s="16"/>
      <c r="B1483" s="17"/>
      <c r="E1483" s="17"/>
      <c r="F1483" s="17"/>
      <c r="G1483" s="17"/>
      <c r="H1483" s="10"/>
      <c r="L1483" s="31"/>
      <c r="N1483" s="16"/>
      <c r="O1483" s="16"/>
      <c r="P1483" s="23"/>
      <c r="Q1483" s="17"/>
      <c r="R1483" s="15"/>
      <c r="S1483" s="20"/>
      <c r="T1483" s="68"/>
      <c r="U1483" s="77"/>
      <c r="V1483" s="68"/>
      <c r="W1483" s="71"/>
      <c r="X1483" s="20"/>
    </row>
    <row r="1484">
      <c r="A1484" s="16"/>
      <c r="B1484" s="17"/>
      <c r="E1484" s="17"/>
      <c r="F1484" s="17"/>
      <c r="G1484" s="17"/>
      <c r="H1484" s="10"/>
      <c r="L1484" s="31"/>
      <c r="N1484" s="16"/>
      <c r="O1484" s="16"/>
      <c r="P1484" s="23"/>
      <c r="Q1484" s="17"/>
      <c r="R1484" s="15"/>
      <c r="S1484" s="20"/>
      <c r="T1484" s="68"/>
      <c r="U1484" s="77"/>
      <c r="V1484" s="68"/>
      <c r="W1484" s="71"/>
      <c r="X1484" s="20"/>
    </row>
    <row r="1485">
      <c r="A1485" s="16"/>
      <c r="B1485" s="17"/>
      <c r="E1485" s="17"/>
      <c r="F1485" s="17"/>
      <c r="G1485" s="17"/>
      <c r="H1485" s="10"/>
      <c r="L1485" s="31"/>
      <c r="N1485" s="16"/>
      <c r="O1485" s="16"/>
      <c r="P1485" s="23"/>
      <c r="Q1485" s="17"/>
      <c r="R1485" s="15"/>
      <c r="S1485" s="20"/>
      <c r="T1485" s="68"/>
      <c r="U1485" s="77"/>
      <c r="V1485" s="68"/>
      <c r="W1485" s="71"/>
      <c r="X1485" s="20"/>
    </row>
    <row r="1486">
      <c r="A1486" s="16"/>
      <c r="B1486" s="17"/>
      <c r="E1486" s="17"/>
      <c r="F1486" s="17"/>
      <c r="G1486" s="17"/>
      <c r="H1486" s="10"/>
      <c r="L1486" s="31"/>
      <c r="N1486" s="16"/>
      <c r="O1486" s="16"/>
      <c r="P1486" s="23"/>
      <c r="Q1486" s="17"/>
      <c r="R1486" s="15"/>
      <c r="S1486" s="20"/>
      <c r="T1486" s="68"/>
      <c r="U1486" s="77"/>
      <c r="V1486" s="68"/>
      <c r="W1486" s="71"/>
      <c r="X1486" s="20"/>
    </row>
    <row r="1487">
      <c r="A1487" s="16"/>
      <c r="B1487" s="17"/>
      <c r="E1487" s="17"/>
      <c r="F1487" s="17"/>
      <c r="G1487" s="17"/>
      <c r="H1487" s="10"/>
      <c r="L1487" s="31"/>
      <c r="N1487" s="16"/>
      <c r="O1487" s="16"/>
      <c r="P1487" s="23"/>
      <c r="Q1487" s="17"/>
      <c r="R1487" s="15"/>
      <c r="S1487" s="20"/>
      <c r="T1487" s="68"/>
      <c r="U1487" s="77"/>
      <c r="V1487" s="68"/>
      <c r="W1487" s="71"/>
      <c r="X1487" s="20"/>
    </row>
    <row r="1488">
      <c r="A1488" s="16"/>
      <c r="B1488" s="17"/>
      <c r="E1488" s="17"/>
      <c r="F1488" s="17"/>
      <c r="G1488" s="17"/>
      <c r="H1488" s="10"/>
      <c r="L1488" s="31"/>
      <c r="N1488" s="16"/>
      <c r="O1488" s="16"/>
      <c r="P1488" s="23"/>
      <c r="Q1488" s="17"/>
      <c r="R1488" s="15"/>
      <c r="S1488" s="20"/>
      <c r="T1488" s="68"/>
      <c r="U1488" s="77"/>
      <c r="V1488" s="68"/>
      <c r="W1488" s="71"/>
      <c r="X1488" s="20"/>
    </row>
    <row r="1489">
      <c r="A1489" s="16"/>
      <c r="B1489" s="17"/>
      <c r="E1489" s="17"/>
      <c r="F1489" s="17"/>
      <c r="G1489" s="17"/>
      <c r="H1489" s="10"/>
      <c r="L1489" s="31"/>
      <c r="N1489" s="16"/>
      <c r="O1489" s="16"/>
      <c r="P1489" s="23"/>
      <c r="Q1489" s="17"/>
      <c r="R1489" s="15"/>
      <c r="S1489" s="20"/>
      <c r="T1489" s="68"/>
      <c r="U1489" s="77"/>
      <c r="V1489" s="68"/>
      <c r="W1489" s="71"/>
      <c r="X1489" s="20"/>
    </row>
    <row r="1490">
      <c r="A1490" s="16"/>
      <c r="B1490" s="17"/>
      <c r="E1490" s="17"/>
      <c r="F1490" s="17"/>
      <c r="G1490" s="17"/>
      <c r="H1490" s="10"/>
      <c r="L1490" s="31"/>
      <c r="N1490" s="16"/>
      <c r="O1490" s="16"/>
      <c r="P1490" s="23"/>
      <c r="Q1490" s="17"/>
      <c r="R1490" s="15"/>
      <c r="S1490" s="20"/>
      <c r="T1490" s="68"/>
      <c r="U1490" s="77"/>
      <c r="V1490" s="68"/>
      <c r="W1490" s="71"/>
      <c r="X1490" s="20"/>
    </row>
    <row r="1491">
      <c r="A1491" s="16"/>
      <c r="B1491" s="17"/>
      <c r="E1491" s="17"/>
      <c r="F1491" s="17"/>
      <c r="G1491" s="17"/>
      <c r="H1491" s="10"/>
      <c r="L1491" s="31"/>
      <c r="N1491" s="16"/>
      <c r="O1491" s="16"/>
      <c r="P1491" s="23"/>
      <c r="Q1491" s="17"/>
      <c r="R1491" s="15"/>
      <c r="S1491" s="20"/>
      <c r="T1491" s="68"/>
      <c r="U1491" s="77"/>
      <c r="V1491" s="68"/>
      <c r="W1491" s="71"/>
      <c r="X1491" s="20"/>
    </row>
    <row r="1492">
      <c r="A1492" s="16"/>
      <c r="B1492" s="17"/>
      <c r="E1492" s="17"/>
      <c r="F1492" s="17"/>
      <c r="G1492" s="17"/>
      <c r="H1492" s="10"/>
      <c r="L1492" s="31"/>
      <c r="N1492" s="16"/>
      <c r="O1492" s="16"/>
      <c r="P1492" s="23"/>
      <c r="Q1492" s="17"/>
      <c r="R1492" s="15"/>
      <c r="S1492" s="20"/>
      <c r="T1492" s="68"/>
      <c r="U1492" s="77"/>
      <c r="V1492" s="68"/>
      <c r="W1492" s="71"/>
      <c r="X1492" s="20"/>
    </row>
    <row r="1493">
      <c r="A1493" s="16"/>
      <c r="B1493" s="17"/>
      <c r="E1493" s="17"/>
      <c r="F1493" s="17"/>
      <c r="G1493" s="17"/>
      <c r="H1493" s="10"/>
      <c r="L1493" s="31"/>
      <c r="N1493" s="16"/>
      <c r="O1493" s="16"/>
      <c r="P1493" s="23"/>
      <c r="Q1493" s="17"/>
      <c r="R1493" s="15"/>
      <c r="S1493" s="20"/>
      <c r="T1493" s="68"/>
      <c r="U1493" s="77"/>
      <c r="V1493" s="68"/>
      <c r="W1493" s="71"/>
      <c r="X1493" s="20"/>
    </row>
    <row r="1494">
      <c r="A1494" s="16"/>
      <c r="B1494" s="17"/>
      <c r="E1494" s="17"/>
      <c r="F1494" s="17"/>
      <c r="G1494" s="17"/>
      <c r="H1494" s="10"/>
      <c r="L1494" s="31"/>
      <c r="N1494" s="16"/>
      <c r="O1494" s="16"/>
      <c r="P1494" s="23"/>
      <c r="Q1494" s="17"/>
      <c r="R1494" s="15"/>
      <c r="S1494" s="20"/>
      <c r="T1494" s="68"/>
      <c r="U1494" s="77"/>
      <c r="V1494" s="68"/>
      <c r="W1494" s="71"/>
      <c r="X1494" s="20"/>
    </row>
    <row r="1495">
      <c r="A1495" s="16"/>
      <c r="B1495" s="17"/>
      <c r="E1495" s="17"/>
      <c r="F1495" s="17"/>
      <c r="G1495" s="17"/>
      <c r="H1495" s="10"/>
      <c r="L1495" s="31"/>
      <c r="N1495" s="16"/>
      <c r="O1495" s="16"/>
      <c r="P1495" s="23"/>
      <c r="Q1495" s="17"/>
      <c r="R1495" s="15"/>
      <c r="S1495" s="20"/>
      <c r="T1495" s="68"/>
      <c r="U1495" s="77"/>
      <c r="V1495" s="68"/>
      <c r="W1495" s="71"/>
      <c r="X1495" s="20"/>
    </row>
    <row r="1496">
      <c r="A1496" s="16"/>
      <c r="B1496" s="17"/>
      <c r="E1496" s="17"/>
      <c r="F1496" s="17"/>
      <c r="G1496" s="17"/>
      <c r="H1496" s="10"/>
      <c r="L1496" s="31"/>
      <c r="N1496" s="16"/>
      <c r="O1496" s="16"/>
      <c r="P1496" s="23"/>
      <c r="Q1496" s="17"/>
      <c r="R1496" s="15"/>
      <c r="S1496" s="20"/>
      <c r="T1496" s="68"/>
      <c r="U1496" s="77"/>
      <c r="V1496" s="68"/>
      <c r="W1496" s="71"/>
      <c r="X1496" s="20"/>
    </row>
    <row r="1497">
      <c r="A1497" s="16"/>
      <c r="B1497" s="17"/>
      <c r="E1497" s="17"/>
      <c r="F1497" s="17"/>
      <c r="G1497" s="17"/>
      <c r="H1497" s="10"/>
      <c r="L1497" s="31"/>
      <c r="N1497" s="16"/>
      <c r="O1497" s="16"/>
      <c r="P1497" s="23"/>
      <c r="Q1497" s="17"/>
      <c r="R1497" s="15"/>
      <c r="S1497" s="20"/>
      <c r="T1497" s="68"/>
      <c r="U1497" s="77"/>
      <c r="V1497" s="68"/>
      <c r="W1497" s="71"/>
      <c r="X1497" s="20"/>
    </row>
    <row r="1498">
      <c r="A1498" s="16"/>
      <c r="B1498" s="17"/>
      <c r="E1498" s="17"/>
      <c r="F1498" s="17"/>
      <c r="G1498" s="17"/>
      <c r="H1498" s="10"/>
      <c r="L1498" s="31"/>
      <c r="N1498" s="16"/>
      <c r="O1498" s="16"/>
      <c r="P1498" s="23"/>
      <c r="Q1498" s="17"/>
      <c r="R1498" s="15"/>
      <c r="S1498" s="20"/>
      <c r="T1498" s="68"/>
      <c r="U1498" s="77"/>
      <c r="V1498" s="68"/>
      <c r="W1498" s="71"/>
      <c r="X1498" s="20"/>
    </row>
    <row r="1499">
      <c r="A1499" s="16"/>
      <c r="B1499" s="17"/>
      <c r="E1499" s="17"/>
      <c r="F1499" s="17"/>
      <c r="G1499" s="17"/>
      <c r="H1499" s="10"/>
      <c r="L1499" s="31"/>
      <c r="N1499" s="16"/>
      <c r="O1499" s="16"/>
      <c r="P1499" s="23"/>
      <c r="Q1499" s="17"/>
      <c r="R1499" s="15"/>
      <c r="S1499" s="20"/>
      <c r="T1499" s="68"/>
      <c r="U1499" s="77"/>
      <c r="V1499" s="68"/>
      <c r="W1499" s="71"/>
      <c r="X1499" s="20"/>
    </row>
    <row r="1500">
      <c r="A1500" s="16"/>
      <c r="B1500" s="17"/>
      <c r="E1500" s="17"/>
      <c r="F1500" s="17"/>
      <c r="G1500" s="17"/>
      <c r="H1500" s="10"/>
      <c r="L1500" s="31"/>
      <c r="N1500" s="16"/>
      <c r="O1500" s="16"/>
      <c r="P1500" s="23"/>
      <c r="Q1500" s="17"/>
      <c r="R1500" s="15"/>
      <c r="S1500" s="20"/>
      <c r="T1500" s="68"/>
      <c r="U1500" s="77"/>
      <c r="V1500" s="68"/>
      <c r="W1500" s="71"/>
      <c r="X1500" s="20"/>
    </row>
    <row r="1501">
      <c r="A1501" s="16"/>
      <c r="B1501" s="17"/>
      <c r="E1501" s="17"/>
      <c r="F1501" s="17"/>
      <c r="G1501" s="17"/>
      <c r="H1501" s="10"/>
      <c r="L1501" s="31"/>
      <c r="N1501" s="16"/>
      <c r="O1501" s="16"/>
      <c r="P1501" s="23"/>
      <c r="Q1501" s="17"/>
      <c r="R1501" s="15"/>
      <c r="S1501" s="20"/>
      <c r="T1501" s="68"/>
      <c r="U1501" s="77"/>
      <c r="V1501" s="68"/>
      <c r="W1501" s="71"/>
      <c r="X1501" s="20"/>
    </row>
    <row r="1502">
      <c r="A1502" s="16"/>
      <c r="B1502" s="17"/>
      <c r="E1502" s="17"/>
      <c r="F1502" s="17"/>
      <c r="G1502" s="17"/>
      <c r="H1502" s="10"/>
      <c r="L1502" s="31"/>
      <c r="N1502" s="16"/>
      <c r="O1502" s="16"/>
      <c r="P1502" s="23"/>
      <c r="Q1502" s="17"/>
      <c r="R1502" s="15"/>
      <c r="S1502" s="20"/>
      <c r="T1502" s="68"/>
      <c r="U1502" s="77"/>
      <c r="V1502" s="68"/>
      <c r="W1502" s="71"/>
      <c r="X1502" s="20"/>
    </row>
    <row r="1503">
      <c r="A1503" s="16"/>
      <c r="B1503" s="17"/>
      <c r="E1503" s="17"/>
      <c r="F1503" s="17"/>
      <c r="G1503" s="17"/>
      <c r="H1503" s="10"/>
      <c r="L1503" s="31"/>
      <c r="N1503" s="16"/>
      <c r="O1503" s="16"/>
      <c r="P1503" s="23"/>
      <c r="Q1503" s="17"/>
      <c r="R1503" s="15"/>
      <c r="S1503" s="20"/>
      <c r="T1503" s="68"/>
      <c r="U1503" s="77"/>
      <c r="V1503" s="68"/>
      <c r="W1503" s="71"/>
      <c r="X1503" s="20"/>
    </row>
    <row r="1504">
      <c r="A1504" s="16"/>
      <c r="B1504" s="17"/>
      <c r="E1504" s="17"/>
      <c r="F1504" s="17"/>
      <c r="G1504" s="17"/>
      <c r="H1504" s="10"/>
      <c r="L1504" s="31"/>
      <c r="N1504" s="16"/>
      <c r="O1504" s="16"/>
      <c r="P1504" s="23"/>
      <c r="Q1504" s="17"/>
      <c r="R1504" s="15"/>
      <c r="S1504" s="20"/>
      <c r="T1504" s="68"/>
      <c r="U1504" s="77"/>
      <c r="V1504" s="68"/>
      <c r="W1504" s="71"/>
      <c r="X1504" s="20"/>
    </row>
    <row r="1505">
      <c r="A1505" s="16"/>
      <c r="B1505" s="17"/>
      <c r="E1505" s="17"/>
      <c r="F1505" s="17"/>
      <c r="G1505" s="17"/>
      <c r="H1505" s="10"/>
      <c r="L1505" s="31"/>
      <c r="N1505" s="16"/>
      <c r="O1505" s="16"/>
      <c r="P1505" s="23"/>
      <c r="Q1505" s="17"/>
      <c r="R1505" s="15"/>
      <c r="S1505" s="20"/>
      <c r="T1505" s="68"/>
      <c r="U1505" s="77"/>
      <c r="V1505" s="68"/>
      <c r="W1505" s="71"/>
      <c r="X1505" s="20"/>
    </row>
    <row r="1506">
      <c r="A1506" s="16"/>
      <c r="B1506" s="17"/>
      <c r="E1506" s="17"/>
      <c r="F1506" s="17"/>
      <c r="G1506" s="17"/>
      <c r="H1506" s="10"/>
      <c r="L1506" s="31"/>
      <c r="N1506" s="16"/>
      <c r="O1506" s="16"/>
      <c r="P1506" s="23"/>
      <c r="Q1506" s="17"/>
      <c r="R1506" s="15"/>
      <c r="S1506" s="20"/>
      <c r="T1506" s="68"/>
      <c r="U1506" s="77"/>
      <c r="V1506" s="68"/>
      <c r="W1506" s="71"/>
      <c r="X1506" s="20"/>
    </row>
    <row r="1507">
      <c r="A1507" s="16"/>
      <c r="B1507" s="17"/>
      <c r="E1507" s="17"/>
      <c r="F1507" s="17"/>
      <c r="G1507" s="17"/>
      <c r="H1507" s="10"/>
      <c r="L1507" s="31"/>
      <c r="N1507" s="16"/>
      <c r="O1507" s="16"/>
      <c r="P1507" s="23"/>
      <c r="Q1507" s="17"/>
      <c r="R1507" s="15"/>
      <c r="S1507" s="20"/>
      <c r="T1507" s="68"/>
      <c r="U1507" s="77"/>
      <c r="V1507" s="68"/>
      <c r="W1507" s="71"/>
      <c r="X1507" s="20"/>
    </row>
    <row r="1508">
      <c r="A1508" s="16"/>
      <c r="B1508" s="17"/>
      <c r="E1508" s="17"/>
      <c r="F1508" s="17"/>
      <c r="G1508" s="17"/>
      <c r="H1508" s="10"/>
      <c r="L1508" s="31"/>
      <c r="N1508" s="16"/>
      <c r="O1508" s="16"/>
      <c r="P1508" s="23"/>
      <c r="Q1508" s="17"/>
      <c r="R1508" s="15"/>
      <c r="S1508" s="20"/>
      <c r="T1508" s="68"/>
      <c r="U1508" s="77"/>
      <c r="V1508" s="68"/>
      <c r="W1508" s="71"/>
      <c r="X1508" s="20"/>
    </row>
    <row r="1509">
      <c r="A1509" s="16"/>
      <c r="B1509" s="17"/>
      <c r="E1509" s="17"/>
      <c r="F1509" s="17"/>
      <c r="G1509" s="17"/>
      <c r="H1509" s="10"/>
      <c r="L1509" s="31"/>
      <c r="N1509" s="16"/>
      <c r="O1509" s="16"/>
      <c r="P1509" s="23"/>
      <c r="Q1509" s="17"/>
      <c r="R1509" s="15"/>
      <c r="S1509" s="20"/>
      <c r="T1509" s="68"/>
      <c r="U1509" s="77"/>
      <c r="V1509" s="68"/>
      <c r="W1509" s="71"/>
      <c r="X1509" s="20"/>
    </row>
    <row r="1510">
      <c r="A1510" s="16"/>
      <c r="B1510" s="17"/>
      <c r="E1510" s="17"/>
      <c r="F1510" s="17"/>
      <c r="G1510" s="17"/>
      <c r="H1510" s="10"/>
      <c r="L1510" s="31"/>
      <c r="N1510" s="16"/>
      <c r="O1510" s="16"/>
      <c r="P1510" s="23"/>
      <c r="Q1510" s="17"/>
      <c r="R1510" s="15"/>
      <c r="S1510" s="20"/>
      <c r="T1510" s="68"/>
      <c r="U1510" s="77"/>
      <c r="V1510" s="68"/>
      <c r="W1510" s="71"/>
      <c r="X1510" s="20"/>
    </row>
    <row r="1511">
      <c r="A1511" s="16"/>
      <c r="B1511" s="17"/>
      <c r="E1511" s="17"/>
      <c r="F1511" s="17"/>
      <c r="G1511" s="17"/>
      <c r="H1511" s="10"/>
      <c r="L1511" s="31"/>
      <c r="N1511" s="16"/>
      <c r="O1511" s="16"/>
      <c r="P1511" s="23"/>
      <c r="Q1511" s="17"/>
      <c r="R1511" s="15"/>
      <c r="S1511" s="20"/>
      <c r="T1511" s="68"/>
      <c r="U1511" s="77"/>
      <c r="V1511" s="68"/>
      <c r="W1511" s="71"/>
      <c r="X1511" s="20"/>
    </row>
    <row r="1512">
      <c r="A1512" s="16"/>
      <c r="B1512" s="17"/>
      <c r="E1512" s="17"/>
      <c r="F1512" s="17"/>
      <c r="G1512" s="17"/>
      <c r="H1512" s="10"/>
      <c r="L1512" s="31"/>
      <c r="N1512" s="16"/>
      <c r="O1512" s="16"/>
      <c r="P1512" s="23"/>
      <c r="Q1512" s="17"/>
      <c r="R1512" s="15"/>
      <c r="S1512" s="20"/>
      <c r="T1512" s="68"/>
      <c r="U1512" s="77"/>
      <c r="V1512" s="68"/>
      <c r="W1512" s="71"/>
      <c r="X1512" s="20"/>
    </row>
    <row r="1513">
      <c r="A1513" s="16"/>
      <c r="B1513" s="17"/>
      <c r="E1513" s="17"/>
      <c r="F1513" s="17"/>
      <c r="G1513" s="17"/>
      <c r="H1513" s="10"/>
      <c r="L1513" s="31"/>
      <c r="N1513" s="16"/>
      <c r="O1513" s="16"/>
      <c r="P1513" s="23"/>
      <c r="Q1513" s="17"/>
      <c r="R1513" s="15"/>
      <c r="S1513" s="20"/>
      <c r="T1513" s="68"/>
      <c r="U1513" s="77"/>
      <c r="V1513" s="68"/>
      <c r="W1513" s="71"/>
      <c r="X1513" s="20"/>
    </row>
    <row r="1514">
      <c r="A1514" s="16"/>
      <c r="B1514" s="17"/>
      <c r="E1514" s="17"/>
      <c r="F1514" s="17"/>
      <c r="G1514" s="17"/>
      <c r="H1514" s="10"/>
      <c r="L1514" s="31"/>
      <c r="N1514" s="16"/>
      <c r="O1514" s="16"/>
      <c r="P1514" s="23"/>
      <c r="Q1514" s="17"/>
      <c r="R1514" s="15"/>
      <c r="S1514" s="20"/>
      <c r="T1514" s="68"/>
      <c r="U1514" s="77"/>
      <c r="V1514" s="68"/>
      <c r="W1514" s="71"/>
      <c r="X1514" s="20"/>
    </row>
    <row r="1515">
      <c r="A1515" s="16"/>
      <c r="B1515" s="17"/>
      <c r="E1515" s="17"/>
      <c r="F1515" s="17"/>
      <c r="G1515" s="17"/>
      <c r="H1515" s="10"/>
      <c r="L1515" s="31"/>
      <c r="N1515" s="16"/>
      <c r="O1515" s="16"/>
      <c r="P1515" s="23"/>
      <c r="Q1515" s="17"/>
      <c r="R1515" s="15"/>
      <c r="S1515" s="20"/>
      <c r="T1515" s="68"/>
      <c r="U1515" s="77"/>
      <c r="V1515" s="68"/>
      <c r="W1515" s="71"/>
      <c r="X1515" s="20"/>
    </row>
    <row r="1516">
      <c r="A1516" s="16"/>
      <c r="B1516" s="17"/>
      <c r="E1516" s="17"/>
      <c r="F1516" s="17"/>
      <c r="G1516" s="17"/>
      <c r="H1516" s="10"/>
      <c r="L1516" s="31"/>
      <c r="N1516" s="16"/>
      <c r="O1516" s="16"/>
      <c r="P1516" s="23"/>
      <c r="Q1516" s="17"/>
      <c r="R1516" s="15"/>
      <c r="S1516" s="20"/>
      <c r="T1516" s="68"/>
      <c r="U1516" s="77"/>
      <c r="V1516" s="68"/>
      <c r="W1516" s="71"/>
      <c r="X1516" s="20"/>
    </row>
    <row r="1517">
      <c r="A1517" s="16"/>
      <c r="B1517" s="17"/>
      <c r="E1517" s="17"/>
      <c r="F1517" s="17"/>
      <c r="G1517" s="17"/>
      <c r="H1517" s="10"/>
      <c r="L1517" s="31"/>
      <c r="N1517" s="16"/>
      <c r="O1517" s="16"/>
      <c r="P1517" s="23"/>
      <c r="Q1517" s="17"/>
      <c r="R1517" s="15"/>
      <c r="S1517" s="20"/>
      <c r="T1517" s="68"/>
      <c r="U1517" s="77"/>
      <c r="V1517" s="68"/>
      <c r="W1517" s="71"/>
      <c r="X1517" s="20"/>
    </row>
    <row r="1518">
      <c r="A1518" s="16"/>
      <c r="B1518" s="17"/>
      <c r="E1518" s="17"/>
      <c r="F1518" s="17"/>
      <c r="G1518" s="17"/>
      <c r="H1518" s="10"/>
      <c r="L1518" s="31"/>
      <c r="N1518" s="16"/>
      <c r="O1518" s="16"/>
      <c r="P1518" s="23"/>
      <c r="Q1518" s="17"/>
      <c r="R1518" s="15"/>
      <c r="S1518" s="20"/>
      <c r="T1518" s="68"/>
      <c r="U1518" s="77"/>
      <c r="V1518" s="68"/>
      <c r="W1518" s="71"/>
      <c r="X1518" s="20"/>
    </row>
    <row r="1519">
      <c r="A1519" s="16"/>
      <c r="B1519" s="17"/>
      <c r="E1519" s="17"/>
      <c r="F1519" s="17"/>
      <c r="G1519" s="17"/>
      <c r="H1519" s="10"/>
      <c r="L1519" s="31"/>
      <c r="N1519" s="16"/>
      <c r="O1519" s="16"/>
      <c r="P1519" s="23"/>
      <c r="Q1519" s="17"/>
      <c r="R1519" s="15"/>
      <c r="S1519" s="20"/>
      <c r="T1519" s="68"/>
      <c r="U1519" s="77"/>
      <c r="V1519" s="68"/>
      <c r="W1519" s="71"/>
      <c r="X1519" s="20"/>
    </row>
    <row r="1520">
      <c r="A1520" s="16"/>
      <c r="B1520" s="17"/>
      <c r="E1520" s="17"/>
      <c r="F1520" s="17"/>
      <c r="G1520" s="17"/>
      <c r="H1520" s="10"/>
      <c r="L1520" s="31"/>
      <c r="N1520" s="16"/>
      <c r="O1520" s="16"/>
      <c r="P1520" s="23"/>
      <c r="Q1520" s="17"/>
      <c r="R1520" s="15"/>
      <c r="S1520" s="20"/>
      <c r="T1520" s="68"/>
      <c r="U1520" s="77"/>
      <c r="V1520" s="68"/>
      <c r="W1520" s="71"/>
      <c r="X1520" s="20"/>
    </row>
    <row r="1521">
      <c r="A1521" s="16"/>
      <c r="B1521" s="17"/>
      <c r="E1521" s="17"/>
      <c r="F1521" s="17"/>
      <c r="G1521" s="17"/>
      <c r="H1521" s="10"/>
      <c r="L1521" s="31"/>
      <c r="N1521" s="16"/>
      <c r="O1521" s="16"/>
      <c r="P1521" s="23"/>
      <c r="Q1521" s="17"/>
      <c r="R1521" s="15"/>
      <c r="S1521" s="20"/>
      <c r="T1521" s="68"/>
      <c r="U1521" s="77"/>
      <c r="V1521" s="68"/>
      <c r="W1521" s="71"/>
      <c r="X1521" s="20"/>
    </row>
    <row r="1522">
      <c r="A1522" s="16"/>
      <c r="B1522" s="17"/>
      <c r="E1522" s="17"/>
      <c r="F1522" s="17"/>
      <c r="G1522" s="17"/>
      <c r="H1522" s="10"/>
      <c r="L1522" s="31"/>
      <c r="N1522" s="16"/>
      <c r="O1522" s="16"/>
      <c r="P1522" s="23"/>
      <c r="Q1522" s="17"/>
      <c r="R1522" s="15"/>
      <c r="S1522" s="20"/>
      <c r="T1522" s="68"/>
      <c r="U1522" s="77"/>
      <c r="V1522" s="68"/>
      <c r="W1522" s="71"/>
      <c r="X1522" s="20"/>
    </row>
    <row r="1523">
      <c r="A1523" s="16"/>
      <c r="B1523" s="17"/>
      <c r="E1523" s="17"/>
      <c r="F1523" s="17"/>
      <c r="G1523" s="17"/>
      <c r="H1523" s="10"/>
      <c r="L1523" s="31"/>
      <c r="N1523" s="16"/>
      <c r="O1523" s="16"/>
      <c r="P1523" s="23"/>
      <c r="Q1523" s="17"/>
      <c r="R1523" s="15"/>
      <c r="S1523" s="20"/>
      <c r="T1523" s="68"/>
      <c r="U1523" s="77"/>
      <c r="V1523" s="68"/>
      <c r="W1523" s="71"/>
      <c r="X1523" s="20"/>
    </row>
    <row r="1524">
      <c r="A1524" s="16"/>
      <c r="B1524" s="17"/>
      <c r="E1524" s="17"/>
      <c r="F1524" s="17"/>
      <c r="G1524" s="17"/>
      <c r="H1524" s="10"/>
      <c r="L1524" s="31"/>
      <c r="N1524" s="16"/>
      <c r="O1524" s="16"/>
      <c r="P1524" s="23"/>
      <c r="Q1524" s="17"/>
      <c r="R1524" s="15"/>
      <c r="S1524" s="20"/>
      <c r="T1524" s="68"/>
      <c r="U1524" s="77"/>
      <c r="V1524" s="68"/>
      <c r="W1524" s="71"/>
      <c r="X1524" s="20"/>
    </row>
    <row r="1525">
      <c r="A1525" s="16"/>
      <c r="B1525" s="17"/>
      <c r="E1525" s="17"/>
      <c r="F1525" s="17"/>
      <c r="G1525" s="17"/>
      <c r="H1525" s="10"/>
      <c r="L1525" s="31"/>
      <c r="N1525" s="16"/>
      <c r="O1525" s="16"/>
      <c r="P1525" s="23"/>
      <c r="Q1525" s="17"/>
      <c r="R1525" s="15"/>
      <c r="S1525" s="20"/>
      <c r="T1525" s="68"/>
      <c r="U1525" s="77"/>
      <c r="V1525" s="68"/>
      <c r="W1525" s="71"/>
      <c r="X1525" s="20"/>
    </row>
    <row r="1526">
      <c r="A1526" s="16"/>
      <c r="B1526" s="17"/>
      <c r="E1526" s="17"/>
      <c r="F1526" s="17"/>
      <c r="G1526" s="17"/>
      <c r="H1526" s="10"/>
      <c r="L1526" s="31"/>
      <c r="N1526" s="16"/>
      <c r="O1526" s="16"/>
      <c r="P1526" s="23"/>
      <c r="Q1526" s="17"/>
      <c r="R1526" s="15"/>
      <c r="S1526" s="20"/>
      <c r="T1526" s="68"/>
      <c r="U1526" s="77"/>
      <c r="V1526" s="68"/>
      <c r="W1526" s="71"/>
      <c r="X1526" s="20"/>
    </row>
    <row r="1527">
      <c r="A1527" s="16"/>
      <c r="B1527" s="17"/>
      <c r="E1527" s="17"/>
      <c r="F1527" s="17"/>
      <c r="G1527" s="17"/>
      <c r="H1527" s="10"/>
      <c r="L1527" s="31"/>
      <c r="N1527" s="16"/>
      <c r="O1527" s="16"/>
      <c r="P1527" s="23"/>
      <c r="Q1527" s="17"/>
      <c r="R1527" s="15"/>
      <c r="S1527" s="20"/>
      <c r="T1527" s="68"/>
      <c r="U1527" s="77"/>
      <c r="V1527" s="68"/>
      <c r="W1527" s="71"/>
      <c r="X1527" s="20"/>
    </row>
    <row r="1528">
      <c r="A1528" s="16"/>
      <c r="B1528" s="17"/>
      <c r="E1528" s="17"/>
      <c r="F1528" s="17"/>
      <c r="G1528" s="17"/>
      <c r="H1528" s="10"/>
      <c r="L1528" s="31"/>
      <c r="N1528" s="16"/>
      <c r="O1528" s="16"/>
      <c r="P1528" s="23"/>
      <c r="Q1528" s="17"/>
      <c r="R1528" s="15"/>
      <c r="S1528" s="20"/>
      <c r="T1528" s="68"/>
      <c r="U1528" s="77"/>
      <c r="V1528" s="68"/>
      <c r="W1528" s="71"/>
      <c r="X1528" s="20"/>
    </row>
    <row r="1529">
      <c r="A1529" s="16"/>
      <c r="B1529" s="17"/>
      <c r="E1529" s="17"/>
      <c r="F1529" s="17"/>
      <c r="G1529" s="17"/>
      <c r="H1529" s="10"/>
      <c r="L1529" s="31"/>
      <c r="N1529" s="16"/>
      <c r="O1529" s="16"/>
      <c r="P1529" s="23"/>
      <c r="Q1529" s="17"/>
      <c r="R1529" s="15"/>
      <c r="S1529" s="20"/>
      <c r="T1529" s="68"/>
      <c r="U1529" s="77"/>
      <c r="V1529" s="68"/>
      <c r="W1529" s="71"/>
      <c r="X1529" s="20"/>
    </row>
    <row r="1530">
      <c r="A1530" s="16"/>
      <c r="B1530" s="17"/>
      <c r="E1530" s="17"/>
      <c r="F1530" s="17"/>
      <c r="G1530" s="17"/>
      <c r="H1530" s="10"/>
      <c r="L1530" s="31"/>
      <c r="N1530" s="16"/>
      <c r="O1530" s="16"/>
      <c r="P1530" s="23"/>
      <c r="Q1530" s="17"/>
      <c r="R1530" s="15"/>
      <c r="S1530" s="20"/>
      <c r="T1530" s="68"/>
      <c r="U1530" s="77"/>
      <c r="V1530" s="68"/>
      <c r="W1530" s="71"/>
      <c r="X1530" s="20"/>
    </row>
    <row r="1531">
      <c r="A1531" s="16"/>
      <c r="B1531" s="17"/>
      <c r="E1531" s="17"/>
      <c r="F1531" s="17"/>
      <c r="G1531" s="17"/>
      <c r="H1531" s="10"/>
      <c r="L1531" s="31"/>
      <c r="N1531" s="16"/>
      <c r="O1531" s="16"/>
      <c r="P1531" s="23"/>
      <c r="Q1531" s="17"/>
      <c r="R1531" s="15"/>
      <c r="S1531" s="20"/>
      <c r="T1531" s="68"/>
      <c r="U1531" s="77"/>
      <c r="V1531" s="68"/>
      <c r="W1531" s="71"/>
      <c r="X1531" s="20"/>
    </row>
    <row r="1532">
      <c r="A1532" s="16"/>
      <c r="B1532" s="17"/>
      <c r="E1532" s="17"/>
      <c r="F1532" s="17"/>
      <c r="G1532" s="17"/>
      <c r="H1532" s="10"/>
      <c r="L1532" s="31"/>
      <c r="N1532" s="16"/>
      <c r="O1532" s="16"/>
      <c r="P1532" s="23"/>
      <c r="Q1532" s="17"/>
      <c r="R1532" s="15"/>
      <c r="S1532" s="20"/>
      <c r="T1532" s="68"/>
      <c r="U1532" s="77"/>
      <c r="V1532" s="68"/>
      <c r="W1532" s="71"/>
      <c r="X1532" s="20"/>
    </row>
    <row r="1533">
      <c r="A1533" s="16"/>
      <c r="B1533" s="17"/>
      <c r="E1533" s="17"/>
      <c r="F1533" s="17"/>
      <c r="G1533" s="17"/>
      <c r="H1533" s="10"/>
      <c r="L1533" s="31"/>
      <c r="N1533" s="16"/>
      <c r="O1533" s="16"/>
      <c r="P1533" s="23"/>
      <c r="Q1533" s="17"/>
      <c r="R1533" s="15"/>
      <c r="S1533" s="20"/>
      <c r="T1533" s="68"/>
      <c r="U1533" s="77"/>
      <c r="V1533" s="68"/>
      <c r="W1533" s="71"/>
      <c r="X1533" s="20"/>
    </row>
    <row r="1534">
      <c r="A1534" s="16"/>
      <c r="B1534" s="17"/>
      <c r="E1534" s="17"/>
      <c r="F1534" s="17"/>
      <c r="G1534" s="17"/>
      <c r="H1534" s="10"/>
      <c r="L1534" s="31"/>
      <c r="N1534" s="16"/>
      <c r="O1534" s="16"/>
      <c r="P1534" s="23"/>
      <c r="Q1534" s="17"/>
      <c r="R1534" s="15"/>
      <c r="S1534" s="20"/>
      <c r="T1534" s="68"/>
      <c r="U1534" s="77"/>
      <c r="V1534" s="68"/>
      <c r="W1534" s="71"/>
      <c r="X1534" s="20"/>
    </row>
    <row r="1535">
      <c r="A1535" s="16"/>
      <c r="B1535" s="17"/>
      <c r="E1535" s="17"/>
      <c r="F1535" s="17"/>
      <c r="G1535" s="17"/>
      <c r="H1535" s="10"/>
      <c r="L1535" s="31"/>
      <c r="N1535" s="16"/>
      <c r="O1535" s="16"/>
      <c r="P1535" s="23"/>
      <c r="Q1535" s="17"/>
      <c r="R1535" s="15"/>
      <c r="S1535" s="20"/>
      <c r="T1535" s="68"/>
      <c r="U1535" s="77"/>
      <c r="V1535" s="68"/>
      <c r="W1535" s="71"/>
      <c r="X1535" s="20"/>
    </row>
    <row r="1536">
      <c r="A1536" s="16"/>
      <c r="B1536" s="17"/>
      <c r="E1536" s="17"/>
      <c r="F1536" s="17"/>
      <c r="G1536" s="17"/>
      <c r="H1536" s="10"/>
      <c r="L1536" s="31"/>
      <c r="N1536" s="16"/>
      <c r="O1536" s="16"/>
      <c r="P1536" s="23"/>
      <c r="Q1536" s="17"/>
      <c r="R1536" s="15"/>
      <c r="S1536" s="20"/>
      <c r="T1536" s="68"/>
      <c r="U1536" s="77"/>
      <c r="V1536" s="68"/>
      <c r="W1536" s="71"/>
      <c r="X1536" s="20"/>
    </row>
    <row r="1537">
      <c r="A1537" s="16"/>
      <c r="B1537" s="17"/>
      <c r="E1537" s="17"/>
      <c r="F1537" s="17"/>
      <c r="G1537" s="17"/>
      <c r="H1537" s="10"/>
      <c r="L1537" s="31"/>
      <c r="N1537" s="16"/>
      <c r="O1537" s="16"/>
      <c r="P1537" s="23"/>
      <c r="Q1537" s="17"/>
      <c r="R1537" s="15"/>
      <c r="S1537" s="20"/>
      <c r="T1537" s="68"/>
      <c r="U1537" s="77"/>
      <c r="V1537" s="68"/>
      <c r="W1537" s="71"/>
      <c r="X1537" s="20"/>
    </row>
    <row r="1538">
      <c r="A1538" s="16"/>
      <c r="B1538" s="17"/>
      <c r="E1538" s="17"/>
      <c r="F1538" s="17"/>
      <c r="G1538" s="17"/>
      <c r="H1538" s="10"/>
      <c r="L1538" s="31"/>
      <c r="N1538" s="16"/>
      <c r="O1538" s="16"/>
      <c r="P1538" s="23"/>
      <c r="Q1538" s="17"/>
      <c r="R1538" s="15"/>
      <c r="S1538" s="20"/>
      <c r="T1538" s="68"/>
      <c r="U1538" s="77"/>
      <c r="V1538" s="68"/>
      <c r="W1538" s="71"/>
      <c r="X1538" s="20"/>
    </row>
    <row r="1539">
      <c r="A1539" s="16"/>
      <c r="B1539" s="17"/>
      <c r="E1539" s="17"/>
      <c r="F1539" s="17"/>
      <c r="G1539" s="17"/>
      <c r="H1539" s="10"/>
      <c r="L1539" s="31"/>
      <c r="N1539" s="16"/>
      <c r="O1539" s="16"/>
      <c r="P1539" s="23"/>
      <c r="Q1539" s="17"/>
      <c r="R1539" s="15"/>
      <c r="S1539" s="20"/>
      <c r="T1539" s="68"/>
      <c r="U1539" s="77"/>
      <c r="V1539" s="68"/>
      <c r="W1539" s="71"/>
      <c r="X1539" s="20"/>
    </row>
    <row r="1540">
      <c r="A1540" s="16"/>
      <c r="B1540" s="17"/>
      <c r="E1540" s="17"/>
      <c r="F1540" s="17"/>
      <c r="G1540" s="17"/>
      <c r="H1540" s="10"/>
      <c r="L1540" s="31"/>
      <c r="N1540" s="16"/>
      <c r="O1540" s="16"/>
      <c r="P1540" s="23"/>
      <c r="Q1540" s="17"/>
      <c r="R1540" s="15"/>
      <c r="S1540" s="20"/>
      <c r="T1540" s="68"/>
      <c r="U1540" s="77"/>
      <c r="V1540" s="68"/>
      <c r="W1540" s="71"/>
      <c r="X1540" s="20"/>
    </row>
    <row r="1541">
      <c r="A1541" s="16"/>
      <c r="B1541" s="17"/>
      <c r="E1541" s="17"/>
      <c r="F1541" s="17"/>
      <c r="G1541" s="17"/>
      <c r="H1541" s="10"/>
      <c r="L1541" s="31"/>
      <c r="N1541" s="16"/>
      <c r="O1541" s="16"/>
      <c r="P1541" s="23"/>
      <c r="Q1541" s="17"/>
      <c r="R1541" s="15"/>
      <c r="S1541" s="20"/>
      <c r="T1541" s="68"/>
      <c r="U1541" s="77"/>
      <c r="V1541" s="68"/>
      <c r="W1541" s="71"/>
      <c r="X1541" s="20"/>
    </row>
    <row r="1542">
      <c r="A1542" s="16"/>
      <c r="B1542" s="17"/>
      <c r="E1542" s="17"/>
      <c r="F1542" s="17"/>
      <c r="G1542" s="17"/>
      <c r="H1542" s="10"/>
      <c r="L1542" s="31"/>
      <c r="N1542" s="16"/>
      <c r="O1542" s="16"/>
      <c r="P1542" s="23"/>
      <c r="Q1542" s="17"/>
      <c r="R1542" s="15"/>
      <c r="S1542" s="20"/>
      <c r="T1542" s="68"/>
      <c r="U1542" s="77"/>
      <c r="V1542" s="68"/>
      <c r="W1542" s="71"/>
      <c r="X1542" s="20"/>
    </row>
    <row r="1543">
      <c r="A1543" s="16"/>
      <c r="B1543" s="17"/>
      <c r="E1543" s="17"/>
      <c r="F1543" s="17"/>
      <c r="G1543" s="17"/>
      <c r="H1543" s="10"/>
      <c r="L1543" s="31"/>
      <c r="N1543" s="16"/>
      <c r="O1543" s="16"/>
      <c r="P1543" s="23"/>
      <c r="Q1543" s="17"/>
      <c r="R1543" s="15"/>
      <c r="S1543" s="20"/>
      <c r="T1543" s="68"/>
      <c r="U1543" s="77"/>
      <c r="V1543" s="68"/>
      <c r="W1543" s="71"/>
      <c r="X1543" s="20"/>
    </row>
    <row r="1544">
      <c r="A1544" s="16"/>
      <c r="B1544" s="17"/>
      <c r="E1544" s="17"/>
      <c r="F1544" s="17"/>
      <c r="G1544" s="17"/>
      <c r="H1544" s="10"/>
      <c r="L1544" s="31"/>
      <c r="N1544" s="16"/>
      <c r="O1544" s="16"/>
      <c r="P1544" s="23"/>
      <c r="Q1544" s="17"/>
      <c r="R1544" s="15"/>
      <c r="S1544" s="20"/>
      <c r="T1544" s="68"/>
      <c r="U1544" s="77"/>
      <c r="V1544" s="68"/>
      <c r="W1544" s="71"/>
      <c r="X1544" s="20"/>
    </row>
    <row r="1545">
      <c r="A1545" s="16"/>
      <c r="B1545" s="17"/>
      <c r="E1545" s="17"/>
      <c r="F1545" s="17"/>
      <c r="G1545" s="17"/>
      <c r="H1545" s="10"/>
      <c r="L1545" s="31"/>
      <c r="N1545" s="16"/>
      <c r="O1545" s="16"/>
      <c r="P1545" s="23"/>
      <c r="Q1545" s="17"/>
      <c r="R1545" s="15"/>
      <c r="S1545" s="20"/>
      <c r="T1545" s="68"/>
      <c r="U1545" s="77"/>
      <c r="V1545" s="68"/>
      <c r="W1545" s="71"/>
      <c r="X1545" s="20"/>
    </row>
    <row r="1546">
      <c r="A1546" s="16"/>
      <c r="B1546" s="17"/>
      <c r="E1546" s="17"/>
      <c r="F1546" s="17"/>
      <c r="G1546" s="17"/>
      <c r="H1546" s="10"/>
      <c r="L1546" s="31"/>
      <c r="N1546" s="16"/>
      <c r="O1546" s="16"/>
      <c r="P1546" s="23"/>
      <c r="Q1546" s="17"/>
      <c r="R1546" s="15"/>
      <c r="S1546" s="20"/>
      <c r="T1546" s="68"/>
      <c r="U1546" s="77"/>
      <c r="V1546" s="68"/>
      <c r="W1546" s="71"/>
      <c r="X1546" s="20"/>
    </row>
    <row r="1547">
      <c r="A1547" s="16"/>
      <c r="B1547" s="17"/>
      <c r="E1547" s="17"/>
      <c r="F1547" s="17"/>
      <c r="G1547" s="17"/>
      <c r="H1547" s="10"/>
      <c r="L1547" s="31"/>
      <c r="N1547" s="16"/>
      <c r="O1547" s="16"/>
      <c r="P1547" s="23"/>
      <c r="Q1547" s="17"/>
      <c r="R1547" s="15"/>
      <c r="S1547" s="20"/>
      <c r="T1547" s="68"/>
      <c r="U1547" s="77"/>
      <c r="V1547" s="68"/>
      <c r="W1547" s="71"/>
      <c r="X1547" s="20"/>
    </row>
    <row r="1548">
      <c r="A1548" s="16"/>
      <c r="B1548" s="17"/>
      <c r="E1548" s="17"/>
      <c r="F1548" s="17"/>
      <c r="G1548" s="17"/>
      <c r="H1548" s="10"/>
      <c r="L1548" s="31"/>
      <c r="N1548" s="16"/>
      <c r="O1548" s="16"/>
      <c r="P1548" s="23"/>
      <c r="Q1548" s="17"/>
      <c r="R1548" s="15"/>
      <c r="S1548" s="20"/>
      <c r="T1548" s="68"/>
      <c r="U1548" s="77"/>
      <c r="V1548" s="68"/>
      <c r="W1548" s="71"/>
      <c r="X1548" s="20"/>
    </row>
    <row r="1549">
      <c r="A1549" s="16"/>
      <c r="B1549" s="17"/>
      <c r="E1549" s="17"/>
      <c r="F1549" s="17"/>
      <c r="G1549" s="17"/>
      <c r="H1549" s="10"/>
      <c r="L1549" s="31"/>
      <c r="N1549" s="16"/>
      <c r="O1549" s="16"/>
      <c r="P1549" s="23"/>
      <c r="Q1549" s="17"/>
      <c r="R1549" s="15"/>
      <c r="S1549" s="20"/>
      <c r="T1549" s="68"/>
      <c r="U1549" s="77"/>
      <c r="V1549" s="68"/>
      <c r="W1549" s="71"/>
      <c r="X1549" s="20"/>
    </row>
    <row r="1550">
      <c r="A1550" s="16"/>
      <c r="B1550" s="17"/>
      <c r="E1550" s="17"/>
      <c r="F1550" s="17"/>
      <c r="G1550" s="17"/>
      <c r="H1550" s="10"/>
      <c r="L1550" s="31"/>
      <c r="N1550" s="16"/>
      <c r="O1550" s="16"/>
      <c r="P1550" s="23"/>
      <c r="Q1550" s="17"/>
      <c r="R1550" s="15"/>
      <c r="S1550" s="20"/>
      <c r="T1550" s="68"/>
      <c r="U1550" s="77"/>
      <c r="V1550" s="68"/>
      <c r="W1550" s="71"/>
      <c r="X1550" s="20"/>
    </row>
    <row r="1551">
      <c r="A1551" s="16"/>
      <c r="B1551" s="17"/>
      <c r="E1551" s="17"/>
      <c r="F1551" s="17"/>
      <c r="G1551" s="17"/>
      <c r="H1551" s="10"/>
      <c r="L1551" s="31"/>
      <c r="N1551" s="16"/>
      <c r="O1551" s="16"/>
      <c r="P1551" s="23"/>
      <c r="Q1551" s="17"/>
      <c r="R1551" s="15"/>
      <c r="S1551" s="20"/>
      <c r="T1551" s="68"/>
      <c r="U1551" s="77"/>
      <c r="V1551" s="68"/>
      <c r="W1551" s="71"/>
      <c r="X1551" s="20"/>
    </row>
    <row r="1552">
      <c r="A1552" s="16"/>
      <c r="B1552" s="17"/>
      <c r="E1552" s="17"/>
      <c r="F1552" s="17"/>
      <c r="G1552" s="17"/>
      <c r="H1552" s="10"/>
      <c r="L1552" s="31"/>
      <c r="N1552" s="16"/>
      <c r="O1552" s="16"/>
      <c r="P1552" s="23"/>
      <c r="Q1552" s="17"/>
      <c r="R1552" s="15"/>
      <c r="S1552" s="20"/>
      <c r="T1552" s="68"/>
      <c r="U1552" s="77"/>
      <c r="V1552" s="68"/>
      <c r="W1552" s="71"/>
      <c r="X1552" s="20"/>
    </row>
    <row r="1553">
      <c r="A1553" s="16"/>
      <c r="B1553" s="17"/>
      <c r="E1553" s="17"/>
      <c r="F1553" s="17"/>
      <c r="G1553" s="17"/>
      <c r="H1553" s="10"/>
      <c r="L1553" s="31"/>
      <c r="N1553" s="16"/>
      <c r="O1553" s="16"/>
      <c r="P1553" s="23"/>
      <c r="Q1553" s="17"/>
      <c r="R1553" s="15"/>
      <c r="S1553" s="20"/>
      <c r="T1553" s="68"/>
      <c r="U1553" s="77"/>
      <c r="V1553" s="68"/>
      <c r="W1553" s="71"/>
      <c r="X1553" s="20"/>
    </row>
    <row r="1554">
      <c r="A1554" s="16"/>
      <c r="B1554" s="17"/>
      <c r="E1554" s="17"/>
      <c r="F1554" s="17"/>
      <c r="G1554" s="17"/>
      <c r="H1554" s="10"/>
      <c r="L1554" s="31"/>
      <c r="N1554" s="16"/>
      <c r="O1554" s="16"/>
      <c r="P1554" s="23"/>
      <c r="Q1554" s="17"/>
      <c r="R1554" s="15"/>
      <c r="S1554" s="20"/>
      <c r="T1554" s="68"/>
      <c r="U1554" s="77"/>
      <c r="V1554" s="68"/>
      <c r="W1554" s="71"/>
      <c r="X1554" s="20"/>
    </row>
    <row r="1555">
      <c r="A1555" s="16"/>
      <c r="B1555" s="17"/>
      <c r="E1555" s="17"/>
      <c r="F1555" s="17"/>
      <c r="G1555" s="17"/>
      <c r="H1555" s="10"/>
      <c r="L1555" s="31"/>
      <c r="N1555" s="16"/>
      <c r="O1555" s="16"/>
      <c r="P1555" s="23"/>
      <c r="Q1555" s="17"/>
      <c r="R1555" s="15"/>
      <c r="S1555" s="20"/>
      <c r="T1555" s="68"/>
      <c r="U1555" s="77"/>
      <c r="V1555" s="68"/>
      <c r="W1555" s="71"/>
      <c r="X1555" s="20"/>
    </row>
    <row r="1556">
      <c r="A1556" s="16"/>
      <c r="B1556" s="17"/>
      <c r="E1556" s="17"/>
      <c r="F1556" s="17"/>
      <c r="G1556" s="17"/>
      <c r="H1556" s="10"/>
      <c r="L1556" s="31"/>
      <c r="N1556" s="16"/>
      <c r="O1556" s="16"/>
      <c r="P1556" s="23"/>
      <c r="Q1556" s="17"/>
      <c r="R1556" s="15"/>
      <c r="S1556" s="20"/>
      <c r="T1556" s="68"/>
      <c r="U1556" s="77"/>
      <c r="V1556" s="68"/>
      <c r="W1556" s="71"/>
      <c r="X1556" s="20"/>
    </row>
    <row r="1557">
      <c r="A1557" s="16"/>
      <c r="B1557" s="17"/>
      <c r="E1557" s="17"/>
      <c r="F1557" s="17"/>
      <c r="G1557" s="17"/>
      <c r="H1557" s="10"/>
      <c r="L1557" s="31"/>
      <c r="N1557" s="16"/>
      <c r="O1557" s="16"/>
      <c r="P1557" s="23"/>
      <c r="Q1557" s="17"/>
      <c r="R1557" s="15"/>
      <c r="S1557" s="20"/>
      <c r="T1557" s="68"/>
      <c r="U1557" s="77"/>
      <c r="V1557" s="68"/>
      <c r="W1557" s="71"/>
      <c r="X1557" s="20"/>
    </row>
    <row r="1558">
      <c r="A1558" s="16"/>
      <c r="B1558" s="17"/>
      <c r="E1558" s="17"/>
      <c r="F1558" s="17"/>
      <c r="G1558" s="17"/>
      <c r="H1558" s="10"/>
      <c r="L1558" s="31"/>
      <c r="N1558" s="16"/>
      <c r="O1558" s="16"/>
      <c r="P1558" s="23"/>
      <c r="Q1558" s="17"/>
      <c r="R1558" s="15"/>
      <c r="S1558" s="20"/>
      <c r="T1558" s="68"/>
      <c r="U1558" s="77"/>
      <c r="V1558" s="68"/>
      <c r="W1558" s="71"/>
      <c r="X1558" s="20"/>
    </row>
    <row r="1559">
      <c r="A1559" s="16"/>
      <c r="B1559" s="17"/>
      <c r="E1559" s="17"/>
      <c r="F1559" s="17"/>
      <c r="G1559" s="17"/>
      <c r="H1559" s="10"/>
      <c r="L1559" s="31"/>
      <c r="N1559" s="16"/>
      <c r="O1559" s="16"/>
      <c r="P1559" s="23"/>
      <c r="Q1559" s="17"/>
      <c r="R1559" s="15"/>
      <c r="S1559" s="20"/>
      <c r="T1559" s="68"/>
      <c r="U1559" s="77"/>
      <c r="V1559" s="68"/>
      <c r="W1559" s="71"/>
      <c r="X1559" s="20"/>
    </row>
    <row r="1560">
      <c r="A1560" s="16"/>
      <c r="B1560" s="17"/>
      <c r="E1560" s="17"/>
      <c r="F1560" s="17"/>
      <c r="G1560" s="17"/>
      <c r="H1560" s="10"/>
      <c r="L1560" s="31"/>
      <c r="N1560" s="16"/>
      <c r="O1560" s="16"/>
      <c r="P1560" s="23"/>
      <c r="Q1560" s="17"/>
      <c r="R1560" s="15"/>
      <c r="S1560" s="20"/>
      <c r="T1560" s="68"/>
      <c r="U1560" s="77"/>
      <c r="V1560" s="68"/>
      <c r="W1560" s="71"/>
      <c r="X1560" s="20"/>
    </row>
    <row r="1561">
      <c r="A1561" s="16"/>
      <c r="B1561" s="17"/>
      <c r="E1561" s="17"/>
      <c r="F1561" s="17"/>
      <c r="G1561" s="17"/>
      <c r="H1561" s="10"/>
      <c r="L1561" s="31"/>
      <c r="N1561" s="16"/>
      <c r="O1561" s="16"/>
      <c r="P1561" s="23"/>
      <c r="Q1561" s="17"/>
      <c r="R1561" s="15"/>
      <c r="S1561" s="20"/>
      <c r="T1561" s="68"/>
      <c r="U1561" s="77"/>
      <c r="V1561" s="68"/>
      <c r="W1561" s="71"/>
      <c r="X1561" s="20"/>
    </row>
    <row r="1562">
      <c r="A1562" s="16"/>
      <c r="B1562" s="17"/>
      <c r="E1562" s="17"/>
      <c r="F1562" s="17"/>
      <c r="G1562" s="17"/>
      <c r="H1562" s="10"/>
      <c r="L1562" s="31"/>
      <c r="N1562" s="16"/>
      <c r="O1562" s="16"/>
      <c r="P1562" s="23"/>
      <c r="Q1562" s="17"/>
      <c r="R1562" s="15"/>
      <c r="S1562" s="20"/>
      <c r="T1562" s="68"/>
      <c r="U1562" s="77"/>
      <c r="V1562" s="68"/>
      <c r="W1562" s="71"/>
      <c r="X1562" s="20"/>
    </row>
    <row r="1563">
      <c r="A1563" s="16"/>
      <c r="B1563" s="17"/>
      <c r="E1563" s="17"/>
      <c r="F1563" s="17"/>
      <c r="G1563" s="17"/>
      <c r="H1563" s="10"/>
      <c r="L1563" s="31"/>
      <c r="N1563" s="16"/>
      <c r="O1563" s="16"/>
      <c r="P1563" s="23"/>
      <c r="Q1563" s="17"/>
      <c r="R1563" s="15"/>
      <c r="S1563" s="20"/>
      <c r="T1563" s="68"/>
      <c r="U1563" s="77"/>
      <c r="V1563" s="68"/>
      <c r="W1563" s="71"/>
      <c r="X1563" s="20"/>
    </row>
    <row r="1564">
      <c r="A1564" s="16"/>
      <c r="B1564" s="17"/>
      <c r="E1564" s="17"/>
      <c r="F1564" s="17"/>
      <c r="G1564" s="17"/>
      <c r="H1564" s="10"/>
      <c r="L1564" s="31"/>
      <c r="N1564" s="16"/>
      <c r="O1564" s="16"/>
      <c r="P1564" s="23"/>
      <c r="Q1564" s="17"/>
      <c r="R1564" s="15"/>
      <c r="S1564" s="20"/>
      <c r="T1564" s="68"/>
      <c r="U1564" s="77"/>
      <c r="V1564" s="68"/>
      <c r="W1564" s="71"/>
      <c r="X1564" s="20"/>
    </row>
    <row r="1565">
      <c r="A1565" s="16"/>
      <c r="B1565" s="17"/>
      <c r="E1565" s="17"/>
      <c r="F1565" s="17"/>
      <c r="G1565" s="17"/>
      <c r="H1565" s="10"/>
      <c r="L1565" s="31"/>
      <c r="N1565" s="16"/>
      <c r="O1565" s="16"/>
      <c r="P1565" s="23"/>
      <c r="Q1565" s="17"/>
      <c r="R1565" s="15"/>
      <c r="S1565" s="20"/>
      <c r="T1565" s="68"/>
      <c r="U1565" s="77"/>
      <c r="V1565" s="68"/>
      <c r="W1565" s="71"/>
      <c r="X1565" s="20"/>
    </row>
    <row r="1566">
      <c r="A1566" s="16"/>
      <c r="B1566" s="17"/>
      <c r="E1566" s="17"/>
      <c r="F1566" s="17"/>
      <c r="G1566" s="17"/>
      <c r="H1566" s="10"/>
      <c r="L1566" s="31"/>
      <c r="N1566" s="16"/>
      <c r="O1566" s="16"/>
      <c r="P1566" s="23"/>
      <c r="Q1566" s="17"/>
      <c r="R1566" s="15"/>
      <c r="S1566" s="20"/>
      <c r="T1566" s="68"/>
      <c r="U1566" s="77"/>
      <c r="V1566" s="68"/>
      <c r="W1566" s="71"/>
      <c r="X1566" s="20"/>
    </row>
    <row r="1567">
      <c r="A1567" s="16"/>
      <c r="B1567" s="17"/>
      <c r="E1567" s="17"/>
      <c r="F1567" s="17"/>
      <c r="G1567" s="17"/>
      <c r="H1567" s="10"/>
      <c r="L1567" s="31"/>
      <c r="N1567" s="16"/>
      <c r="O1567" s="16"/>
      <c r="P1567" s="23"/>
      <c r="Q1567" s="17"/>
      <c r="R1567" s="15"/>
      <c r="S1567" s="20"/>
      <c r="T1567" s="68"/>
      <c r="U1567" s="77"/>
      <c r="V1567" s="68"/>
      <c r="W1567" s="71"/>
      <c r="X1567" s="20"/>
    </row>
    <row r="1568">
      <c r="A1568" s="16"/>
      <c r="B1568" s="17"/>
      <c r="E1568" s="17"/>
      <c r="F1568" s="17"/>
      <c r="G1568" s="17"/>
      <c r="H1568" s="10"/>
      <c r="L1568" s="31"/>
      <c r="N1568" s="16"/>
      <c r="O1568" s="16"/>
      <c r="P1568" s="23"/>
      <c r="Q1568" s="17"/>
      <c r="R1568" s="15"/>
      <c r="S1568" s="20"/>
      <c r="T1568" s="68"/>
      <c r="U1568" s="77"/>
      <c r="V1568" s="68"/>
      <c r="W1568" s="71"/>
      <c r="X1568" s="20"/>
    </row>
    <row r="1569">
      <c r="A1569" s="16"/>
      <c r="B1569" s="17"/>
      <c r="E1569" s="17"/>
      <c r="F1569" s="17"/>
      <c r="G1569" s="17"/>
      <c r="H1569" s="10"/>
      <c r="L1569" s="31"/>
      <c r="N1569" s="16"/>
      <c r="O1569" s="16"/>
      <c r="P1569" s="23"/>
      <c r="Q1569" s="17"/>
      <c r="R1569" s="15"/>
      <c r="S1569" s="20"/>
      <c r="T1569" s="68"/>
      <c r="U1569" s="77"/>
      <c r="V1569" s="68"/>
      <c r="W1569" s="71"/>
      <c r="X1569" s="20"/>
    </row>
    <row r="1570">
      <c r="A1570" s="16"/>
      <c r="B1570" s="17"/>
      <c r="E1570" s="17"/>
      <c r="F1570" s="17"/>
      <c r="G1570" s="17"/>
      <c r="H1570" s="10"/>
      <c r="L1570" s="31"/>
      <c r="N1570" s="16"/>
      <c r="O1570" s="16"/>
      <c r="P1570" s="23"/>
      <c r="Q1570" s="17"/>
      <c r="R1570" s="15"/>
      <c r="S1570" s="20"/>
      <c r="T1570" s="68"/>
      <c r="U1570" s="77"/>
      <c r="V1570" s="68"/>
      <c r="W1570" s="71"/>
      <c r="X1570" s="20"/>
    </row>
    <row r="1571">
      <c r="A1571" s="16"/>
      <c r="B1571" s="17"/>
      <c r="E1571" s="17"/>
      <c r="F1571" s="17"/>
      <c r="G1571" s="17"/>
      <c r="H1571" s="10"/>
      <c r="L1571" s="31"/>
      <c r="N1571" s="16"/>
      <c r="O1571" s="16"/>
      <c r="P1571" s="23"/>
      <c r="Q1571" s="17"/>
      <c r="R1571" s="15"/>
      <c r="S1571" s="20"/>
      <c r="T1571" s="68"/>
      <c r="U1571" s="77"/>
      <c r="V1571" s="68"/>
      <c r="W1571" s="71"/>
      <c r="X1571" s="20"/>
    </row>
    <row r="1572">
      <c r="A1572" s="16"/>
      <c r="B1572" s="17"/>
      <c r="E1572" s="17"/>
      <c r="F1572" s="17"/>
      <c r="G1572" s="17"/>
      <c r="H1572" s="10"/>
      <c r="L1572" s="31"/>
      <c r="N1572" s="16"/>
      <c r="O1572" s="16"/>
      <c r="P1572" s="23"/>
      <c r="Q1572" s="17"/>
      <c r="R1572" s="15"/>
      <c r="S1572" s="20"/>
      <c r="T1572" s="68"/>
      <c r="U1572" s="77"/>
      <c r="V1572" s="68"/>
      <c r="W1572" s="71"/>
      <c r="X1572" s="20"/>
    </row>
    <row r="1573">
      <c r="A1573" s="16"/>
      <c r="B1573" s="17"/>
      <c r="E1573" s="17"/>
      <c r="F1573" s="17"/>
      <c r="G1573" s="17"/>
      <c r="H1573" s="10"/>
      <c r="L1573" s="31"/>
      <c r="N1573" s="16"/>
      <c r="O1573" s="16"/>
      <c r="P1573" s="23"/>
      <c r="Q1573" s="17"/>
      <c r="R1573" s="15"/>
      <c r="S1573" s="20"/>
      <c r="T1573" s="68"/>
      <c r="U1573" s="77"/>
      <c r="V1573" s="68"/>
      <c r="W1573" s="71"/>
      <c r="X1573" s="20"/>
    </row>
    <row r="1574">
      <c r="A1574" s="16"/>
      <c r="B1574" s="17"/>
      <c r="E1574" s="17"/>
      <c r="F1574" s="17"/>
      <c r="G1574" s="17"/>
      <c r="H1574" s="10"/>
      <c r="L1574" s="31"/>
      <c r="N1574" s="16"/>
      <c r="O1574" s="16"/>
      <c r="P1574" s="23"/>
      <c r="Q1574" s="17"/>
      <c r="R1574" s="15"/>
      <c r="S1574" s="20"/>
      <c r="T1574" s="68"/>
      <c r="U1574" s="77"/>
      <c r="V1574" s="68"/>
      <c r="W1574" s="71"/>
      <c r="X1574" s="20"/>
    </row>
    <row r="1575">
      <c r="A1575" s="16"/>
      <c r="B1575" s="17"/>
      <c r="E1575" s="17"/>
      <c r="F1575" s="17"/>
      <c r="G1575" s="17"/>
      <c r="H1575" s="10"/>
      <c r="L1575" s="31"/>
      <c r="N1575" s="16"/>
      <c r="O1575" s="16"/>
      <c r="P1575" s="23"/>
      <c r="Q1575" s="17"/>
      <c r="R1575" s="15"/>
      <c r="S1575" s="20"/>
      <c r="T1575" s="68"/>
      <c r="U1575" s="77"/>
      <c r="V1575" s="68"/>
      <c r="W1575" s="71"/>
      <c r="X1575" s="20"/>
    </row>
    <row r="1576">
      <c r="A1576" s="16"/>
      <c r="B1576" s="17"/>
      <c r="E1576" s="17"/>
      <c r="F1576" s="17"/>
      <c r="G1576" s="17"/>
      <c r="H1576" s="10"/>
      <c r="L1576" s="31"/>
      <c r="N1576" s="16"/>
      <c r="O1576" s="16"/>
      <c r="P1576" s="23"/>
      <c r="Q1576" s="17"/>
      <c r="R1576" s="15"/>
      <c r="S1576" s="20"/>
      <c r="T1576" s="68"/>
      <c r="U1576" s="77"/>
      <c r="V1576" s="68"/>
      <c r="W1576" s="71"/>
      <c r="X1576" s="20"/>
    </row>
    <row r="1577">
      <c r="A1577" s="16"/>
      <c r="B1577" s="17"/>
      <c r="E1577" s="17"/>
      <c r="F1577" s="17"/>
      <c r="G1577" s="17"/>
      <c r="H1577" s="10"/>
      <c r="L1577" s="31"/>
      <c r="N1577" s="16"/>
      <c r="O1577" s="16"/>
      <c r="P1577" s="23"/>
      <c r="Q1577" s="17"/>
      <c r="R1577" s="15"/>
      <c r="S1577" s="20"/>
      <c r="T1577" s="68"/>
      <c r="U1577" s="77"/>
      <c r="V1577" s="68"/>
      <c r="W1577" s="71"/>
      <c r="X1577" s="20"/>
    </row>
    <row r="1578">
      <c r="A1578" s="16"/>
      <c r="B1578" s="17"/>
      <c r="E1578" s="17"/>
      <c r="F1578" s="17"/>
      <c r="G1578" s="17"/>
      <c r="H1578" s="10"/>
      <c r="L1578" s="31"/>
      <c r="N1578" s="16"/>
      <c r="O1578" s="16"/>
      <c r="P1578" s="23"/>
      <c r="Q1578" s="17"/>
      <c r="R1578" s="15"/>
      <c r="S1578" s="20"/>
      <c r="T1578" s="68"/>
      <c r="U1578" s="77"/>
      <c r="V1578" s="68"/>
      <c r="W1578" s="71"/>
      <c r="X1578" s="20"/>
    </row>
    <row r="1579">
      <c r="A1579" s="16"/>
      <c r="B1579" s="17"/>
      <c r="E1579" s="17"/>
      <c r="F1579" s="17"/>
      <c r="G1579" s="17"/>
      <c r="H1579" s="10"/>
      <c r="L1579" s="31"/>
      <c r="N1579" s="16"/>
      <c r="O1579" s="16"/>
      <c r="P1579" s="23"/>
      <c r="Q1579" s="17"/>
      <c r="R1579" s="15"/>
      <c r="S1579" s="20"/>
      <c r="T1579" s="68"/>
      <c r="U1579" s="77"/>
      <c r="V1579" s="68"/>
      <c r="W1579" s="71"/>
      <c r="X1579" s="20"/>
    </row>
    <row r="1580">
      <c r="A1580" s="16"/>
      <c r="B1580" s="17"/>
      <c r="E1580" s="17"/>
      <c r="F1580" s="17"/>
      <c r="G1580" s="17"/>
      <c r="H1580" s="10"/>
      <c r="L1580" s="31"/>
      <c r="N1580" s="16"/>
      <c r="O1580" s="16"/>
      <c r="P1580" s="23"/>
      <c r="Q1580" s="17"/>
      <c r="R1580" s="15"/>
      <c r="S1580" s="20"/>
      <c r="T1580" s="68"/>
      <c r="U1580" s="77"/>
      <c r="V1580" s="68"/>
      <c r="W1580" s="71"/>
      <c r="X1580" s="20"/>
    </row>
    <row r="1581">
      <c r="A1581" s="16"/>
      <c r="B1581" s="17"/>
      <c r="E1581" s="17"/>
      <c r="F1581" s="17"/>
      <c r="G1581" s="17"/>
      <c r="H1581" s="10"/>
      <c r="L1581" s="31"/>
      <c r="N1581" s="16"/>
      <c r="O1581" s="16"/>
      <c r="P1581" s="23"/>
      <c r="Q1581" s="17"/>
      <c r="R1581" s="15"/>
      <c r="S1581" s="20"/>
      <c r="T1581" s="68"/>
      <c r="U1581" s="77"/>
      <c r="V1581" s="68"/>
      <c r="W1581" s="71"/>
      <c r="X1581" s="20"/>
    </row>
    <row r="1582">
      <c r="A1582" s="16"/>
      <c r="B1582" s="17"/>
      <c r="E1582" s="17"/>
      <c r="F1582" s="17"/>
      <c r="G1582" s="17"/>
      <c r="H1582" s="10"/>
      <c r="L1582" s="31"/>
      <c r="N1582" s="16"/>
      <c r="O1582" s="16"/>
      <c r="P1582" s="23"/>
      <c r="Q1582" s="17"/>
      <c r="R1582" s="15"/>
      <c r="S1582" s="20"/>
      <c r="T1582" s="68"/>
      <c r="U1582" s="77"/>
      <c r="V1582" s="68"/>
      <c r="W1582" s="71"/>
      <c r="X1582" s="20"/>
    </row>
    <row r="1583">
      <c r="A1583" s="16"/>
      <c r="B1583" s="17"/>
      <c r="E1583" s="17"/>
      <c r="F1583" s="17"/>
      <c r="G1583" s="17"/>
      <c r="H1583" s="10"/>
      <c r="L1583" s="31"/>
      <c r="N1583" s="16"/>
      <c r="O1583" s="16"/>
      <c r="P1583" s="23"/>
      <c r="Q1583" s="17"/>
      <c r="R1583" s="15"/>
      <c r="S1583" s="20"/>
      <c r="T1583" s="68"/>
      <c r="U1583" s="77"/>
      <c r="V1583" s="68"/>
      <c r="W1583" s="71"/>
      <c r="X1583" s="20"/>
    </row>
    <row r="1584">
      <c r="A1584" s="16"/>
      <c r="B1584" s="17"/>
      <c r="E1584" s="17"/>
      <c r="F1584" s="17"/>
      <c r="G1584" s="17"/>
      <c r="H1584" s="10"/>
      <c r="L1584" s="31"/>
      <c r="N1584" s="16"/>
      <c r="O1584" s="16"/>
      <c r="P1584" s="23"/>
      <c r="Q1584" s="17"/>
      <c r="R1584" s="15"/>
      <c r="S1584" s="20"/>
      <c r="T1584" s="68"/>
      <c r="U1584" s="77"/>
      <c r="V1584" s="68"/>
      <c r="W1584" s="71"/>
      <c r="X1584" s="20"/>
    </row>
    <row r="1585">
      <c r="A1585" s="16"/>
      <c r="B1585" s="17"/>
      <c r="E1585" s="17"/>
      <c r="F1585" s="17"/>
      <c r="G1585" s="17"/>
      <c r="H1585" s="10"/>
      <c r="L1585" s="31"/>
      <c r="N1585" s="16"/>
      <c r="O1585" s="16"/>
      <c r="P1585" s="23"/>
      <c r="Q1585" s="17"/>
      <c r="R1585" s="15"/>
      <c r="S1585" s="20"/>
      <c r="T1585" s="68"/>
      <c r="U1585" s="77"/>
      <c r="V1585" s="68"/>
      <c r="W1585" s="71"/>
      <c r="X1585" s="20"/>
    </row>
    <row r="1586">
      <c r="A1586" s="16"/>
      <c r="B1586" s="17"/>
      <c r="E1586" s="17"/>
      <c r="F1586" s="17"/>
      <c r="G1586" s="17"/>
      <c r="H1586" s="10"/>
      <c r="L1586" s="31"/>
      <c r="N1586" s="16"/>
      <c r="O1586" s="16"/>
      <c r="P1586" s="23"/>
      <c r="Q1586" s="17"/>
      <c r="R1586" s="15"/>
      <c r="S1586" s="20"/>
      <c r="T1586" s="68"/>
      <c r="U1586" s="77"/>
      <c r="V1586" s="68"/>
      <c r="W1586" s="71"/>
      <c r="X1586" s="20"/>
    </row>
    <row r="1587">
      <c r="A1587" s="16"/>
      <c r="B1587" s="17"/>
      <c r="E1587" s="17"/>
      <c r="F1587" s="17"/>
      <c r="G1587" s="17"/>
      <c r="H1587" s="10"/>
      <c r="L1587" s="31"/>
      <c r="N1587" s="16"/>
      <c r="O1587" s="16"/>
      <c r="P1587" s="23"/>
      <c r="Q1587" s="17"/>
      <c r="R1587" s="15"/>
      <c r="S1587" s="20"/>
      <c r="T1587" s="68"/>
      <c r="U1587" s="77"/>
      <c r="V1587" s="68"/>
      <c r="W1587" s="71"/>
      <c r="X1587" s="20"/>
    </row>
    <row r="1588">
      <c r="A1588" s="16"/>
      <c r="B1588" s="17"/>
      <c r="E1588" s="17"/>
      <c r="F1588" s="17"/>
      <c r="G1588" s="17"/>
      <c r="H1588" s="10"/>
      <c r="L1588" s="31"/>
      <c r="N1588" s="16"/>
      <c r="O1588" s="16"/>
      <c r="P1588" s="23"/>
      <c r="Q1588" s="17"/>
      <c r="R1588" s="15"/>
      <c r="S1588" s="20"/>
      <c r="T1588" s="68"/>
      <c r="U1588" s="77"/>
      <c r="V1588" s="68"/>
      <c r="W1588" s="71"/>
      <c r="X1588" s="20"/>
    </row>
    <row r="1589">
      <c r="A1589" s="16"/>
      <c r="B1589" s="17"/>
      <c r="E1589" s="17"/>
      <c r="F1589" s="17"/>
      <c r="G1589" s="17"/>
      <c r="H1589" s="10"/>
      <c r="L1589" s="31"/>
      <c r="N1589" s="16"/>
      <c r="O1589" s="16"/>
      <c r="P1589" s="23"/>
      <c r="Q1589" s="17"/>
      <c r="R1589" s="15"/>
      <c r="S1589" s="20"/>
      <c r="T1589" s="68"/>
      <c r="U1589" s="77"/>
      <c r="V1589" s="68"/>
      <c r="W1589" s="71"/>
      <c r="X1589" s="20"/>
    </row>
    <row r="1590">
      <c r="A1590" s="16"/>
      <c r="B1590" s="17"/>
      <c r="E1590" s="17"/>
      <c r="F1590" s="17"/>
      <c r="G1590" s="17"/>
      <c r="H1590" s="10"/>
      <c r="L1590" s="31"/>
      <c r="N1590" s="16"/>
      <c r="O1590" s="16"/>
      <c r="P1590" s="23"/>
      <c r="Q1590" s="17"/>
      <c r="R1590" s="15"/>
      <c r="S1590" s="20"/>
      <c r="T1590" s="68"/>
      <c r="U1590" s="77"/>
      <c r="V1590" s="68"/>
      <c r="W1590" s="71"/>
      <c r="X1590" s="20"/>
    </row>
    <row r="1591">
      <c r="A1591" s="16"/>
      <c r="B1591" s="17"/>
      <c r="E1591" s="17"/>
      <c r="F1591" s="17"/>
      <c r="G1591" s="17"/>
      <c r="H1591" s="10"/>
      <c r="L1591" s="31"/>
      <c r="N1591" s="16"/>
      <c r="O1591" s="16"/>
      <c r="P1591" s="23"/>
      <c r="Q1591" s="17"/>
      <c r="R1591" s="15"/>
      <c r="S1591" s="20"/>
      <c r="T1591" s="68"/>
      <c r="U1591" s="77"/>
      <c r="V1591" s="68"/>
      <c r="W1591" s="71"/>
      <c r="X1591" s="20"/>
    </row>
    <row r="1592">
      <c r="A1592" s="16"/>
      <c r="B1592" s="17"/>
      <c r="E1592" s="17"/>
      <c r="F1592" s="17"/>
      <c r="G1592" s="17"/>
      <c r="H1592" s="10"/>
      <c r="L1592" s="31"/>
      <c r="N1592" s="16"/>
      <c r="O1592" s="16"/>
      <c r="P1592" s="23"/>
      <c r="Q1592" s="17"/>
      <c r="R1592" s="15"/>
      <c r="S1592" s="20"/>
      <c r="T1592" s="68"/>
      <c r="U1592" s="77"/>
      <c r="V1592" s="68"/>
      <c r="W1592" s="71"/>
      <c r="X1592" s="20"/>
    </row>
    <row r="1593">
      <c r="A1593" s="16"/>
      <c r="B1593" s="17"/>
      <c r="E1593" s="17"/>
      <c r="F1593" s="17"/>
      <c r="G1593" s="17"/>
      <c r="H1593" s="10"/>
      <c r="L1593" s="31"/>
      <c r="N1593" s="16"/>
      <c r="O1593" s="16"/>
      <c r="P1593" s="23"/>
      <c r="Q1593" s="17"/>
      <c r="R1593" s="15"/>
      <c r="S1593" s="20"/>
      <c r="T1593" s="68"/>
      <c r="U1593" s="77"/>
      <c r="V1593" s="68"/>
      <c r="W1593" s="71"/>
      <c r="X1593" s="20"/>
    </row>
    <row r="1594">
      <c r="A1594" s="16"/>
      <c r="B1594" s="17"/>
      <c r="E1594" s="17"/>
      <c r="F1594" s="17"/>
      <c r="G1594" s="17"/>
      <c r="H1594" s="10"/>
      <c r="L1594" s="31"/>
      <c r="N1594" s="16"/>
      <c r="O1594" s="16"/>
      <c r="P1594" s="23"/>
      <c r="Q1594" s="17"/>
      <c r="R1594" s="15"/>
      <c r="S1594" s="20"/>
      <c r="T1594" s="68"/>
      <c r="U1594" s="77"/>
      <c r="V1594" s="68"/>
      <c r="W1594" s="71"/>
      <c r="X1594" s="20"/>
    </row>
    <row r="1595">
      <c r="A1595" s="16"/>
      <c r="B1595" s="17"/>
      <c r="E1595" s="17"/>
      <c r="F1595" s="17"/>
      <c r="G1595" s="17"/>
      <c r="H1595" s="10"/>
      <c r="L1595" s="31"/>
      <c r="N1595" s="16"/>
      <c r="O1595" s="16"/>
      <c r="P1595" s="23"/>
      <c r="Q1595" s="17"/>
      <c r="R1595" s="15"/>
      <c r="S1595" s="20"/>
      <c r="T1595" s="68"/>
      <c r="U1595" s="77"/>
      <c r="V1595" s="68"/>
      <c r="W1595" s="71"/>
      <c r="X1595" s="20"/>
    </row>
    <row r="1596">
      <c r="A1596" s="16"/>
      <c r="B1596" s="17"/>
      <c r="E1596" s="17"/>
      <c r="F1596" s="17"/>
      <c r="G1596" s="17"/>
      <c r="H1596" s="10"/>
      <c r="L1596" s="31"/>
      <c r="N1596" s="16"/>
      <c r="O1596" s="16"/>
      <c r="P1596" s="23"/>
      <c r="Q1596" s="17"/>
      <c r="R1596" s="15"/>
      <c r="S1596" s="20"/>
      <c r="T1596" s="68"/>
      <c r="U1596" s="77"/>
      <c r="V1596" s="68"/>
      <c r="W1596" s="71"/>
      <c r="X1596" s="20"/>
    </row>
    <row r="1597">
      <c r="A1597" s="16"/>
      <c r="B1597" s="17"/>
      <c r="E1597" s="17"/>
      <c r="F1597" s="17"/>
      <c r="G1597" s="17"/>
      <c r="H1597" s="10"/>
      <c r="L1597" s="31"/>
      <c r="N1597" s="16"/>
      <c r="O1597" s="16"/>
      <c r="P1597" s="23"/>
      <c r="Q1597" s="17"/>
      <c r="R1597" s="15"/>
      <c r="S1597" s="20"/>
      <c r="T1597" s="68"/>
      <c r="U1597" s="77"/>
      <c r="V1597" s="68"/>
      <c r="W1597" s="71"/>
      <c r="X1597" s="20"/>
    </row>
    <row r="1598">
      <c r="A1598" s="16"/>
      <c r="B1598" s="17"/>
      <c r="E1598" s="17"/>
      <c r="F1598" s="17"/>
      <c r="G1598" s="17"/>
      <c r="H1598" s="10"/>
      <c r="L1598" s="31"/>
      <c r="N1598" s="16"/>
      <c r="O1598" s="16"/>
      <c r="P1598" s="23"/>
      <c r="Q1598" s="17"/>
      <c r="R1598" s="15"/>
      <c r="S1598" s="20"/>
      <c r="T1598" s="68"/>
      <c r="U1598" s="77"/>
      <c r="V1598" s="68"/>
      <c r="W1598" s="71"/>
      <c r="X1598" s="20"/>
    </row>
    <row r="1599">
      <c r="A1599" s="16"/>
      <c r="B1599" s="17"/>
      <c r="E1599" s="17"/>
      <c r="F1599" s="17"/>
      <c r="G1599" s="17"/>
      <c r="H1599" s="10"/>
      <c r="L1599" s="31"/>
      <c r="N1599" s="16"/>
      <c r="O1599" s="16"/>
      <c r="P1599" s="23"/>
      <c r="Q1599" s="17"/>
      <c r="R1599" s="15"/>
      <c r="S1599" s="20"/>
      <c r="T1599" s="68"/>
      <c r="U1599" s="77"/>
      <c r="V1599" s="68"/>
      <c r="W1599" s="71"/>
      <c r="X1599" s="20"/>
    </row>
    <row r="1600">
      <c r="A1600" s="16"/>
      <c r="B1600" s="17"/>
      <c r="E1600" s="17"/>
      <c r="F1600" s="17"/>
      <c r="G1600" s="17"/>
      <c r="H1600" s="10"/>
      <c r="L1600" s="31"/>
      <c r="N1600" s="16"/>
      <c r="O1600" s="16"/>
      <c r="P1600" s="23"/>
      <c r="Q1600" s="17"/>
      <c r="R1600" s="15"/>
      <c r="S1600" s="20"/>
      <c r="T1600" s="68"/>
      <c r="U1600" s="77"/>
      <c r="V1600" s="68"/>
      <c r="W1600" s="71"/>
      <c r="X1600" s="20"/>
    </row>
    <row r="1601">
      <c r="A1601" s="16"/>
      <c r="B1601" s="17"/>
      <c r="E1601" s="17"/>
      <c r="F1601" s="17"/>
      <c r="G1601" s="17"/>
      <c r="H1601" s="10"/>
      <c r="L1601" s="31"/>
      <c r="N1601" s="16"/>
      <c r="O1601" s="16"/>
      <c r="P1601" s="23"/>
      <c r="Q1601" s="17"/>
      <c r="R1601" s="15"/>
      <c r="S1601" s="20"/>
      <c r="T1601" s="68"/>
      <c r="U1601" s="77"/>
      <c r="V1601" s="68"/>
      <c r="W1601" s="71"/>
      <c r="X1601" s="20"/>
    </row>
    <row r="1602">
      <c r="A1602" s="16"/>
      <c r="B1602" s="17"/>
      <c r="E1602" s="17"/>
      <c r="F1602" s="17"/>
      <c r="G1602" s="17"/>
      <c r="H1602" s="10"/>
      <c r="L1602" s="31"/>
      <c r="N1602" s="16"/>
      <c r="O1602" s="16"/>
      <c r="P1602" s="23"/>
      <c r="Q1602" s="17"/>
      <c r="R1602" s="15"/>
      <c r="S1602" s="20"/>
      <c r="T1602" s="68"/>
      <c r="U1602" s="77"/>
      <c r="V1602" s="68"/>
      <c r="W1602" s="71"/>
      <c r="X1602" s="20"/>
    </row>
    <row r="1603">
      <c r="A1603" s="16"/>
      <c r="B1603" s="17"/>
      <c r="E1603" s="17"/>
      <c r="F1603" s="17"/>
      <c r="G1603" s="17"/>
      <c r="H1603" s="10"/>
      <c r="L1603" s="31"/>
      <c r="N1603" s="16"/>
      <c r="O1603" s="16"/>
      <c r="P1603" s="23"/>
      <c r="Q1603" s="17"/>
      <c r="R1603" s="15"/>
      <c r="S1603" s="20"/>
      <c r="T1603" s="68"/>
      <c r="U1603" s="77"/>
      <c r="V1603" s="68"/>
      <c r="W1603" s="71"/>
      <c r="X1603" s="20"/>
    </row>
    <row r="1604">
      <c r="A1604" s="16"/>
      <c r="B1604" s="17"/>
      <c r="E1604" s="17"/>
      <c r="F1604" s="17"/>
      <c r="G1604" s="17"/>
      <c r="H1604" s="10"/>
      <c r="L1604" s="31"/>
      <c r="N1604" s="16"/>
      <c r="O1604" s="16"/>
      <c r="P1604" s="23"/>
      <c r="Q1604" s="17"/>
      <c r="R1604" s="15"/>
      <c r="S1604" s="20"/>
      <c r="T1604" s="68"/>
      <c r="U1604" s="77"/>
      <c r="V1604" s="68"/>
      <c r="W1604" s="71"/>
      <c r="X1604" s="20"/>
    </row>
    <row r="1605">
      <c r="A1605" s="16"/>
      <c r="B1605" s="17"/>
      <c r="E1605" s="17"/>
      <c r="F1605" s="17"/>
      <c r="G1605" s="17"/>
      <c r="H1605" s="10"/>
      <c r="L1605" s="31"/>
      <c r="N1605" s="16"/>
      <c r="O1605" s="16"/>
      <c r="P1605" s="23"/>
      <c r="Q1605" s="17"/>
      <c r="R1605" s="15"/>
      <c r="S1605" s="20"/>
      <c r="T1605" s="68"/>
      <c r="U1605" s="77"/>
      <c r="V1605" s="68"/>
      <c r="W1605" s="71"/>
      <c r="X1605" s="20"/>
    </row>
    <row r="1606">
      <c r="A1606" s="16"/>
      <c r="B1606" s="17"/>
      <c r="E1606" s="17"/>
      <c r="F1606" s="17"/>
      <c r="G1606" s="17"/>
      <c r="H1606" s="10"/>
      <c r="L1606" s="31"/>
      <c r="N1606" s="16"/>
      <c r="O1606" s="16"/>
      <c r="P1606" s="23"/>
      <c r="Q1606" s="17"/>
      <c r="R1606" s="15"/>
      <c r="S1606" s="20"/>
      <c r="T1606" s="68"/>
      <c r="U1606" s="77"/>
      <c r="V1606" s="68"/>
      <c r="W1606" s="71"/>
      <c r="X1606" s="20"/>
    </row>
    <row r="1607">
      <c r="A1607" s="16"/>
      <c r="B1607" s="17"/>
      <c r="E1607" s="17"/>
      <c r="F1607" s="17"/>
      <c r="G1607" s="17"/>
      <c r="H1607" s="10"/>
      <c r="L1607" s="31"/>
      <c r="N1607" s="16"/>
      <c r="O1607" s="16"/>
      <c r="P1607" s="23"/>
      <c r="Q1607" s="17"/>
      <c r="R1607" s="15"/>
      <c r="S1607" s="20"/>
      <c r="T1607" s="68"/>
      <c r="U1607" s="77"/>
      <c r="V1607" s="68"/>
      <c r="W1607" s="71"/>
      <c r="X1607" s="20"/>
    </row>
    <row r="1608">
      <c r="A1608" s="16"/>
      <c r="B1608" s="17"/>
      <c r="E1608" s="17"/>
      <c r="F1608" s="17"/>
      <c r="G1608" s="17"/>
      <c r="H1608" s="10"/>
      <c r="L1608" s="31"/>
      <c r="N1608" s="16"/>
      <c r="O1608" s="16"/>
      <c r="P1608" s="23"/>
      <c r="Q1608" s="17"/>
      <c r="R1608" s="15"/>
      <c r="S1608" s="20"/>
      <c r="T1608" s="68"/>
      <c r="U1608" s="77"/>
      <c r="V1608" s="68"/>
      <c r="W1608" s="71"/>
      <c r="X1608" s="20"/>
    </row>
    <row r="1609">
      <c r="A1609" s="16"/>
      <c r="B1609" s="17"/>
      <c r="E1609" s="17"/>
      <c r="F1609" s="17"/>
      <c r="G1609" s="17"/>
      <c r="H1609" s="10"/>
      <c r="L1609" s="31"/>
      <c r="N1609" s="16"/>
      <c r="O1609" s="16"/>
      <c r="P1609" s="23"/>
      <c r="Q1609" s="17"/>
      <c r="R1609" s="15"/>
      <c r="S1609" s="20"/>
      <c r="T1609" s="68"/>
      <c r="U1609" s="77"/>
      <c r="V1609" s="68"/>
      <c r="W1609" s="71"/>
      <c r="X1609" s="20"/>
    </row>
    <row r="1610">
      <c r="A1610" s="16"/>
      <c r="B1610" s="17"/>
      <c r="E1610" s="17"/>
      <c r="F1610" s="17"/>
      <c r="G1610" s="17"/>
      <c r="H1610" s="10"/>
      <c r="L1610" s="31"/>
      <c r="N1610" s="16"/>
      <c r="O1610" s="16"/>
      <c r="P1610" s="23"/>
      <c r="Q1610" s="17"/>
      <c r="R1610" s="15"/>
      <c r="S1610" s="20"/>
      <c r="T1610" s="68"/>
      <c r="U1610" s="77"/>
      <c r="V1610" s="68"/>
      <c r="W1610" s="71"/>
      <c r="X1610" s="20"/>
    </row>
    <row r="1611">
      <c r="A1611" s="16"/>
      <c r="B1611" s="17"/>
      <c r="E1611" s="17"/>
      <c r="F1611" s="17"/>
      <c r="G1611" s="17"/>
      <c r="H1611" s="10"/>
      <c r="L1611" s="31"/>
      <c r="N1611" s="16"/>
      <c r="O1611" s="16"/>
      <c r="P1611" s="23"/>
      <c r="Q1611" s="17"/>
      <c r="R1611" s="15"/>
      <c r="S1611" s="20"/>
      <c r="T1611" s="68"/>
      <c r="U1611" s="77"/>
      <c r="V1611" s="68"/>
      <c r="W1611" s="71"/>
      <c r="X1611" s="20"/>
    </row>
    <row r="1612">
      <c r="A1612" s="16"/>
      <c r="B1612" s="17"/>
      <c r="E1612" s="17"/>
      <c r="F1612" s="17"/>
      <c r="G1612" s="17"/>
      <c r="H1612" s="10"/>
      <c r="L1612" s="31"/>
      <c r="N1612" s="16"/>
      <c r="O1612" s="16"/>
      <c r="P1612" s="23"/>
      <c r="Q1612" s="17"/>
      <c r="R1612" s="15"/>
      <c r="S1612" s="20"/>
      <c r="T1612" s="68"/>
      <c r="U1612" s="77"/>
      <c r="V1612" s="68"/>
      <c r="W1612" s="71"/>
      <c r="X1612" s="20"/>
    </row>
    <row r="1613">
      <c r="A1613" s="16"/>
      <c r="B1613" s="17"/>
      <c r="E1613" s="17"/>
      <c r="F1613" s="17"/>
      <c r="G1613" s="17"/>
      <c r="H1613" s="10"/>
      <c r="L1613" s="31"/>
      <c r="N1613" s="16"/>
      <c r="O1613" s="16"/>
      <c r="P1613" s="23"/>
      <c r="Q1613" s="17"/>
      <c r="R1613" s="15"/>
      <c r="S1613" s="20"/>
      <c r="T1613" s="68"/>
      <c r="U1613" s="77"/>
      <c r="V1613" s="68"/>
      <c r="W1613" s="71"/>
      <c r="X1613" s="20"/>
    </row>
    <row r="1614">
      <c r="A1614" s="16"/>
      <c r="B1614" s="17"/>
      <c r="E1614" s="17"/>
      <c r="F1614" s="17"/>
      <c r="G1614" s="17"/>
      <c r="H1614" s="10"/>
      <c r="L1614" s="31"/>
      <c r="N1614" s="16"/>
      <c r="O1614" s="16"/>
      <c r="P1614" s="23"/>
      <c r="Q1614" s="17"/>
      <c r="R1614" s="15"/>
      <c r="S1614" s="20"/>
      <c r="T1614" s="68"/>
      <c r="U1614" s="77"/>
      <c r="V1614" s="68"/>
      <c r="W1614" s="71"/>
      <c r="X1614" s="20"/>
    </row>
    <row r="1615">
      <c r="A1615" s="16"/>
      <c r="B1615" s="17"/>
      <c r="E1615" s="17"/>
      <c r="F1615" s="17"/>
      <c r="G1615" s="17"/>
      <c r="H1615" s="10"/>
      <c r="L1615" s="31"/>
      <c r="N1615" s="16"/>
      <c r="O1615" s="16"/>
      <c r="P1615" s="23"/>
      <c r="Q1615" s="17"/>
      <c r="R1615" s="15"/>
      <c r="S1615" s="20"/>
      <c r="T1615" s="68"/>
      <c r="U1615" s="77"/>
      <c r="V1615" s="68"/>
      <c r="W1615" s="71"/>
      <c r="X1615" s="20"/>
    </row>
    <row r="1616">
      <c r="A1616" s="16"/>
      <c r="B1616" s="17"/>
      <c r="E1616" s="17"/>
      <c r="F1616" s="17"/>
      <c r="G1616" s="17"/>
      <c r="H1616" s="10"/>
      <c r="L1616" s="31"/>
      <c r="N1616" s="16"/>
      <c r="O1616" s="16"/>
      <c r="P1616" s="23"/>
      <c r="Q1616" s="17"/>
      <c r="R1616" s="15"/>
      <c r="S1616" s="20"/>
      <c r="T1616" s="68"/>
      <c r="U1616" s="77"/>
      <c r="V1616" s="68"/>
      <c r="W1616" s="71"/>
      <c r="X1616" s="20"/>
    </row>
    <row r="1617">
      <c r="A1617" s="16"/>
      <c r="B1617" s="17"/>
      <c r="E1617" s="17"/>
      <c r="F1617" s="17"/>
      <c r="G1617" s="17"/>
      <c r="H1617" s="10"/>
      <c r="L1617" s="31"/>
      <c r="N1617" s="16"/>
      <c r="O1617" s="16"/>
      <c r="P1617" s="23"/>
      <c r="Q1617" s="17"/>
      <c r="R1617" s="15"/>
      <c r="S1617" s="20"/>
      <c r="T1617" s="68"/>
      <c r="U1617" s="77"/>
      <c r="V1617" s="68"/>
      <c r="W1617" s="71"/>
      <c r="X1617" s="20"/>
    </row>
    <row r="1618">
      <c r="A1618" s="16"/>
      <c r="B1618" s="17"/>
      <c r="E1618" s="17"/>
      <c r="F1618" s="17"/>
      <c r="G1618" s="17"/>
      <c r="H1618" s="10"/>
      <c r="L1618" s="31"/>
      <c r="N1618" s="16"/>
      <c r="O1618" s="16"/>
      <c r="P1618" s="23"/>
      <c r="Q1618" s="17"/>
      <c r="R1618" s="15"/>
      <c r="S1618" s="20"/>
      <c r="T1618" s="68"/>
      <c r="U1618" s="77"/>
      <c r="V1618" s="68"/>
      <c r="W1618" s="71"/>
      <c r="X1618" s="20"/>
    </row>
    <row r="1619">
      <c r="A1619" s="16"/>
      <c r="B1619" s="17"/>
      <c r="E1619" s="17"/>
      <c r="F1619" s="17"/>
      <c r="G1619" s="17"/>
      <c r="H1619" s="10"/>
      <c r="L1619" s="31"/>
      <c r="N1619" s="16"/>
      <c r="O1619" s="16"/>
      <c r="P1619" s="23"/>
      <c r="Q1619" s="17"/>
      <c r="R1619" s="15"/>
      <c r="S1619" s="20"/>
      <c r="T1619" s="68"/>
      <c r="U1619" s="77"/>
      <c r="V1619" s="68"/>
      <c r="W1619" s="71"/>
      <c r="X1619" s="20"/>
    </row>
    <row r="1620">
      <c r="A1620" s="16"/>
      <c r="B1620" s="17"/>
      <c r="E1620" s="17"/>
      <c r="F1620" s="17"/>
      <c r="G1620" s="17"/>
      <c r="H1620" s="10"/>
      <c r="L1620" s="31"/>
      <c r="N1620" s="16"/>
      <c r="O1620" s="16"/>
      <c r="P1620" s="23"/>
      <c r="Q1620" s="17"/>
      <c r="R1620" s="15"/>
      <c r="S1620" s="20"/>
      <c r="T1620" s="68"/>
      <c r="U1620" s="77"/>
      <c r="V1620" s="68"/>
      <c r="W1620" s="71"/>
      <c r="X1620" s="20"/>
    </row>
    <row r="1621">
      <c r="A1621" s="16"/>
      <c r="B1621" s="17"/>
      <c r="E1621" s="17"/>
      <c r="F1621" s="17"/>
      <c r="G1621" s="17"/>
      <c r="H1621" s="10"/>
      <c r="L1621" s="31"/>
      <c r="N1621" s="16"/>
      <c r="O1621" s="16"/>
      <c r="P1621" s="23"/>
      <c r="Q1621" s="17"/>
      <c r="R1621" s="15"/>
      <c r="S1621" s="20"/>
      <c r="T1621" s="68"/>
      <c r="U1621" s="77"/>
      <c r="V1621" s="68"/>
      <c r="W1621" s="71"/>
      <c r="X1621" s="20"/>
    </row>
    <row r="1622">
      <c r="A1622" s="16"/>
      <c r="B1622" s="17"/>
      <c r="E1622" s="17"/>
      <c r="F1622" s="17"/>
      <c r="G1622" s="17"/>
      <c r="H1622" s="10"/>
      <c r="L1622" s="31"/>
      <c r="N1622" s="16"/>
      <c r="O1622" s="16"/>
      <c r="P1622" s="23"/>
      <c r="Q1622" s="17"/>
      <c r="R1622" s="15"/>
      <c r="S1622" s="20"/>
      <c r="T1622" s="68"/>
      <c r="U1622" s="77"/>
      <c r="V1622" s="68"/>
      <c r="W1622" s="71"/>
      <c r="X1622" s="20"/>
    </row>
    <row r="1623">
      <c r="A1623" s="16"/>
      <c r="B1623" s="17"/>
      <c r="E1623" s="17"/>
      <c r="F1623" s="17"/>
      <c r="G1623" s="17"/>
      <c r="H1623" s="10"/>
      <c r="L1623" s="31"/>
      <c r="N1623" s="16"/>
      <c r="O1623" s="16"/>
      <c r="P1623" s="23"/>
      <c r="Q1623" s="17"/>
      <c r="R1623" s="15"/>
      <c r="S1623" s="20"/>
      <c r="T1623" s="68"/>
      <c r="U1623" s="77"/>
      <c r="V1623" s="68"/>
      <c r="W1623" s="71"/>
      <c r="X1623" s="20"/>
    </row>
    <row r="1624">
      <c r="A1624" s="16"/>
      <c r="B1624" s="17"/>
      <c r="E1624" s="17"/>
      <c r="F1624" s="17"/>
      <c r="G1624" s="17"/>
      <c r="H1624" s="10"/>
      <c r="L1624" s="31"/>
      <c r="N1624" s="16"/>
      <c r="O1624" s="16"/>
      <c r="P1624" s="23"/>
      <c r="Q1624" s="17"/>
      <c r="R1624" s="15"/>
      <c r="S1624" s="20"/>
      <c r="T1624" s="68"/>
      <c r="U1624" s="77"/>
      <c r="V1624" s="68"/>
      <c r="W1624" s="71"/>
      <c r="X1624" s="20"/>
    </row>
    <row r="1625">
      <c r="A1625" s="16"/>
      <c r="B1625" s="17"/>
      <c r="E1625" s="17"/>
      <c r="F1625" s="17"/>
      <c r="G1625" s="17"/>
      <c r="H1625" s="10"/>
      <c r="L1625" s="31"/>
      <c r="N1625" s="16"/>
      <c r="O1625" s="16"/>
      <c r="P1625" s="23"/>
      <c r="Q1625" s="17"/>
      <c r="R1625" s="15"/>
      <c r="S1625" s="20"/>
      <c r="T1625" s="68"/>
      <c r="U1625" s="77"/>
      <c r="V1625" s="68"/>
      <c r="W1625" s="71"/>
      <c r="X1625" s="20"/>
    </row>
    <row r="1626">
      <c r="A1626" s="16"/>
      <c r="B1626" s="17"/>
      <c r="E1626" s="17"/>
      <c r="F1626" s="17"/>
      <c r="G1626" s="17"/>
      <c r="H1626" s="10"/>
      <c r="L1626" s="31"/>
      <c r="N1626" s="16"/>
      <c r="O1626" s="16"/>
      <c r="P1626" s="23"/>
      <c r="Q1626" s="17"/>
      <c r="R1626" s="15"/>
      <c r="S1626" s="20"/>
      <c r="T1626" s="68"/>
      <c r="U1626" s="77"/>
      <c r="V1626" s="68"/>
      <c r="W1626" s="71"/>
      <c r="X1626" s="20"/>
    </row>
    <row r="1627">
      <c r="A1627" s="16"/>
      <c r="B1627" s="17"/>
      <c r="E1627" s="17"/>
      <c r="F1627" s="17"/>
      <c r="G1627" s="17"/>
      <c r="H1627" s="10"/>
      <c r="L1627" s="31"/>
      <c r="N1627" s="16"/>
      <c r="O1627" s="16"/>
      <c r="P1627" s="23"/>
      <c r="Q1627" s="17"/>
      <c r="R1627" s="15"/>
      <c r="S1627" s="20"/>
      <c r="T1627" s="68"/>
      <c r="U1627" s="77"/>
      <c r="V1627" s="68"/>
      <c r="W1627" s="71"/>
      <c r="X1627" s="20"/>
    </row>
    <row r="1628">
      <c r="A1628" s="16"/>
      <c r="B1628" s="17"/>
      <c r="E1628" s="17"/>
      <c r="F1628" s="17"/>
      <c r="G1628" s="17"/>
      <c r="H1628" s="10"/>
      <c r="L1628" s="31"/>
      <c r="N1628" s="16"/>
      <c r="O1628" s="16"/>
      <c r="P1628" s="23"/>
      <c r="Q1628" s="17"/>
      <c r="R1628" s="15"/>
      <c r="S1628" s="20"/>
      <c r="T1628" s="68"/>
      <c r="U1628" s="77"/>
      <c r="V1628" s="68"/>
      <c r="W1628" s="71"/>
      <c r="X1628" s="20"/>
    </row>
    <row r="1629">
      <c r="A1629" s="16"/>
      <c r="B1629" s="17"/>
      <c r="E1629" s="17"/>
      <c r="F1629" s="17"/>
      <c r="G1629" s="17"/>
      <c r="H1629" s="10"/>
      <c r="L1629" s="31"/>
      <c r="N1629" s="16"/>
      <c r="O1629" s="16"/>
      <c r="P1629" s="23"/>
      <c r="Q1629" s="17"/>
      <c r="R1629" s="15"/>
      <c r="S1629" s="20"/>
      <c r="T1629" s="68"/>
      <c r="U1629" s="77"/>
      <c r="V1629" s="68"/>
      <c r="W1629" s="71"/>
      <c r="X1629" s="20"/>
    </row>
    <row r="1630">
      <c r="A1630" s="16"/>
      <c r="B1630" s="17"/>
      <c r="E1630" s="17"/>
      <c r="F1630" s="17"/>
      <c r="G1630" s="17"/>
      <c r="H1630" s="10"/>
      <c r="L1630" s="31"/>
      <c r="N1630" s="16"/>
      <c r="O1630" s="16"/>
      <c r="P1630" s="23"/>
      <c r="Q1630" s="17"/>
      <c r="R1630" s="15"/>
      <c r="S1630" s="20"/>
      <c r="T1630" s="68"/>
      <c r="U1630" s="77"/>
      <c r="V1630" s="68"/>
      <c r="W1630" s="71"/>
      <c r="X1630" s="20"/>
    </row>
    <row r="1631">
      <c r="A1631" s="16"/>
      <c r="B1631" s="17"/>
      <c r="E1631" s="17"/>
      <c r="F1631" s="17"/>
      <c r="G1631" s="17"/>
      <c r="H1631" s="10"/>
      <c r="L1631" s="31"/>
      <c r="N1631" s="16"/>
      <c r="O1631" s="16"/>
      <c r="P1631" s="23"/>
      <c r="Q1631" s="17"/>
      <c r="R1631" s="15"/>
      <c r="S1631" s="20"/>
      <c r="T1631" s="68"/>
      <c r="U1631" s="77"/>
      <c r="V1631" s="68"/>
      <c r="W1631" s="71"/>
      <c r="X1631" s="20"/>
    </row>
    <row r="1632">
      <c r="A1632" s="16"/>
      <c r="B1632" s="17"/>
      <c r="E1632" s="17"/>
      <c r="F1632" s="17"/>
      <c r="G1632" s="17"/>
      <c r="H1632" s="10"/>
      <c r="L1632" s="31"/>
      <c r="N1632" s="16"/>
      <c r="O1632" s="16"/>
      <c r="P1632" s="23"/>
      <c r="Q1632" s="17"/>
      <c r="R1632" s="15"/>
      <c r="S1632" s="20"/>
      <c r="T1632" s="68"/>
      <c r="U1632" s="77"/>
      <c r="V1632" s="68"/>
      <c r="W1632" s="71"/>
      <c r="X1632" s="20"/>
    </row>
    <row r="1633">
      <c r="A1633" s="16"/>
      <c r="B1633" s="17"/>
      <c r="E1633" s="17"/>
      <c r="F1633" s="17"/>
      <c r="G1633" s="17"/>
      <c r="H1633" s="10"/>
      <c r="L1633" s="31"/>
      <c r="N1633" s="16"/>
      <c r="O1633" s="16"/>
      <c r="P1633" s="23"/>
      <c r="Q1633" s="17"/>
      <c r="R1633" s="15"/>
      <c r="S1633" s="20"/>
      <c r="T1633" s="68"/>
      <c r="U1633" s="77"/>
      <c r="V1633" s="68"/>
      <c r="W1633" s="71"/>
      <c r="X1633" s="20"/>
    </row>
    <row r="1634">
      <c r="A1634" s="16"/>
      <c r="B1634" s="17"/>
      <c r="E1634" s="17"/>
      <c r="F1634" s="17"/>
      <c r="G1634" s="17"/>
      <c r="H1634" s="10"/>
      <c r="L1634" s="31"/>
      <c r="N1634" s="16"/>
      <c r="O1634" s="16"/>
      <c r="P1634" s="23"/>
      <c r="Q1634" s="17"/>
      <c r="R1634" s="15"/>
      <c r="S1634" s="20"/>
      <c r="T1634" s="68"/>
      <c r="U1634" s="77"/>
      <c r="V1634" s="68"/>
      <c r="W1634" s="71"/>
      <c r="X1634" s="20"/>
    </row>
    <row r="1635">
      <c r="A1635" s="16"/>
      <c r="B1635" s="17"/>
      <c r="E1635" s="17"/>
      <c r="F1635" s="17"/>
      <c r="G1635" s="17"/>
      <c r="H1635" s="10"/>
      <c r="L1635" s="31"/>
      <c r="N1635" s="16"/>
      <c r="O1635" s="16"/>
      <c r="P1635" s="23"/>
      <c r="Q1635" s="17"/>
      <c r="R1635" s="15"/>
      <c r="S1635" s="20"/>
      <c r="T1635" s="68"/>
      <c r="U1635" s="77"/>
      <c r="V1635" s="68"/>
      <c r="W1635" s="71"/>
      <c r="X1635" s="20"/>
    </row>
    <row r="1636">
      <c r="A1636" s="16"/>
      <c r="B1636" s="17"/>
      <c r="E1636" s="17"/>
      <c r="F1636" s="17"/>
      <c r="G1636" s="17"/>
      <c r="H1636" s="10"/>
      <c r="L1636" s="31"/>
      <c r="N1636" s="16"/>
      <c r="O1636" s="16"/>
      <c r="P1636" s="23"/>
      <c r="Q1636" s="17"/>
      <c r="R1636" s="15"/>
      <c r="S1636" s="20"/>
      <c r="T1636" s="68"/>
      <c r="U1636" s="77"/>
      <c r="V1636" s="68"/>
      <c r="W1636" s="71"/>
      <c r="X1636" s="20"/>
    </row>
    <row r="1637">
      <c r="A1637" s="16"/>
      <c r="B1637" s="17"/>
      <c r="E1637" s="17"/>
      <c r="F1637" s="17"/>
      <c r="G1637" s="17"/>
      <c r="H1637" s="10"/>
      <c r="L1637" s="31"/>
      <c r="N1637" s="16"/>
      <c r="O1637" s="16"/>
      <c r="P1637" s="23"/>
      <c r="Q1637" s="17"/>
      <c r="R1637" s="15"/>
      <c r="S1637" s="20"/>
      <c r="T1637" s="68"/>
      <c r="U1637" s="77"/>
      <c r="V1637" s="68"/>
      <c r="W1637" s="71"/>
      <c r="X1637" s="20"/>
    </row>
    <row r="1638">
      <c r="A1638" s="16"/>
      <c r="B1638" s="17"/>
      <c r="E1638" s="17"/>
      <c r="F1638" s="17"/>
      <c r="G1638" s="17"/>
      <c r="H1638" s="10"/>
      <c r="L1638" s="31"/>
      <c r="N1638" s="16"/>
      <c r="O1638" s="16"/>
      <c r="P1638" s="23"/>
      <c r="Q1638" s="17"/>
      <c r="R1638" s="15"/>
      <c r="S1638" s="20"/>
      <c r="T1638" s="68"/>
      <c r="U1638" s="77"/>
      <c r="V1638" s="68"/>
      <c r="W1638" s="71"/>
      <c r="X1638" s="20"/>
    </row>
    <row r="1639">
      <c r="A1639" s="16"/>
      <c r="B1639" s="17"/>
      <c r="E1639" s="17"/>
      <c r="F1639" s="17"/>
      <c r="G1639" s="17"/>
      <c r="H1639" s="10"/>
      <c r="L1639" s="31"/>
      <c r="N1639" s="16"/>
      <c r="O1639" s="16"/>
      <c r="P1639" s="23"/>
      <c r="Q1639" s="17"/>
      <c r="R1639" s="15"/>
      <c r="S1639" s="20"/>
      <c r="T1639" s="68"/>
      <c r="U1639" s="77"/>
      <c r="V1639" s="68"/>
      <c r="W1639" s="71"/>
      <c r="X1639" s="20"/>
    </row>
    <row r="1640">
      <c r="A1640" s="16"/>
      <c r="B1640" s="17"/>
      <c r="E1640" s="17"/>
      <c r="F1640" s="17"/>
      <c r="G1640" s="17"/>
      <c r="H1640" s="10"/>
      <c r="L1640" s="31"/>
      <c r="N1640" s="16"/>
      <c r="O1640" s="16"/>
      <c r="P1640" s="23"/>
      <c r="Q1640" s="17"/>
      <c r="R1640" s="15"/>
      <c r="S1640" s="20"/>
      <c r="T1640" s="68"/>
      <c r="U1640" s="77"/>
      <c r="V1640" s="68"/>
      <c r="W1640" s="71"/>
      <c r="X1640" s="20"/>
    </row>
    <row r="1641">
      <c r="A1641" s="16"/>
      <c r="B1641" s="17"/>
      <c r="E1641" s="17"/>
      <c r="F1641" s="17"/>
      <c r="G1641" s="17"/>
      <c r="H1641" s="10"/>
      <c r="L1641" s="31"/>
      <c r="N1641" s="16"/>
      <c r="O1641" s="16"/>
      <c r="P1641" s="23"/>
      <c r="Q1641" s="17"/>
      <c r="R1641" s="15"/>
      <c r="S1641" s="20"/>
      <c r="T1641" s="68"/>
      <c r="U1641" s="77"/>
      <c r="V1641" s="68"/>
      <c r="W1641" s="71"/>
      <c r="X1641" s="20"/>
    </row>
    <row r="1642">
      <c r="A1642" s="16"/>
      <c r="B1642" s="17"/>
      <c r="E1642" s="17"/>
      <c r="F1642" s="17"/>
      <c r="G1642" s="17"/>
      <c r="H1642" s="10"/>
      <c r="L1642" s="31"/>
      <c r="N1642" s="16"/>
      <c r="O1642" s="16"/>
      <c r="P1642" s="23"/>
      <c r="Q1642" s="17"/>
      <c r="R1642" s="15"/>
      <c r="S1642" s="20"/>
      <c r="T1642" s="68"/>
      <c r="U1642" s="77"/>
      <c r="V1642" s="68"/>
      <c r="W1642" s="71"/>
      <c r="X1642" s="20"/>
    </row>
    <row r="1643">
      <c r="A1643" s="16"/>
      <c r="B1643" s="17"/>
      <c r="E1643" s="17"/>
      <c r="F1643" s="17"/>
      <c r="G1643" s="17"/>
      <c r="H1643" s="10"/>
      <c r="L1643" s="31"/>
      <c r="N1643" s="16"/>
      <c r="O1643" s="16"/>
      <c r="P1643" s="23"/>
      <c r="Q1643" s="17"/>
      <c r="R1643" s="15"/>
      <c r="S1643" s="20"/>
      <c r="T1643" s="68"/>
      <c r="U1643" s="77"/>
      <c r="V1643" s="68"/>
      <c r="W1643" s="71"/>
      <c r="X1643" s="20"/>
    </row>
    <row r="1644">
      <c r="A1644" s="16"/>
      <c r="B1644" s="17"/>
      <c r="E1644" s="17"/>
      <c r="F1644" s="17"/>
      <c r="G1644" s="17"/>
      <c r="H1644" s="10"/>
      <c r="L1644" s="31"/>
      <c r="N1644" s="16"/>
      <c r="O1644" s="16"/>
      <c r="P1644" s="23"/>
      <c r="Q1644" s="17"/>
      <c r="R1644" s="15"/>
      <c r="S1644" s="20"/>
      <c r="T1644" s="68"/>
      <c r="U1644" s="77"/>
      <c r="V1644" s="68"/>
      <c r="W1644" s="71"/>
      <c r="X1644" s="20"/>
    </row>
    <row r="1645">
      <c r="A1645" s="16"/>
      <c r="B1645" s="17"/>
      <c r="E1645" s="17"/>
      <c r="F1645" s="17"/>
      <c r="G1645" s="17"/>
      <c r="H1645" s="10"/>
      <c r="L1645" s="31"/>
      <c r="N1645" s="16"/>
      <c r="O1645" s="16"/>
      <c r="P1645" s="23"/>
      <c r="Q1645" s="17"/>
      <c r="R1645" s="15"/>
      <c r="S1645" s="20"/>
      <c r="T1645" s="68"/>
      <c r="U1645" s="77"/>
      <c r="V1645" s="68"/>
      <c r="W1645" s="71"/>
      <c r="X1645" s="20"/>
    </row>
    <row r="1646">
      <c r="A1646" s="16"/>
      <c r="B1646" s="17"/>
      <c r="E1646" s="17"/>
      <c r="F1646" s="17"/>
      <c r="G1646" s="17"/>
      <c r="H1646" s="10"/>
      <c r="L1646" s="31"/>
      <c r="N1646" s="16"/>
      <c r="O1646" s="16"/>
      <c r="P1646" s="23"/>
      <c r="Q1646" s="17"/>
      <c r="R1646" s="15"/>
      <c r="S1646" s="20"/>
      <c r="T1646" s="68"/>
      <c r="U1646" s="77"/>
      <c r="V1646" s="68"/>
      <c r="W1646" s="71"/>
      <c r="X1646" s="20"/>
    </row>
    <row r="1647">
      <c r="A1647" s="16"/>
      <c r="B1647" s="17"/>
      <c r="E1647" s="17"/>
      <c r="F1647" s="17"/>
      <c r="G1647" s="17"/>
      <c r="H1647" s="10"/>
      <c r="L1647" s="31"/>
      <c r="N1647" s="16"/>
      <c r="O1647" s="16"/>
      <c r="P1647" s="23"/>
      <c r="Q1647" s="17"/>
      <c r="R1647" s="15"/>
      <c r="S1647" s="20"/>
      <c r="T1647" s="68"/>
      <c r="U1647" s="77"/>
      <c r="V1647" s="68"/>
      <c r="W1647" s="71"/>
      <c r="X1647" s="20"/>
    </row>
    <row r="1648">
      <c r="A1648" s="16"/>
      <c r="B1648" s="17"/>
      <c r="E1648" s="17"/>
      <c r="F1648" s="17"/>
      <c r="G1648" s="17"/>
      <c r="H1648" s="10"/>
      <c r="L1648" s="31"/>
      <c r="N1648" s="16"/>
      <c r="O1648" s="16"/>
      <c r="P1648" s="23"/>
      <c r="Q1648" s="17"/>
      <c r="R1648" s="15"/>
      <c r="S1648" s="20"/>
      <c r="T1648" s="68"/>
      <c r="U1648" s="77"/>
      <c r="V1648" s="68"/>
      <c r="W1648" s="71"/>
      <c r="X1648" s="20"/>
    </row>
    <row r="1649">
      <c r="A1649" s="16"/>
      <c r="B1649" s="17"/>
      <c r="E1649" s="17"/>
      <c r="F1649" s="17"/>
      <c r="G1649" s="17"/>
      <c r="H1649" s="10"/>
      <c r="L1649" s="31"/>
      <c r="N1649" s="16"/>
      <c r="O1649" s="16"/>
      <c r="P1649" s="23"/>
      <c r="Q1649" s="17"/>
      <c r="R1649" s="15"/>
      <c r="S1649" s="20"/>
      <c r="T1649" s="68"/>
      <c r="U1649" s="77"/>
      <c r="V1649" s="68"/>
      <c r="W1649" s="71"/>
      <c r="X1649" s="20"/>
    </row>
    <row r="1650">
      <c r="A1650" s="16"/>
      <c r="B1650" s="17"/>
      <c r="E1650" s="17"/>
      <c r="F1650" s="17"/>
      <c r="G1650" s="17"/>
      <c r="H1650" s="10"/>
      <c r="L1650" s="31"/>
      <c r="N1650" s="16"/>
      <c r="O1650" s="16"/>
      <c r="P1650" s="23"/>
      <c r="Q1650" s="17"/>
      <c r="R1650" s="15"/>
      <c r="S1650" s="20"/>
      <c r="T1650" s="68"/>
      <c r="U1650" s="77"/>
      <c r="V1650" s="68"/>
      <c r="W1650" s="71"/>
      <c r="X1650" s="20"/>
    </row>
    <row r="1651">
      <c r="A1651" s="16"/>
      <c r="B1651" s="17"/>
      <c r="E1651" s="17"/>
      <c r="F1651" s="17"/>
      <c r="G1651" s="17"/>
      <c r="H1651" s="10"/>
      <c r="L1651" s="31"/>
      <c r="N1651" s="16"/>
      <c r="O1651" s="16"/>
      <c r="P1651" s="23"/>
      <c r="Q1651" s="17"/>
      <c r="R1651" s="15"/>
      <c r="S1651" s="20"/>
      <c r="T1651" s="68"/>
      <c r="U1651" s="77"/>
      <c r="V1651" s="68"/>
      <c r="W1651" s="71"/>
      <c r="X1651" s="20"/>
    </row>
    <row r="1652">
      <c r="A1652" s="16"/>
      <c r="B1652" s="17"/>
      <c r="E1652" s="17"/>
      <c r="F1652" s="17"/>
      <c r="G1652" s="17"/>
      <c r="H1652" s="10"/>
      <c r="L1652" s="31"/>
      <c r="N1652" s="16"/>
      <c r="O1652" s="16"/>
      <c r="P1652" s="23"/>
      <c r="Q1652" s="17"/>
      <c r="R1652" s="15"/>
      <c r="S1652" s="20"/>
      <c r="T1652" s="68"/>
      <c r="U1652" s="77"/>
      <c r="V1652" s="68"/>
      <c r="W1652" s="71"/>
      <c r="X1652" s="20"/>
    </row>
    <row r="1653">
      <c r="A1653" s="16"/>
      <c r="B1653" s="17"/>
      <c r="E1653" s="17"/>
      <c r="F1653" s="17"/>
      <c r="G1653" s="17"/>
      <c r="H1653" s="10"/>
      <c r="L1653" s="31"/>
      <c r="N1653" s="16"/>
      <c r="O1653" s="16"/>
      <c r="P1653" s="23"/>
      <c r="Q1653" s="17"/>
      <c r="R1653" s="15"/>
      <c r="S1653" s="20"/>
      <c r="T1653" s="68"/>
      <c r="U1653" s="77"/>
      <c r="V1653" s="68"/>
      <c r="W1653" s="71"/>
      <c r="X1653" s="20"/>
    </row>
    <row r="1654">
      <c r="A1654" s="16"/>
      <c r="B1654" s="17"/>
      <c r="E1654" s="17"/>
      <c r="F1654" s="17"/>
      <c r="G1654" s="17"/>
      <c r="H1654" s="10"/>
      <c r="L1654" s="31"/>
      <c r="N1654" s="16"/>
      <c r="O1654" s="16"/>
      <c r="P1654" s="23"/>
      <c r="Q1654" s="17"/>
      <c r="R1654" s="15"/>
      <c r="S1654" s="20"/>
      <c r="T1654" s="68"/>
      <c r="U1654" s="77"/>
      <c r="V1654" s="68"/>
      <c r="W1654" s="71"/>
      <c r="X1654" s="20"/>
    </row>
    <row r="1655">
      <c r="A1655" s="16"/>
      <c r="B1655" s="17"/>
      <c r="E1655" s="17"/>
      <c r="F1655" s="17"/>
      <c r="G1655" s="17"/>
      <c r="H1655" s="10"/>
      <c r="L1655" s="31"/>
      <c r="N1655" s="16"/>
      <c r="O1655" s="16"/>
      <c r="P1655" s="23"/>
      <c r="Q1655" s="17"/>
      <c r="R1655" s="15"/>
      <c r="S1655" s="20"/>
      <c r="T1655" s="68"/>
      <c r="U1655" s="77"/>
      <c r="V1655" s="68"/>
      <c r="W1655" s="71"/>
      <c r="X1655" s="20"/>
    </row>
    <row r="1656">
      <c r="A1656" s="16"/>
      <c r="B1656" s="17"/>
      <c r="E1656" s="17"/>
      <c r="F1656" s="17"/>
      <c r="G1656" s="17"/>
      <c r="H1656" s="10"/>
      <c r="L1656" s="31"/>
      <c r="N1656" s="16"/>
      <c r="O1656" s="16"/>
      <c r="P1656" s="23"/>
      <c r="Q1656" s="17"/>
      <c r="R1656" s="15"/>
      <c r="S1656" s="20"/>
      <c r="T1656" s="68"/>
      <c r="U1656" s="77"/>
      <c r="V1656" s="68"/>
      <c r="W1656" s="71"/>
      <c r="X1656" s="20"/>
    </row>
    <row r="1657">
      <c r="A1657" s="16"/>
      <c r="B1657" s="17"/>
      <c r="E1657" s="17"/>
      <c r="F1657" s="17"/>
      <c r="G1657" s="17"/>
      <c r="H1657" s="10"/>
      <c r="L1657" s="31"/>
      <c r="N1657" s="16"/>
      <c r="O1657" s="16"/>
      <c r="P1657" s="23"/>
      <c r="Q1657" s="17"/>
      <c r="R1657" s="15"/>
      <c r="S1657" s="20"/>
      <c r="T1657" s="68"/>
      <c r="U1657" s="77"/>
      <c r="V1657" s="68"/>
      <c r="W1657" s="71"/>
      <c r="X1657" s="20"/>
    </row>
    <row r="1658">
      <c r="A1658" s="16"/>
      <c r="B1658" s="17"/>
      <c r="E1658" s="17"/>
      <c r="F1658" s="17"/>
      <c r="G1658" s="17"/>
      <c r="H1658" s="10"/>
      <c r="L1658" s="31"/>
      <c r="N1658" s="16"/>
      <c r="O1658" s="16"/>
      <c r="P1658" s="23"/>
      <c r="Q1658" s="17"/>
      <c r="R1658" s="15"/>
      <c r="S1658" s="20"/>
      <c r="T1658" s="68"/>
      <c r="U1658" s="77"/>
      <c r="V1658" s="68"/>
      <c r="W1658" s="71"/>
      <c r="X1658" s="20"/>
    </row>
    <row r="1659">
      <c r="A1659" s="16"/>
      <c r="B1659" s="17"/>
      <c r="E1659" s="17"/>
      <c r="F1659" s="17"/>
      <c r="G1659" s="17"/>
      <c r="H1659" s="10"/>
      <c r="L1659" s="31"/>
      <c r="N1659" s="16"/>
      <c r="O1659" s="16"/>
      <c r="P1659" s="23"/>
      <c r="Q1659" s="17"/>
      <c r="R1659" s="15"/>
      <c r="S1659" s="20"/>
      <c r="T1659" s="68"/>
      <c r="U1659" s="77"/>
      <c r="V1659" s="68"/>
      <c r="W1659" s="71"/>
      <c r="X1659" s="20"/>
    </row>
    <row r="1660">
      <c r="A1660" s="16"/>
      <c r="B1660" s="17"/>
      <c r="E1660" s="17"/>
      <c r="F1660" s="17"/>
      <c r="G1660" s="17"/>
      <c r="H1660" s="10"/>
      <c r="L1660" s="31"/>
      <c r="N1660" s="16"/>
      <c r="O1660" s="16"/>
      <c r="P1660" s="23"/>
      <c r="Q1660" s="17"/>
      <c r="R1660" s="15"/>
      <c r="S1660" s="20"/>
      <c r="T1660" s="68"/>
      <c r="U1660" s="77"/>
      <c r="V1660" s="68"/>
      <c r="W1660" s="71"/>
      <c r="X1660" s="20"/>
    </row>
    <row r="1661">
      <c r="A1661" s="16"/>
      <c r="B1661" s="17"/>
      <c r="E1661" s="17"/>
      <c r="F1661" s="17"/>
      <c r="G1661" s="17"/>
      <c r="H1661" s="10"/>
      <c r="L1661" s="31"/>
      <c r="N1661" s="16"/>
      <c r="O1661" s="16"/>
      <c r="P1661" s="23"/>
      <c r="Q1661" s="17"/>
      <c r="R1661" s="15"/>
      <c r="S1661" s="20"/>
      <c r="T1661" s="68"/>
      <c r="U1661" s="77"/>
      <c r="V1661" s="68"/>
      <c r="W1661" s="71"/>
      <c r="X1661" s="20"/>
    </row>
    <row r="1662">
      <c r="A1662" s="16"/>
      <c r="B1662" s="17"/>
      <c r="E1662" s="17"/>
      <c r="F1662" s="17"/>
      <c r="G1662" s="17"/>
      <c r="H1662" s="10"/>
      <c r="L1662" s="31"/>
      <c r="N1662" s="16"/>
      <c r="O1662" s="16"/>
      <c r="P1662" s="23"/>
      <c r="Q1662" s="17"/>
      <c r="R1662" s="15"/>
      <c r="S1662" s="20"/>
      <c r="T1662" s="68"/>
      <c r="U1662" s="77"/>
      <c r="V1662" s="68"/>
      <c r="W1662" s="71"/>
      <c r="X1662" s="20"/>
    </row>
    <row r="1663">
      <c r="A1663" s="16"/>
      <c r="B1663" s="17"/>
      <c r="E1663" s="17"/>
      <c r="F1663" s="17"/>
      <c r="G1663" s="17"/>
      <c r="H1663" s="10"/>
      <c r="L1663" s="31"/>
      <c r="N1663" s="16"/>
      <c r="O1663" s="16"/>
      <c r="P1663" s="23"/>
      <c r="Q1663" s="17"/>
      <c r="R1663" s="15"/>
      <c r="S1663" s="20"/>
      <c r="T1663" s="68"/>
      <c r="U1663" s="77"/>
      <c r="V1663" s="68"/>
      <c r="W1663" s="71"/>
      <c r="X1663" s="20"/>
    </row>
    <row r="1664">
      <c r="A1664" s="16"/>
      <c r="B1664" s="17"/>
      <c r="E1664" s="17"/>
      <c r="F1664" s="17"/>
      <c r="G1664" s="17"/>
      <c r="H1664" s="10"/>
      <c r="L1664" s="31"/>
      <c r="N1664" s="16"/>
      <c r="O1664" s="16"/>
      <c r="P1664" s="23"/>
      <c r="Q1664" s="17"/>
      <c r="R1664" s="15"/>
      <c r="S1664" s="20"/>
      <c r="T1664" s="68"/>
      <c r="U1664" s="77"/>
      <c r="V1664" s="68"/>
      <c r="W1664" s="71"/>
      <c r="X1664" s="20"/>
    </row>
    <row r="1665">
      <c r="A1665" s="16"/>
      <c r="B1665" s="17"/>
      <c r="E1665" s="17"/>
      <c r="F1665" s="17"/>
      <c r="G1665" s="17"/>
      <c r="H1665" s="10"/>
      <c r="L1665" s="31"/>
      <c r="N1665" s="16"/>
      <c r="O1665" s="16"/>
      <c r="P1665" s="23"/>
      <c r="Q1665" s="17"/>
      <c r="R1665" s="15"/>
      <c r="S1665" s="20"/>
      <c r="T1665" s="68"/>
      <c r="U1665" s="77"/>
      <c r="V1665" s="68"/>
      <c r="W1665" s="71"/>
      <c r="X1665" s="20"/>
    </row>
    <row r="1666">
      <c r="A1666" s="16"/>
      <c r="B1666" s="17"/>
      <c r="E1666" s="17"/>
      <c r="F1666" s="17"/>
      <c r="G1666" s="17"/>
      <c r="H1666" s="10"/>
      <c r="L1666" s="31"/>
      <c r="N1666" s="16"/>
      <c r="O1666" s="16"/>
      <c r="P1666" s="23"/>
      <c r="Q1666" s="17"/>
      <c r="R1666" s="15"/>
      <c r="S1666" s="20"/>
      <c r="T1666" s="68"/>
      <c r="U1666" s="77"/>
      <c r="V1666" s="68"/>
      <c r="W1666" s="71"/>
      <c r="X1666" s="20"/>
    </row>
    <row r="1667">
      <c r="A1667" s="16"/>
      <c r="B1667" s="17"/>
      <c r="E1667" s="17"/>
      <c r="F1667" s="17"/>
      <c r="G1667" s="17"/>
      <c r="H1667" s="10"/>
      <c r="L1667" s="31"/>
      <c r="N1667" s="16"/>
      <c r="O1667" s="16"/>
      <c r="P1667" s="23"/>
      <c r="Q1667" s="17"/>
      <c r="R1667" s="15"/>
      <c r="S1667" s="20"/>
      <c r="T1667" s="68"/>
      <c r="U1667" s="77"/>
      <c r="V1667" s="68"/>
      <c r="W1667" s="71"/>
      <c r="X1667" s="20"/>
    </row>
    <row r="1668">
      <c r="A1668" s="16"/>
      <c r="B1668" s="17"/>
      <c r="E1668" s="17"/>
      <c r="F1668" s="17"/>
      <c r="G1668" s="17"/>
      <c r="H1668" s="10"/>
      <c r="L1668" s="31"/>
      <c r="N1668" s="16"/>
      <c r="O1668" s="16"/>
      <c r="P1668" s="23"/>
      <c r="Q1668" s="17"/>
      <c r="R1668" s="15"/>
      <c r="S1668" s="20"/>
      <c r="T1668" s="68"/>
      <c r="U1668" s="77"/>
      <c r="V1668" s="68"/>
      <c r="W1668" s="71"/>
      <c r="X1668" s="20"/>
    </row>
    <row r="1669">
      <c r="A1669" s="16"/>
      <c r="B1669" s="17"/>
      <c r="E1669" s="17"/>
      <c r="F1669" s="17"/>
      <c r="G1669" s="17"/>
      <c r="H1669" s="10"/>
      <c r="L1669" s="31"/>
      <c r="N1669" s="16"/>
      <c r="O1669" s="16"/>
      <c r="P1669" s="23"/>
      <c r="Q1669" s="17"/>
      <c r="R1669" s="15"/>
      <c r="S1669" s="20"/>
      <c r="T1669" s="68"/>
      <c r="U1669" s="77"/>
      <c r="V1669" s="68"/>
      <c r="W1669" s="71"/>
      <c r="X1669" s="20"/>
    </row>
    <row r="1670">
      <c r="A1670" s="16"/>
      <c r="B1670" s="17"/>
      <c r="E1670" s="17"/>
      <c r="F1670" s="17"/>
      <c r="G1670" s="17"/>
      <c r="H1670" s="10"/>
      <c r="L1670" s="31"/>
      <c r="N1670" s="16"/>
      <c r="O1670" s="16"/>
      <c r="P1670" s="23"/>
      <c r="Q1670" s="17"/>
      <c r="R1670" s="15"/>
      <c r="S1670" s="20"/>
      <c r="T1670" s="68"/>
      <c r="U1670" s="77"/>
      <c r="V1670" s="68"/>
      <c r="W1670" s="71"/>
      <c r="X1670" s="20"/>
    </row>
    <row r="1671">
      <c r="A1671" s="16"/>
      <c r="B1671" s="17"/>
      <c r="E1671" s="17"/>
      <c r="F1671" s="17"/>
      <c r="G1671" s="17"/>
      <c r="H1671" s="10"/>
      <c r="L1671" s="31"/>
      <c r="N1671" s="16"/>
      <c r="O1671" s="16"/>
      <c r="P1671" s="23"/>
      <c r="Q1671" s="17"/>
      <c r="R1671" s="15"/>
      <c r="S1671" s="20"/>
      <c r="T1671" s="68"/>
      <c r="U1671" s="77"/>
      <c r="V1671" s="68"/>
      <c r="W1671" s="71"/>
      <c r="X1671" s="20"/>
    </row>
    <row r="1672">
      <c r="A1672" s="16"/>
      <c r="B1672" s="17"/>
      <c r="E1672" s="17"/>
      <c r="F1672" s="17"/>
      <c r="G1672" s="17"/>
      <c r="H1672" s="10"/>
      <c r="L1672" s="31"/>
      <c r="N1672" s="16"/>
      <c r="O1672" s="16"/>
      <c r="P1672" s="23"/>
      <c r="Q1672" s="17"/>
      <c r="R1672" s="15"/>
      <c r="S1672" s="20"/>
      <c r="T1672" s="68"/>
      <c r="U1672" s="77"/>
      <c r="V1672" s="68"/>
      <c r="W1672" s="71"/>
      <c r="X1672" s="20"/>
    </row>
    <row r="1673">
      <c r="A1673" s="16"/>
      <c r="B1673" s="17"/>
      <c r="E1673" s="17"/>
      <c r="F1673" s="17"/>
      <c r="G1673" s="17"/>
      <c r="H1673" s="10"/>
      <c r="L1673" s="31"/>
      <c r="N1673" s="16"/>
      <c r="O1673" s="16"/>
      <c r="P1673" s="23"/>
      <c r="Q1673" s="17"/>
      <c r="R1673" s="15"/>
      <c r="S1673" s="20"/>
      <c r="T1673" s="68"/>
      <c r="U1673" s="77"/>
      <c r="V1673" s="68"/>
      <c r="W1673" s="71"/>
      <c r="X1673" s="20"/>
    </row>
    <row r="1674">
      <c r="A1674" s="16"/>
      <c r="B1674" s="17"/>
      <c r="E1674" s="17"/>
      <c r="F1674" s="17"/>
      <c r="G1674" s="17"/>
      <c r="H1674" s="10"/>
      <c r="L1674" s="31"/>
      <c r="N1674" s="16"/>
      <c r="O1674" s="16"/>
      <c r="P1674" s="23"/>
      <c r="Q1674" s="17"/>
      <c r="R1674" s="15"/>
      <c r="S1674" s="20"/>
      <c r="T1674" s="68"/>
      <c r="U1674" s="77"/>
      <c r="V1674" s="68"/>
      <c r="W1674" s="71"/>
      <c r="X1674" s="20"/>
    </row>
    <row r="1675">
      <c r="A1675" s="16"/>
      <c r="B1675" s="17"/>
      <c r="E1675" s="17"/>
      <c r="F1675" s="17"/>
      <c r="G1675" s="17"/>
      <c r="H1675" s="10"/>
      <c r="L1675" s="31"/>
      <c r="N1675" s="16"/>
      <c r="O1675" s="16"/>
      <c r="P1675" s="23"/>
      <c r="Q1675" s="17"/>
      <c r="R1675" s="15"/>
      <c r="S1675" s="20"/>
      <c r="T1675" s="68"/>
      <c r="U1675" s="77"/>
      <c r="V1675" s="68"/>
      <c r="W1675" s="71"/>
      <c r="X1675" s="20"/>
    </row>
    <row r="1676">
      <c r="A1676" s="16"/>
      <c r="B1676" s="17"/>
      <c r="E1676" s="17"/>
      <c r="F1676" s="17"/>
      <c r="G1676" s="17"/>
      <c r="H1676" s="10"/>
      <c r="L1676" s="31"/>
      <c r="N1676" s="16"/>
      <c r="O1676" s="16"/>
      <c r="P1676" s="23"/>
      <c r="Q1676" s="17"/>
      <c r="R1676" s="15"/>
      <c r="S1676" s="20"/>
      <c r="T1676" s="68"/>
      <c r="U1676" s="77"/>
      <c r="V1676" s="68"/>
      <c r="W1676" s="71"/>
      <c r="X1676" s="20"/>
    </row>
    <row r="1677">
      <c r="A1677" s="16"/>
      <c r="B1677" s="17"/>
      <c r="E1677" s="17"/>
      <c r="F1677" s="17"/>
      <c r="G1677" s="17"/>
      <c r="H1677" s="10"/>
      <c r="L1677" s="31"/>
      <c r="N1677" s="16"/>
      <c r="O1677" s="16"/>
      <c r="P1677" s="23"/>
      <c r="Q1677" s="17"/>
      <c r="R1677" s="15"/>
      <c r="S1677" s="20"/>
      <c r="T1677" s="68"/>
      <c r="U1677" s="77"/>
      <c r="V1677" s="68"/>
      <c r="W1677" s="71"/>
      <c r="X1677" s="20"/>
    </row>
    <row r="1678">
      <c r="A1678" s="16"/>
      <c r="B1678" s="17"/>
      <c r="E1678" s="17"/>
      <c r="F1678" s="17"/>
      <c r="G1678" s="17"/>
      <c r="H1678" s="10"/>
      <c r="L1678" s="31"/>
      <c r="N1678" s="16"/>
      <c r="O1678" s="16"/>
      <c r="P1678" s="23"/>
      <c r="Q1678" s="17"/>
      <c r="R1678" s="15"/>
      <c r="S1678" s="20"/>
      <c r="T1678" s="68"/>
      <c r="U1678" s="77"/>
      <c r="V1678" s="68"/>
      <c r="W1678" s="71"/>
      <c r="X1678" s="20"/>
    </row>
    <row r="1679">
      <c r="A1679" s="16"/>
      <c r="B1679" s="17"/>
      <c r="E1679" s="17"/>
      <c r="F1679" s="17"/>
      <c r="G1679" s="17"/>
      <c r="H1679" s="10"/>
      <c r="L1679" s="31"/>
      <c r="N1679" s="16"/>
      <c r="O1679" s="16"/>
      <c r="P1679" s="23"/>
      <c r="Q1679" s="17"/>
      <c r="R1679" s="15"/>
      <c r="S1679" s="20"/>
      <c r="T1679" s="68"/>
      <c r="U1679" s="77"/>
      <c r="V1679" s="68"/>
      <c r="W1679" s="71"/>
      <c r="X1679" s="20"/>
    </row>
    <row r="1680">
      <c r="A1680" s="16"/>
      <c r="B1680" s="17"/>
      <c r="E1680" s="17"/>
      <c r="F1680" s="17"/>
      <c r="G1680" s="17"/>
      <c r="H1680" s="10"/>
      <c r="L1680" s="31"/>
      <c r="N1680" s="16"/>
      <c r="O1680" s="16"/>
      <c r="P1680" s="23"/>
      <c r="Q1680" s="17"/>
      <c r="R1680" s="15"/>
      <c r="S1680" s="20"/>
      <c r="T1680" s="68"/>
      <c r="U1680" s="77"/>
      <c r="V1680" s="68"/>
      <c r="W1680" s="71"/>
      <c r="X1680" s="20"/>
    </row>
    <row r="1681">
      <c r="A1681" s="16"/>
      <c r="B1681" s="17"/>
      <c r="E1681" s="17"/>
      <c r="F1681" s="17"/>
      <c r="G1681" s="17"/>
      <c r="H1681" s="10"/>
      <c r="L1681" s="31"/>
      <c r="N1681" s="16"/>
      <c r="O1681" s="16"/>
      <c r="P1681" s="23"/>
      <c r="Q1681" s="17"/>
      <c r="R1681" s="15"/>
      <c r="S1681" s="20"/>
      <c r="T1681" s="68"/>
      <c r="U1681" s="77"/>
      <c r="V1681" s="68"/>
      <c r="W1681" s="71"/>
      <c r="X1681" s="20"/>
    </row>
    <row r="1682">
      <c r="A1682" s="16"/>
      <c r="B1682" s="17"/>
      <c r="E1682" s="17"/>
      <c r="F1682" s="17"/>
      <c r="G1682" s="17"/>
      <c r="H1682" s="10"/>
      <c r="L1682" s="31"/>
      <c r="N1682" s="16"/>
      <c r="O1682" s="16"/>
      <c r="P1682" s="23"/>
      <c r="Q1682" s="17"/>
      <c r="R1682" s="15"/>
      <c r="S1682" s="20"/>
      <c r="T1682" s="68"/>
      <c r="U1682" s="77"/>
      <c r="V1682" s="68"/>
      <c r="W1682" s="71"/>
      <c r="X1682" s="20"/>
    </row>
    <row r="1683">
      <c r="A1683" s="16"/>
      <c r="B1683" s="17"/>
      <c r="E1683" s="17"/>
      <c r="F1683" s="17"/>
      <c r="G1683" s="17"/>
      <c r="H1683" s="10"/>
      <c r="L1683" s="31"/>
      <c r="N1683" s="16"/>
      <c r="O1683" s="16"/>
      <c r="P1683" s="23"/>
      <c r="Q1683" s="17"/>
      <c r="R1683" s="15"/>
      <c r="S1683" s="20"/>
      <c r="T1683" s="68"/>
      <c r="U1683" s="77"/>
      <c r="V1683" s="68"/>
      <c r="W1683" s="71"/>
      <c r="X1683" s="20"/>
    </row>
    <row r="1684">
      <c r="A1684" s="16"/>
      <c r="B1684" s="17"/>
      <c r="E1684" s="17"/>
      <c r="F1684" s="17"/>
      <c r="G1684" s="17"/>
      <c r="H1684" s="10"/>
      <c r="L1684" s="31"/>
      <c r="N1684" s="16"/>
      <c r="O1684" s="16"/>
      <c r="P1684" s="23"/>
      <c r="Q1684" s="17"/>
      <c r="R1684" s="15"/>
      <c r="S1684" s="20"/>
      <c r="T1684" s="68"/>
      <c r="U1684" s="77"/>
      <c r="V1684" s="68"/>
      <c r="W1684" s="71"/>
      <c r="X1684" s="20"/>
    </row>
    <row r="1685">
      <c r="A1685" s="16"/>
      <c r="B1685" s="17"/>
      <c r="E1685" s="17"/>
      <c r="F1685" s="17"/>
      <c r="G1685" s="17"/>
      <c r="H1685" s="10"/>
      <c r="L1685" s="31"/>
      <c r="N1685" s="16"/>
      <c r="O1685" s="16"/>
      <c r="P1685" s="23"/>
      <c r="Q1685" s="17"/>
      <c r="R1685" s="15"/>
      <c r="S1685" s="20"/>
      <c r="T1685" s="68"/>
      <c r="U1685" s="77"/>
      <c r="V1685" s="68"/>
      <c r="W1685" s="71"/>
      <c r="X1685" s="20"/>
    </row>
    <row r="1686">
      <c r="A1686" s="16"/>
      <c r="B1686" s="17"/>
      <c r="E1686" s="17"/>
      <c r="F1686" s="17"/>
      <c r="G1686" s="17"/>
      <c r="H1686" s="10"/>
      <c r="L1686" s="31"/>
      <c r="N1686" s="16"/>
      <c r="O1686" s="16"/>
      <c r="P1686" s="23"/>
      <c r="Q1686" s="17"/>
      <c r="R1686" s="15"/>
      <c r="S1686" s="20"/>
      <c r="T1686" s="68"/>
      <c r="U1686" s="77"/>
      <c r="V1686" s="68"/>
      <c r="W1686" s="71"/>
      <c r="X1686" s="20"/>
    </row>
    <row r="1687">
      <c r="A1687" s="16"/>
      <c r="B1687" s="17"/>
      <c r="E1687" s="17"/>
      <c r="F1687" s="17"/>
      <c r="G1687" s="17"/>
      <c r="H1687" s="10"/>
      <c r="L1687" s="31"/>
      <c r="N1687" s="16"/>
      <c r="O1687" s="16"/>
      <c r="P1687" s="23"/>
      <c r="Q1687" s="17"/>
      <c r="R1687" s="15"/>
      <c r="S1687" s="20"/>
      <c r="T1687" s="68"/>
      <c r="U1687" s="77"/>
      <c r="V1687" s="68"/>
      <c r="W1687" s="71"/>
      <c r="X1687" s="20"/>
    </row>
    <row r="1688">
      <c r="A1688" s="16"/>
      <c r="B1688" s="17"/>
      <c r="E1688" s="17"/>
      <c r="F1688" s="17"/>
      <c r="G1688" s="17"/>
      <c r="H1688" s="10"/>
      <c r="L1688" s="31"/>
      <c r="N1688" s="16"/>
      <c r="O1688" s="16"/>
      <c r="P1688" s="23"/>
      <c r="Q1688" s="17"/>
      <c r="R1688" s="15"/>
      <c r="S1688" s="20"/>
      <c r="T1688" s="68"/>
      <c r="U1688" s="77"/>
      <c r="V1688" s="68"/>
      <c r="W1688" s="71"/>
      <c r="X1688" s="20"/>
    </row>
    <row r="1689">
      <c r="A1689" s="16"/>
      <c r="B1689" s="17"/>
      <c r="E1689" s="17"/>
      <c r="F1689" s="17"/>
      <c r="G1689" s="17"/>
      <c r="H1689" s="10"/>
      <c r="L1689" s="31"/>
      <c r="N1689" s="16"/>
      <c r="O1689" s="16"/>
      <c r="P1689" s="23"/>
      <c r="Q1689" s="17"/>
      <c r="R1689" s="15"/>
      <c r="S1689" s="20"/>
      <c r="T1689" s="68"/>
      <c r="U1689" s="77"/>
      <c r="V1689" s="68"/>
      <c r="W1689" s="71"/>
      <c r="X1689" s="20"/>
    </row>
    <row r="1690">
      <c r="A1690" s="16"/>
      <c r="B1690" s="17"/>
      <c r="E1690" s="17"/>
      <c r="F1690" s="17"/>
      <c r="G1690" s="17"/>
      <c r="H1690" s="10"/>
      <c r="L1690" s="31"/>
      <c r="N1690" s="16"/>
      <c r="O1690" s="16"/>
      <c r="P1690" s="23"/>
      <c r="Q1690" s="17"/>
      <c r="R1690" s="15"/>
      <c r="S1690" s="20"/>
      <c r="T1690" s="68"/>
      <c r="U1690" s="77"/>
      <c r="V1690" s="68"/>
      <c r="W1690" s="71"/>
      <c r="X1690" s="20"/>
    </row>
    <row r="1691">
      <c r="A1691" s="16"/>
      <c r="B1691" s="17"/>
      <c r="E1691" s="17"/>
      <c r="F1691" s="17"/>
      <c r="G1691" s="17"/>
      <c r="H1691" s="10"/>
      <c r="L1691" s="31"/>
      <c r="N1691" s="16"/>
      <c r="O1691" s="16"/>
      <c r="P1691" s="23"/>
      <c r="Q1691" s="17"/>
      <c r="R1691" s="15"/>
      <c r="S1691" s="20"/>
      <c r="T1691" s="68"/>
      <c r="U1691" s="77"/>
      <c r="V1691" s="68"/>
      <c r="W1691" s="71"/>
      <c r="X1691" s="20"/>
    </row>
    <row r="1692">
      <c r="A1692" s="16"/>
      <c r="B1692" s="17"/>
      <c r="E1692" s="17"/>
      <c r="F1692" s="17"/>
      <c r="G1692" s="17"/>
      <c r="H1692" s="10"/>
      <c r="L1692" s="31"/>
      <c r="N1692" s="16"/>
      <c r="O1692" s="16"/>
      <c r="P1692" s="23"/>
      <c r="Q1692" s="17"/>
      <c r="R1692" s="15"/>
      <c r="S1692" s="20"/>
      <c r="T1692" s="68"/>
      <c r="U1692" s="77"/>
      <c r="V1692" s="68"/>
      <c r="W1692" s="71"/>
      <c r="X1692" s="20"/>
    </row>
    <row r="1693">
      <c r="A1693" s="16"/>
      <c r="B1693" s="17"/>
      <c r="E1693" s="17"/>
      <c r="F1693" s="17"/>
      <c r="G1693" s="17"/>
      <c r="H1693" s="10"/>
      <c r="L1693" s="31"/>
      <c r="N1693" s="16"/>
      <c r="O1693" s="16"/>
      <c r="P1693" s="23"/>
      <c r="Q1693" s="17"/>
      <c r="R1693" s="15"/>
      <c r="S1693" s="20"/>
      <c r="T1693" s="68"/>
      <c r="U1693" s="77"/>
      <c r="V1693" s="68"/>
      <c r="W1693" s="71"/>
      <c r="X1693" s="20"/>
    </row>
    <row r="1694">
      <c r="A1694" s="16"/>
      <c r="B1694" s="17"/>
      <c r="E1694" s="17"/>
      <c r="F1694" s="17"/>
      <c r="G1694" s="17"/>
      <c r="H1694" s="10"/>
      <c r="L1694" s="31"/>
      <c r="N1694" s="16"/>
      <c r="O1694" s="16"/>
      <c r="P1694" s="23"/>
      <c r="Q1694" s="17"/>
      <c r="R1694" s="15"/>
      <c r="S1694" s="20"/>
      <c r="T1694" s="68"/>
      <c r="U1694" s="77"/>
      <c r="V1694" s="68"/>
      <c r="W1694" s="71"/>
      <c r="X1694" s="20"/>
    </row>
    <row r="1695">
      <c r="A1695" s="16"/>
      <c r="B1695" s="17"/>
      <c r="E1695" s="17"/>
      <c r="F1695" s="17"/>
      <c r="G1695" s="17"/>
      <c r="H1695" s="10"/>
      <c r="L1695" s="31"/>
      <c r="N1695" s="16"/>
      <c r="O1695" s="16"/>
      <c r="P1695" s="23"/>
      <c r="Q1695" s="17"/>
      <c r="R1695" s="15"/>
      <c r="S1695" s="20"/>
      <c r="T1695" s="68"/>
      <c r="U1695" s="77"/>
      <c r="V1695" s="68"/>
      <c r="W1695" s="71"/>
      <c r="X1695" s="20"/>
    </row>
    <row r="1696">
      <c r="A1696" s="16"/>
      <c r="B1696" s="17"/>
      <c r="E1696" s="17"/>
      <c r="F1696" s="17"/>
      <c r="G1696" s="17"/>
      <c r="H1696" s="10"/>
      <c r="L1696" s="31"/>
      <c r="N1696" s="16"/>
      <c r="O1696" s="16"/>
      <c r="P1696" s="23"/>
      <c r="Q1696" s="17"/>
      <c r="R1696" s="15"/>
      <c r="S1696" s="20"/>
      <c r="T1696" s="68"/>
      <c r="U1696" s="77"/>
      <c r="V1696" s="68"/>
      <c r="W1696" s="71"/>
      <c r="X1696" s="20"/>
    </row>
    <row r="1697">
      <c r="A1697" s="16"/>
      <c r="B1697" s="17"/>
      <c r="E1697" s="17"/>
      <c r="F1697" s="17"/>
      <c r="G1697" s="17"/>
      <c r="H1697" s="10"/>
      <c r="L1697" s="31"/>
      <c r="N1697" s="16"/>
      <c r="O1697" s="16"/>
      <c r="P1697" s="23"/>
      <c r="Q1697" s="17"/>
      <c r="R1697" s="15"/>
      <c r="S1697" s="20"/>
      <c r="T1697" s="68"/>
      <c r="U1697" s="77"/>
      <c r="V1697" s="68"/>
      <c r="W1697" s="71"/>
      <c r="X1697" s="20"/>
    </row>
    <row r="1698">
      <c r="A1698" s="16"/>
      <c r="B1698" s="17"/>
      <c r="E1698" s="17"/>
      <c r="F1698" s="17"/>
      <c r="G1698" s="17"/>
      <c r="H1698" s="10"/>
      <c r="L1698" s="31"/>
      <c r="N1698" s="16"/>
      <c r="O1698" s="16"/>
      <c r="P1698" s="23"/>
      <c r="Q1698" s="17"/>
      <c r="R1698" s="15"/>
      <c r="S1698" s="20"/>
      <c r="T1698" s="68"/>
      <c r="U1698" s="77"/>
      <c r="V1698" s="68"/>
      <c r="W1698" s="71"/>
      <c r="X1698" s="20"/>
    </row>
    <row r="1699">
      <c r="A1699" s="16"/>
      <c r="B1699" s="17"/>
      <c r="E1699" s="17"/>
      <c r="F1699" s="17"/>
      <c r="G1699" s="17"/>
      <c r="H1699" s="10"/>
      <c r="L1699" s="31"/>
      <c r="N1699" s="16"/>
      <c r="O1699" s="16"/>
      <c r="P1699" s="23"/>
      <c r="Q1699" s="17"/>
      <c r="R1699" s="15"/>
      <c r="S1699" s="20"/>
      <c r="T1699" s="68"/>
      <c r="U1699" s="77"/>
      <c r="V1699" s="68"/>
      <c r="W1699" s="71"/>
      <c r="X1699" s="20"/>
    </row>
    <row r="1700">
      <c r="A1700" s="16"/>
      <c r="B1700" s="17"/>
      <c r="E1700" s="17"/>
      <c r="F1700" s="17"/>
      <c r="G1700" s="17"/>
      <c r="H1700" s="10"/>
      <c r="L1700" s="31"/>
      <c r="N1700" s="16"/>
      <c r="O1700" s="16"/>
      <c r="P1700" s="23"/>
      <c r="Q1700" s="17"/>
      <c r="R1700" s="15"/>
      <c r="S1700" s="20"/>
      <c r="T1700" s="68"/>
      <c r="U1700" s="77"/>
      <c r="V1700" s="68"/>
      <c r="W1700" s="71"/>
      <c r="X1700" s="20"/>
    </row>
    <row r="1701">
      <c r="A1701" s="16"/>
      <c r="B1701" s="17"/>
      <c r="E1701" s="17"/>
      <c r="F1701" s="17"/>
      <c r="G1701" s="17"/>
      <c r="H1701" s="10"/>
      <c r="L1701" s="31"/>
      <c r="N1701" s="16"/>
      <c r="O1701" s="16"/>
      <c r="P1701" s="23"/>
      <c r="Q1701" s="17"/>
      <c r="R1701" s="15"/>
      <c r="S1701" s="20"/>
      <c r="T1701" s="68"/>
      <c r="U1701" s="77"/>
      <c r="V1701" s="68"/>
      <c r="W1701" s="71"/>
      <c r="X1701" s="20"/>
    </row>
    <row r="1702">
      <c r="A1702" s="16"/>
      <c r="B1702" s="17"/>
      <c r="E1702" s="17"/>
      <c r="F1702" s="17"/>
      <c r="G1702" s="17"/>
      <c r="H1702" s="10"/>
      <c r="L1702" s="31"/>
      <c r="N1702" s="16"/>
      <c r="O1702" s="16"/>
      <c r="P1702" s="23"/>
      <c r="Q1702" s="17"/>
      <c r="R1702" s="15"/>
      <c r="S1702" s="20"/>
      <c r="T1702" s="68"/>
      <c r="U1702" s="77"/>
      <c r="V1702" s="68"/>
      <c r="W1702" s="71"/>
      <c r="X1702" s="20"/>
    </row>
    <row r="1703">
      <c r="A1703" s="16"/>
      <c r="B1703" s="17"/>
      <c r="E1703" s="17"/>
      <c r="F1703" s="17"/>
      <c r="G1703" s="17"/>
      <c r="H1703" s="10"/>
      <c r="L1703" s="31"/>
      <c r="N1703" s="16"/>
      <c r="O1703" s="16"/>
      <c r="P1703" s="23"/>
      <c r="Q1703" s="17"/>
      <c r="R1703" s="15"/>
      <c r="S1703" s="20"/>
      <c r="T1703" s="68"/>
      <c r="U1703" s="77"/>
      <c r="V1703" s="68"/>
      <c r="W1703" s="71"/>
      <c r="X1703" s="20"/>
    </row>
    <row r="1704">
      <c r="A1704" s="16"/>
      <c r="B1704" s="17"/>
      <c r="E1704" s="17"/>
      <c r="F1704" s="17"/>
      <c r="G1704" s="17"/>
      <c r="H1704" s="10"/>
      <c r="L1704" s="31"/>
      <c r="N1704" s="16"/>
      <c r="O1704" s="16"/>
      <c r="P1704" s="23"/>
      <c r="Q1704" s="17"/>
      <c r="R1704" s="15"/>
      <c r="S1704" s="20"/>
      <c r="T1704" s="68"/>
      <c r="U1704" s="77"/>
      <c r="V1704" s="68"/>
      <c r="W1704" s="71"/>
      <c r="X1704" s="20"/>
    </row>
    <row r="1705">
      <c r="A1705" s="16"/>
      <c r="B1705" s="17"/>
      <c r="E1705" s="17"/>
      <c r="F1705" s="17"/>
      <c r="G1705" s="17"/>
      <c r="H1705" s="10"/>
      <c r="L1705" s="31"/>
      <c r="N1705" s="16"/>
      <c r="O1705" s="16"/>
      <c r="P1705" s="23"/>
      <c r="Q1705" s="17"/>
      <c r="R1705" s="15"/>
      <c r="S1705" s="20"/>
      <c r="T1705" s="68"/>
      <c r="U1705" s="77"/>
      <c r="V1705" s="68"/>
      <c r="W1705" s="71"/>
      <c r="X1705" s="20"/>
    </row>
    <row r="1706">
      <c r="A1706" s="16"/>
      <c r="B1706" s="17"/>
      <c r="E1706" s="17"/>
      <c r="F1706" s="17"/>
      <c r="G1706" s="17"/>
      <c r="H1706" s="10"/>
      <c r="L1706" s="31"/>
      <c r="N1706" s="16"/>
      <c r="O1706" s="16"/>
      <c r="P1706" s="23"/>
      <c r="Q1706" s="17"/>
      <c r="R1706" s="15"/>
      <c r="S1706" s="20"/>
      <c r="T1706" s="68"/>
      <c r="U1706" s="77"/>
      <c r="V1706" s="68"/>
      <c r="W1706" s="71"/>
      <c r="X1706" s="20"/>
    </row>
    <row r="1707">
      <c r="A1707" s="16"/>
      <c r="B1707" s="17"/>
      <c r="E1707" s="17"/>
      <c r="F1707" s="17"/>
      <c r="G1707" s="17"/>
      <c r="H1707" s="10"/>
      <c r="L1707" s="31"/>
      <c r="N1707" s="16"/>
      <c r="O1707" s="16"/>
      <c r="P1707" s="23"/>
      <c r="Q1707" s="17"/>
      <c r="R1707" s="15"/>
      <c r="S1707" s="20"/>
      <c r="T1707" s="68"/>
      <c r="U1707" s="77"/>
      <c r="V1707" s="68"/>
      <c r="W1707" s="71"/>
      <c r="X1707" s="20"/>
    </row>
    <row r="1708">
      <c r="A1708" s="16"/>
      <c r="B1708" s="17"/>
      <c r="E1708" s="17"/>
      <c r="F1708" s="17"/>
      <c r="G1708" s="17"/>
      <c r="H1708" s="10"/>
      <c r="L1708" s="31"/>
      <c r="N1708" s="16"/>
      <c r="O1708" s="16"/>
      <c r="P1708" s="23"/>
      <c r="Q1708" s="17"/>
      <c r="R1708" s="15"/>
      <c r="S1708" s="20"/>
      <c r="T1708" s="68"/>
      <c r="U1708" s="77"/>
      <c r="V1708" s="68"/>
      <c r="W1708" s="71"/>
      <c r="X1708" s="20"/>
    </row>
    <row r="1709">
      <c r="A1709" s="16"/>
      <c r="B1709" s="17"/>
      <c r="E1709" s="17"/>
      <c r="F1709" s="17"/>
      <c r="G1709" s="17"/>
      <c r="H1709" s="10"/>
      <c r="L1709" s="31"/>
      <c r="N1709" s="16"/>
      <c r="O1709" s="16"/>
      <c r="P1709" s="23"/>
      <c r="Q1709" s="17"/>
      <c r="R1709" s="15"/>
      <c r="S1709" s="20"/>
      <c r="T1709" s="68"/>
      <c r="U1709" s="77"/>
      <c r="V1709" s="68"/>
      <c r="W1709" s="71"/>
      <c r="X1709" s="20"/>
    </row>
    <row r="1710">
      <c r="A1710" s="16"/>
      <c r="B1710" s="17"/>
      <c r="E1710" s="17"/>
      <c r="F1710" s="17"/>
      <c r="G1710" s="17"/>
      <c r="H1710" s="10"/>
      <c r="L1710" s="31"/>
      <c r="N1710" s="16"/>
      <c r="O1710" s="16"/>
      <c r="P1710" s="23"/>
      <c r="Q1710" s="17"/>
      <c r="R1710" s="15"/>
      <c r="S1710" s="20"/>
      <c r="T1710" s="68"/>
      <c r="U1710" s="77"/>
      <c r="V1710" s="68"/>
      <c r="W1710" s="71"/>
      <c r="X1710" s="20"/>
    </row>
    <row r="1711">
      <c r="A1711" s="16"/>
      <c r="B1711" s="17"/>
      <c r="E1711" s="17"/>
      <c r="F1711" s="17"/>
      <c r="G1711" s="17"/>
      <c r="H1711" s="10"/>
      <c r="L1711" s="31"/>
      <c r="N1711" s="16"/>
      <c r="O1711" s="16"/>
      <c r="P1711" s="23"/>
      <c r="Q1711" s="17"/>
      <c r="R1711" s="15"/>
      <c r="S1711" s="20"/>
      <c r="T1711" s="68"/>
      <c r="U1711" s="77"/>
      <c r="V1711" s="68"/>
      <c r="W1711" s="71"/>
      <c r="X1711" s="20"/>
    </row>
    <row r="1712">
      <c r="A1712" s="16"/>
      <c r="B1712" s="17"/>
      <c r="E1712" s="17"/>
      <c r="F1712" s="17"/>
      <c r="G1712" s="17"/>
      <c r="H1712" s="10"/>
      <c r="L1712" s="31"/>
      <c r="N1712" s="16"/>
      <c r="O1712" s="16"/>
      <c r="P1712" s="23"/>
      <c r="Q1712" s="17"/>
      <c r="R1712" s="15"/>
      <c r="S1712" s="20"/>
      <c r="T1712" s="68"/>
      <c r="U1712" s="77"/>
      <c r="V1712" s="68"/>
      <c r="W1712" s="71"/>
      <c r="X1712" s="20"/>
    </row>
    <row r="1713">
      <c r="A1713" s="16"/>
      <c r="B1713" s="17"/>
      <c r="E1713" s="17"/>
      <c r="F1713" s="17"/>
      <c r="G1713" s="17"/>
      <c r="H1713" s="10"/>
      <c r="L1713" s="31"/>
      <c r="N1713" s="16"/>
      <c r="O1713" s="16"/>
      <c r="P1713" s="23"/>
      <c r="Q1713" s="17"/>
      <c r="R1713" s="15"/>
      <c r="S1713" s="20"/>
      <c r="T1713" s="68"/>
      <c r="U1713" s="77"/>
      <c r="V1713" s="68"/>
      <c r="W1713" s="71"/>
      <c r="X1713" s="20"/>
    </row>
    <row r="1714">
      <c r="A1714" s="16"/>
      <c r="B1714" s="17"/>
      <c r="E1714" s="17"/>
      <c r="F1714" s="17"/>
      <c r="G1714" s="17"/>
      <c r="H1714" s="10"/>
      <c r="L1714" s="31"/>
      <c r="N1714" s="16"/>
      <c r="O1714" s="16"/>
      <c r="P1714" s="23"/>
      <c r="Q1714" s="17"/>
      <c r="R1714" s="15"/>
      <c r="S1714" s="20"/>
      <c r="T1714" s="68"/>
      <c r="U1714" s="77"/>
      <c r="V1714" s="68"/>
      <c r="W1714" s="71"/>
      <c r="X1714" s="20"/>
    </row>
    <row r="1715">
      <c r="A1715" s="16"/>
      <c r="B1715" s="17"/>
      <c r="E1715" s="17"/>
      <c r="F1715" s="17"/>
      <c r="G1715" s="17"/>
      <c r="H1715" s="10"/>
      <c r="L1715" s="31"/>
      <c r="N1715" s="16"/>
      <c r="O1715" s="16"/>
      <c r="P1715" s="23"/>
      <c r="Q1715" s="17"/>
      <c r="R1715" s="15"/>
      <c r="S1715" s="20"/>
      <c r="T1715" s="68"/>
      <c r="U1715" s="77"/>
      <c r="V1715" s="68"/>
      <c r="W1715" s="71"/>
      <c r="X1715" s="20"/>
    </row>
    <row r="1716">
      <c r="A1716" s="16"/>
      <c r="B1716" s="17"/>
      <c r="E1716" s="17"/>
      <c r="F1716" s="17"/>
      <c r="G1716" s="17"/>
      <c r="H1716" s="10"/>
      <c r="L1716" s="31"/>
      <c r="N1716" s="16"/>
      <c r="O1716" s="16"/>
      <c r="P1716" s="23"/>
      <c r="Q1716" s="17"/>
      <c r="R1716" s="15"/>
      <c r="S1716" s="20"/>
      <c r="T1716" s="68"/>
      <c r="U1716" s="77"/>
      <c r="V1716" s="68"/>
      <c r="W1716" s="71"/>
      <c r="X1716" s="20"/>
    </row>
    <row r="1717">
      <c r="A1717" s="16"/>
      <c r="B1717" s="17"/>
      <c r="E1717" s="17"/>
      <c r="F1717" s="17"/>
      <c r="G1717" s="17"/>
      <c r="H1717" s="10"/>
      <c r="L1717" s="31"/>
      <c r="N1717" s="16"/>
      <c r="O1717" s="16"/>
      <c r="P1717" s="23"/>
      <c r="Q1717" s="17"/>
      <c r="R1717" s="15"/>
      <c r="S1717" s="20"/>
      <c r="T1717" s="68"/>
      <c r="U1717" s="77"/>
      <c r="V1717" s="68"/>
      <c r="W1717" s="71"/>
      <c r="X1717" s="20"/>
    </row>
    <row r="1718">
      <c r="A1718" s="16"/>
      <c r="B1718" s="17"/>
      <c r="E1718" s="17"/>
      <c r="F1718" s="17"/>
      <c r="G1718" s="17"/>
      <c r="H1718" s="10"/>
      <c r="L1718" s="31"/>
      <c r="N1718" s="16"/>
      <c r="O1718" s="16"/>
      <c r="P1718" s="23"/>
      <c r="Q1718" s="17"/>
      <c r="R1718" s="15"/>
      <c r="S1718" s="20"/>
      <c r="T1718" s="68"/>
      <c r="U1718" s="77"/>
      <c r="V1718" s="68"/>
      <c r="W1718" s="71"/>
      <c r="X1718" s="20"/>
    </row>
    <row r="1719">
      <c r="A1719" s="16"/>
      <c r="B1719" s="17"/>
      <c r="E1719" s="17"/>
      <c r="F1719" s="17"/>
      <c r="G1719" s="17"/>
      <c r="H1719" s="10"/>
      <c r="L1719" s="31"/>
      <c r="N1719" s="16"/>
      <c r="O1719" s="16"/>
      <c r="P1719" s="23"/>
      <c r="Q1719" s="17"/>
      <c r="R1719" s="15"/>
      <c r="S1719" s="20"/>
      <c r="T1719" s="68"/>
      <c r="U1719" s="77"/>
      <c r="V1719" s="68"/>
      <c r="W1719" s="71"/>
      <c r="X1719" s="20"/>
    </row>
    <row r="1720">
      <c r="A1720" s="16"/>
      <c r="B1720" s="17"/>
      <c r="E1720" s="17"/>
      <c r="F1720" s="17"/>
      <c r="G1720" s="17"/>
      <c r="H1720" s="10"/>
      <c r="L1720" s="31"/>
      <c r="N1720" s="16"/>
      <c r="O1720" s="16"/>
      <c r="P1720" s="23"/>
      <c r="Q1720" s="17"/>
      <c r="R1720" s="15"/>
      <c r="S1720" s="20"/>
      <c r="T1720" s="68"/>
      <c r="U1720" s="77"/>
      <c r="V1720" s="68"/>
      <c r="W1720" s="71"/>
      <c r="X1720" s="20"/>
    </row>
    <row r="1721">
      <c r="A1721" s="16"/>
      <c r="B1721" s="17"/>
      <c r="E1721" s="17"/>
      <c r="F1721" s="17"/>
      <c r="G1721" s="17"/>
      <c r="H1721" s="10"/>
      <c r="L1721" s="31"/>
      <c r="N1721" s="16"/>
      <c r="O1721" s="16"/>
      <c r="P1721" s="23"/>
      <c r="Q1721" s="17"/>
      <c r="R1721" s="15"/>
      <c r="S1721" s="20"/>
      <c r="T1721" s="68"/>
      <c r="U1721" s="77"/>
      <c r="V1721" s="68"/>
      <c r="W1721" s="71"/>
      <c r="X1721" s="20"/>
    </row>
    <row r="1722">
      <c r="A1722" s="16"/>
      <c r="B1722" s="17"/>
      <c r="E1722" s="17"/>
      <c r="F1722" s="17"/>
      <c r="G1722" s="17"/>
      <c r="H1722" s="10"/>
      <c r="L1722" s="31"/>
      <c r="N1722" s="16"/>
      <c r="O1722" s="16"/>
      <c r="P1722" s="23"/>
      <c r="Q1722" s="17"/>
      <c r="R1722" s="15"/>
      <c r="S1722" s="20"/>
      <c r="T1722" s="68"/>
      <c r="U1722" s="77"/>
      <c r="V1722" s="68"/>
      <c r="W1722" s="71"/>
      <c r="X1722" s="20"/>
    </row>
    <row r="1723">
      <c r="A1723" s="16"/>
      <c r="B1723" s="17"/>
      <c r="E1723" s="17"/>
      <c r="F1723" s="17"/>
      <c r="G1723" s="17"/>
      <c r="H1723" s="10"/>
      <c r="L1723" s="31"/>
      <c r="N1723" s="16"/>
      <c r="O1723" s="16"/>
      <c r="P1723" s="23"/>
      <c r="Q1723" s="17"/>
      <c r="R1723" s="15"/>
      <c r="S1723" s="20"/>
      <c r="T1723" s="68"/>
      <c r="U1723" s="77"/>
      <c r="V1723" s="68"/>
      <c r="W1723" s="71"/>
      <c r="X1723" s="20"/>
    </row>
    <row r="1724">
      <c r="A1724" s="16"/>
      <c r="B1724" s="17"/>
      <c r="E1724" s="17"/>
      <c r="F1724" s="17"/>
      <c r="G1724" s="17"/>
      <c r="H1724" s="10"/>
      <c r="L1724" s="31"/>
      <c r="N1724" s="16"/>
      <c r="O1724" s="16"/>
      <c r="P1724" s="23"/>
      <c r="Q1724" s="17"/>
      <c r="R1724" s="15"/>
      <c r="S1724" s="20"/>
      <c r="T1724" s="68"/>
      <c r="U1724" s="77"/>
      <c r="V1724" s="68"/>
      <c r="W1724" s="71"/>
      <c r="X1724" s="20"/>
    </row>
    <row r="1725">
      <c r="A1725" s="16"/>
      <c r="B1725" s="17"/>
      <c r="E1725" s="17"/>
      <c r="F1725" s="17"/>
      <c r="G1725" s="17"/>
      <c r="H1725" s="10"/>
      <c r="L1725" s="31"/>
      <c r="N1725" s="16"/>
      <c r="O1725" s="16"/>
      <c r="P1725" s="23"/>
      <c r="Q1725" s="17"/>
      <c r="R1725" s="15"/>
      <c r="S1725" s="20"/>
      <c r="T1725" s="68"/>
      <c r="U1725" s="77"/>
      <c r="V1725" s="68"/>
      <c r="W1725" s="71"/>
      <c r="X1725" s="20"/>
    </row>
    <row r="1726">
      <c r="A1726" s="16"/>
      <c r="B1726" s="17"/>
      <c r="E1726" s="17"/>
      <c r="F1726" s="17"/>
      <c r="G1726" s="17"/>
      <c r="H1726" s="10"/>
      <c r="L1726" s="31"/>
      <c r="N1726" s="16"/>
      <c r="O1726" s="16"/>
      <c r="P1726" s="23"/>
      <c r="Q1726" s="17"/>
      <c r="R1726" s="15"/>
      <c r="S1726" s="20"/>
      <c r="T1726" s="68"/>
      <c r="U1726" s="77"/>
      <c r="V1726" s="68"/>
      <c r="W1726" s="71"/>
      <c r="X1726" s="20"/>
    </row>
    <row r="1727">
      <c r="A1727" s="16"/>
      <c r="B1727" s="17"/>
      <c r="E1727" s="17"/>
      <c r="F1727" s="17"/>
      <c r="G1727" s="17"/>
      <c r="H1727" s="10"/>
      <c r="L1727" s="31"/>
      <c r="N1727" s="16"/>
      <c r="O1727" s="16"/>
      <c r="P1727" s="23"/>
      <c r="Q1727" s="17"/>
      <c r="R1727" s="15"/>
      <c r="S1727" s="20"/>
      <c r="T1727" s="68"/>
      <c r="U1727" s="77"/>
      <c r="V1727" s="68"/>
      <c r="W1727" s="71"/>
      <c r="X1727" s="20"/>
    </row>
    <row r="1728">
      <c r="A1728" s="16"/>
      <c r="B1728" s="17"/>
      <c r="E1728" s="17"/>
      <c r="F1728" s="17"/>
      <c r="G1728" s="17"/>
      <c r="H1728" s="10"/>
      <c r="L1728" s="31"/>
      <c r="N1728" s="16"/>
      <c r="O1728" s="16"/>
      <c r="P1728" s="23"/>
      <c r="Q1728" s="17"/>
      <c r="R1728" s="15"/>
      <c r="S1728" s="20"/>
      <c r="T1728" s="68"/>
      <c r="U1728" s="77"/>
      <c r="V1728" s="68"/>
      <c r="W1728" s="71"/>
      <c r="X1728" s="20"/>
    </row>
    <row r="1729">
      <c r="A1729" s="16"/>
      <c r="B1729" s="17"/>
      <c r="E1729" s="17"/>
      <c r="F1729" s="17"/>
      <c r="G1729" s="17"/>
      <c r="H1729" s="10"/>
      <c r="L1729" s="31"/>
      <c r="N1729" s="16"/>
      <c r="O1729" s="16"/>
      <c r="P1729" s="23"/>
      <c r="Q1729" s="17"/>
      <c r="R1729" s="15"/>
      <c r="S1729" s="20"/>
      <c r="T1729" s="68"/>
      <c r="U1729" s="77"/>
      <c r="V1729" s="68"/>
      <c r="W1729" s="71"/>
      <c r="X1729" s="20"/>
    </row>
    <row r="1730">
      <c r="A1730" s="16"/>
      <c r="B1730" s="17"/>
      <c r="E1730" s="17"/>
      <c r="F1730" s="17"/>
      <c r="G1730" s="17"/>
      <c r="H1730" s="10"/>
      <c r="L1730" s="31"/>
      <c r="N1730" s="16"/>
      <c r="O1730" s="16"/>
      <c r="P1730" s="23"/>
      <c r="Q1730" s="17"/>
      <c r="R1730" s="15"/>
      <c r="S1730" s="20"/>
      <c r="T1730" s="68"/>
      <c r="U1730" s="77"/>
      <c r="V1730" s="68"/>
      <c r="W1730" s="71"/>
      <c r="X1730" s="20"/>
    </row>
    <row r="1731">
      <c r="A1731" s="16"/>
      <c r="B1731" s="17"/>
      <c r="E1731" s="17"/>
      <c r="F1731" s="17"/>
      <c r="G1731" s="17"/>
      <c r="H1731" s="10"/>
      <c r="L1731" s="31"/>
      <c r="N1731" s="16"/>
      <c r="O1731" s="16"/>
      <c r="P1731" s="23"/>
      <c r="Q1731" s="17"/>
      <c r="R1731" s="15"/>
      <c r="S1731" s="20"/>
      <c r="T1731" s="68"/>
      <c r="U1731" s="77"/>
      <c r="V1731" s="68"/>
      <c r="W1731" s="71"/>
      <c r="X1731" s="20"/>
    </row>
    <row r="1732">
      <c r="A1732" s="16"/>
      <c r="B1732" s="17"/>
      <c r="E1732" s="17"/>
      <c r="F1732" s="17"/>
      <c r="G1732" s="17"/>
      <c r="H1732" s="10"/>
      <c r="L1732" s="31"/>
      <c r="N1732" s="16"/>
      <c r="O1732" s="16"/>
      <c r="P1732" s="23"/>
      <c r="Q1732" s="17"/>
      <c r="R1732" s="15"/>
      <c r="S1732" s="20"/>
      <c r="T1732" s="68"/>
      <c r="U1732" s="77"/>
      <c r="V1732" s="68"/>
      <c r="W1732" s="71"/>
      <c r="X1732" s="20"/>
    </row>
    <row r="1733">
      <c r="A1733" s="16"/>
      <c r="B1733" s="17"/>
      <c r="E1733" s="17"/>
      <c r="F1733" s="17"/>
      <c r="G1733" s="17"/>
      <c r="H1733" s="10"/>
      <c r="L1733" s="31"/>
      <c r="N1733" s="16"/>
      <c r="O1733" s="16"/>
      <c r="P1733" s="23"/>
      <c r="Q1733" s="17"/>
      <c r="R1733" s="15"/>
      <c r="S1733" s="20"/>
      <c r="T1733" s="68"/>
      <c r="U1733" s="77"/>
      <c r="V1733" s="68"/>
      <c r="W1733" s="71"/>
      <c r="X1733" s="20"/>
    </row>
    <row r="1734">
      <c r="A1734" s="16"/>
      <c r="B1734" s="17"/>
      <c r="E1734" s="17"/>
      <c r="F1734" s="17"/>
      <c r="G1734" s="17"/>
      <c r="H1734" s="10"/>
      <c r="L1734" s="31"/>
      <c r="N1734" s="16"/>
      <c r="O1734" s="16"/>
      <c r="P1734" s="23"/>
      <c r="Q1734" s="17"/>
      <c r="R1734" s="15"/>
      <c r="S1734" s="20"/>
      <c r="T1734" s="68"/>
      <c r="U1734" s="77"/>
      <c r="V1734" s="68"/>
      <c r="W1734" s="71"/>
      <c r="X1734" s="20"/>
    </row>
    <row r="1735">
      <c r="A1735" s="16"/>
      <c r="B1735" s="17"/>
      <c r="E1735" s="17"/>
      <c r="F1735" s="17"/>
      <c r="G1735" s="17"/>
      <c r="H1735" s="10"/>
      <c r="L1735" s="31"/>
      <c r="N1735" s="16"/>
      <c r="O1735" s="16"/>
      <c r="P1735" s="23"/>
      <c r="Q1735" s="17"/>
      <c r="R1735" s="15"/>
      <c r="S1735" s="20"/>
      <c r="T1735" s="68"/>
      <c r="U1735" s="77"/>
      <c r="V1735" s="68"/>
      <c r="W1735" s="71"/>
      <c r="X1735" s="20"/>
    </row>
    <row r="1736">
      <c r="A1736" s="16"/>
      <c r="B1736" s="17"/>
      <c r="E1736" s="17"/>
      <c r="F1736" s="17"/>
      <c r="G1736" s="17"/>
      <c r="H1736" s="10"/>
      <c r="L1736" s="31"/>
      <c r="N1736" s="16"/>
      <c r="O1736" s="16"/>
      <c r="P1736" s="23"/>
      <c r="Q1736" s="17"/>
      <c r="R1736" s="15"/>
      <c r="S1736" s="20"/>
      <c r="T1736" s="68"/>
      <c r="U1736" s="77"/>
      <c r="V1736" s="68"/>
      <c r="W1736" s="71"/>
      <c r="X1736" s="20"/>
    </row>
    <row r="1737">
      <c r="A1737" s="16"/>
      <c r="B1737" s="17"/>
      <c r="E1737" s="17"/>
      <c r="F1737" s="17"/>
      <c r="G1737" s="17"/>
      <c r="H1737" s="10"/>
      <c r="L1737" s="31"/>
      <c r="N1737" s="16"/>
      <c r="O1737" s="16"/>
      <c r="P1737" s="23"/>
      <c r="Q1737" s="17"/>
      <c r="R1737" s="15"/>
      <c r="S1737" s="20"/>
      <c r="T1737" s="68"/>
      <c r="U1737" s="77"/>
      <c r="V1737" s="68"/>
      <c r="W1737" s="71"/>
      <c r="X1737" s="20"/>
    </row>
    <row r="1738">
      <c r="A1738" s="16"/>
      <c r="B1738" s="17"/>
      <c r="E1738" s="17"/>
      <c r="F1738" s="17"/>
      <c r="G1738" s="17"/>
      <c r="H1738" s="10"/>
      <c r="L1738" s="31"/>
      <c r="N1738" s="16"/>
      <c r="O1738" s="16"/>
      <c r="P1738" s="23"/>
      <c r="Q1738" s="17"/>
      <c r="R1738" s="15"/>
      <c r="S1738" s="20"/>
      <c r="T1738" s="68"/>
      <c r="U1738" s="77"/>
      <c r="V1738" s="68"/>
      <c r="W1738" s="71"/>
      <c r="X1738" s="20"/>
    </row>
    <row r="1739">
      <c r="A1739" s="16"/>
      <c r="B1739" s="17"/>
      <c r="E1739" s="17"/>
      <c r="F1739" s="17"/>
      <c r="G1739" s="17"/>
      <c r="H1739" s="10"/>
      <c r="L1739" s="31"/>
      <c r="N1739" s="16"/>
      <c r="O1739" s="16"/>
      <c r="P1739" s="23"/>
      <c r="Q1739" s="17"/>
      <c r="R1739" s="15"/>
      <c r="S1739" s="20"/>
      <c r="T1739" s="68"/>
      <c r="U1739" s="77"/>
      <c r="V1739" s="68"/>
      <c r="W1739" s="71"/>
      <c r="X1739" s="20"/>
    </row>
    <row r="1740">
      <c r="A1740" s="16"/>
      <c r="B1740" s="17"/>
      <c r="E1740" s="17"/>
      <c r="F1740" s="17"/>
      <c r="G1740" s="17"/>
      <c r="H1740" s="10"/>
      <c r="L1740" s="31"/>
      <c r="N1740" s="16"/>
      <c r="O1740" s="16"/>
      <c r="P1740" s="23"/>
      <c r="Q1740" s="17"/>
      <c r="R1740" s="15"/>
      <c r="S1740" s="20"/>
      <c r="T1740" s="68"/>
      <c r="U1740" s="77"/>
      <c r="V1740" s="68"/>
      <c r="W1740" s="71"/>
      <c r="X1740" s="20"/>
    </row>
    <row r="1741">
      <c r="A1741" s="16"/>
      <c r="B1741" s="17"/>
      <c r="E1741" s="17"/>
      <c r="F1741" s="17"/>
      <c r="G1741" s="17"/>
      <c r="H1741" s="10"/>
      <c r="L1741" s="31"/>
      <c r="N1741" s="16"/>
      <c r="O1741" s="16"/>
      <c r="P1741" s="23"/>
      <c r="Q1741" s="17"/>
      <c r="R1741" s="15"/>
      <c r="S1741" s="20"/>
      <c r="T1741" s="68"/>
      <c r="U1741" s="77"/>
      <c r="V1741" s="68"/>
      <c r="W1741" s="71"/>
      <c r="X1741" s="20"/>
    </row>
    <row r="1742">
      <c r="A1742" s="16"/>
      <c r="B1742" s="17"/>
      <c r="E1742" s="17"/>
      <c r="F1742" s="17"/>
      <c r="G1742" s="17"/>
      <c r="H1742" s="10"/>
      <c r="L1742" s="31"/>
      <c r="N1742" s="16"/>
      <c r="O1742" s="16"/>
      <c r="P1742" s="23"/>
      <c r="Q1742" s="17"/>
      <c r="R1742" s="15"/>
      <c r="S1742" s="20"/>
      <c r="T1742" s="68"/>
      <c r="U1742" s="77"/>
      <c r="V1742" s="68"/>
      <c r="W1742" s="71"/>
      <c r="X1742" s="20"/>
    </row>
    <row r="1743">
      <c r="A1743" s="16"/>
      <c r="B1743" s="17"/>
      <c r="E1743" s="17"/>
      <c r="F1743" s="17"/>
      <c r="G1743" s="17"/>
      <c r="H1743" s="10"/>
      <c r="L1743" s="31"/>
      <c r="N1743" s="16"/>
      <c r="O1743" s="16"/>
      <c r="P1743" s="23"/>
      <c r="Q1743" s="17"/>
      <c r="R1743" s="15"/>
      <c r="S1743" s="20"/>
      <c r="T1743" s="68"/>
      <c r="U1743" s="77"/>
      <c r="V1743" s="68"/>
      <c r="W1743" s="71"/>
      <c r="X1743" s="20"/>
    </row>
    <row r="1744">
      <c r="A1744" s="16"/>
      <c r="B1744" s="17"/>
      <c r="E1744" s="17"/>
      <c r="F1744" s="17"/>
      <c r="G1744" s="17"/>
      <c r="H1744" s="10"/>
      <c r="L1744" s="31"/>
      <c r="N1744" s="16"/>
      <c r="O1744" s="16"/>
      <c r="P1744" s="23"/>
      <c r="Q1744" s="17"/>
      <c r="R1744" s="15"/>
      <c r="S1744" s="20"/>
      <c r="T1744" s="68"/>
      <c r="U1744" s="77"/>
      <c r="V1744" s="68"/>
      <c r="W1744" s="71"/>
      <c r="X1744" s="20"/>
    </row>
    <row r="1745">
      <c r="A1745" s="16"/>
      <c r="B1745" s="17"/>
      <c r="E1745" s="17"/>
      <c r="F1745" s="17"/>
      <c r="G1745" s="17"/>
      <c r="H1745" s="10"/>
      <c r="L1745" s="31"/>
      <c r="N1745" s="16"/>
      <c r="O1745" s="16"/>
      <c r="P1745" s="23"/>
      <c r="Q1745" s="17"/>
      <c r="R1745" s="15"/>
      <c r="S1745" s="20"/>
      <c r="T1745" s="68"/>
      <c r="U1745" s="77"/>
      <c r="V1745" s="68"/>
      <c r="W1745" s="71"/>
      <c r="X1745" s="20"/>
    </row>
    <row r="1746">
      <c r="A1746" s="16"/>
      <c r="B1746" s="17"/>
      <c r="E1746" s="17"/>
      <c r="F1746" s="17"/>
      <c r="G1746" s="17"/>
      <c r="H1746" s="10"/>
      <c r="L1746" s="31"/>
      <c r="N1746" s="16"/>
      <c r="O1746" s="16"/>
      <c r="P1746" s="23"/>
      <c r="Q1746" s="17"/>
      <c r="R1746" s="15"/>
      <c r="S1746" s="20"/>
      <c r="T1746" s="68"/>
      <c r="U1746" s="77"/>
      <c r="V1746" s="68"/>
      <c r="W1746" s="71"/>
      <c r="X1746" s="20"/>
    </row>
    <row r="1747">
      <c r="A1747" s="16"/>
      <c r="B1747" s="17"/>
      <c r="E1747" s="17"/>
      <c r="F1747" s="17"/>
      <c r="G1747" s="17"/>
      <c r="H1747" s="10"/>
      <c r="L1747" s="31"/>
      <c r="N1747" s="16"/>
      <c r="O1747" s="16"/>
      <c r="P1747" s="23"/>
      <c r="Q1747" s="17"/>
      <c r="R1747" s="15"/>
      <c r="S1747" s="20"/>
      <c r="T1747" s="68"/>
      <c r="U1747" s="77"/>
      <c r="V1747" s="68"/>
      <c r="W1747" s="71"/>
      <c r="X1747" s="20"/>
    </row>
    <row r="1748">
      <c r="A1748" s="16"/>
      <c r="B1748" s="17"/>
      <c r="E1748" s="17"/>
      <c r="F1748" s="17"/>
      <c r="G1748" s="17"/>
      <c r="H1748" s="10"/>
      <c r="L1748" s="31"/>
      <c r="N1748" s="16"/>
      <c r="O1748" s="16"/>
      <c r="P1748" s="23"/>
      <c r="Q1748" s="17"/>
      <c r="R1748" s="15"/>
      <c r="S1748" s="20"/>
      <c r="T1748" s="68"/>
      <c r="U1748" s="77"/>
      <c r="V1748" s="68"/>
      <c r="W1748" s="71"/>
      <c r="X1748" s="20"/>
    </row>
    <row r="1749">
      <c r="A1749" s="16"/>
      <c r="B1749" s="17"/>
      <c r="E1749" s="17"/>
      <c r="F1749" s="17"/>
      <c r="G1749" s="17"/>
      <c r="H1749" s="10"/>
      <c r="L1749" s="31"/>
      <c r="N1749" s="16"/>
      <c r="O1749" s="16"/>
      <c r="P1749" s="23"/>
      <c r="Q1749" s="17"/>
      <c r="R1749" s="15"/>
      <c r="S1749" s="20"/>
      <c r="T1749" s="68"/>
      <c r="U1749" s="77"/>
      <c r="V1749" s="68"/>
      <c r="W1749" s="71"/>
      <c r="X1749" s="20"/>
    </row>
    <row r="1750">
      <c r="A1750" s="16"/>
      <c r="B1750" s="17"/>
      <c r="E1750" s="17"/>
      <c r="F1750" s="17"/>
      <c r="G1750" s="17"/>
      <c r="H1750" s="10"/>
      <c r="L1750" s="31"/>
      <c r="N1750" s="16"/>
      <c r="O1750" s="16"/>
      <c r="P1750" s="23"/>
      <c r="Q1750" s="17"/>
      <c r="R1750" s="15"/>
      <c r="S1750" s="20"/>
      <c r="T1750" s="68"/>
      <c r="U1750" s="77"/>
      <c r="V1750" s="68"/>
      <c r="W1750" s="71"/>
      <c r="X1750" s="20"/>
    </row>
    <row r="1751">
      <c r="A1751" s="16"/>
      <c r="B1751" s="17"/>
      <c r="E1751" s="17"/>
      <c r="F1751" s="17"/>
      <c r="G1751" s="17"/>
      <c r="H1751" s="10"/>
      <c r="L1751" s="31"/>
      <c r="N1751" s="16"/>
      <c r="O1751" s="16"/>
      <c r="P1751" s="23"/>
      <c r="Q1751" s="17"/>
      <c r="R1751" s="15"/>
      <c r="S1751" s="20"/>
      <c r="T1751" s="68"/>
      <c r="U1751" s="77"/>
      <c r="V1751" s="68"/>
      <c r="W1751" s="71"/>
      <c r="X1751" s="20"/>
    </row>
    <row r="1752">
      <c r="A1752" s="16"/>
      <c r="B1752" s="17"/>
      <c r="E1752" s="17"/>
      <c r="F1752" s="17"/>
      <c r="G1752" s="17"/>
      <c r="H1752" s="10"/>
      <c r="L1752" s="31"/>
      <c r="N1752" s="16"/>
      <c r="O1752" s="16"/>
      <c r="P1752" s="23"/>
      <c r="Q1752" s="17"/>
      <c r="R1752" s="15"/>
      <c r="S1752" s="20"/>
      <c r="T1752" s="68"/>
      <c r="U1752" s="77"/>
      <c r="V1752" s="68"/>
      <c r="W1752" s="71"/>
      <c r="X1752" s="20"/>
    </row>
    <row r="1753">
      <c r="A1753" s="16"/>
      <c r="B1753" s="17"/>
      <c r="E1753" s="17"/>
      <c r="F1753" s="17"/>
      <c r="G1753" s="17"/>
      <c r="H1753" s="10"/>
      <c r="L1753" s="31"/>
      <c r="N1753" s="16"/>
      <c r="O1753" s="16"/>
      <c r="P1753" s="23"/>
      <c r="Q1753" s="17"/>
      <c r="R1753" s="15"/>
      <c r="S1753" s="20"/>
      <c r="T1753" s="68"/>
      <c r="U1753" s="77"/>
      <c r="V1753" s="68"/>
      <c r="W1753" s="71"/>
      <c r="X1753" s="20"/>
    </row>
    <row r="1754">
      <c r="A1754" s="16"/>
      <c r="B1754" s="17"/>
      <c r="E1754" s="17"/>
      <c r="F1754" s="17"/>
      <c r="G1754" s="17"/>
      <c r="H1754" s="10"/>
      <c r="L1754" s="31"/>
      <c r="N1754" s="16"/>
      <c r="O1754" s="16"/>
      <c r="P1754" s="23"/>
      <c r="Q1754" s="17"/>
      <c r="R1754" s="15"/>
      <c r="S1754" s="20"/>
      <c r="T1754" s="68"/>
      <c r="U1754" s="77"/>
      <c r="V1754" s="68"/>
      <c r="W1754" s="71"/>
      <c r="X1754" s="20"/>
    </row>
    <row r="1755">
      <c r="A1755" s="16"/>
      <c r="B1755" s="17"/>
      <c r="E1755" s="17"/>
      <c r="F1755" s="17"/>
      <c r="G1755" s="17"/>
      <c r="H1755" s="10"/>
      <c r="L1755" s="31"/>
      <c r="N1755" s="16"/>
      <c r="O1755" s="16"/>
      <c r="P1755" s="23"/>
      <c r="Q1755" s="17"/>
      <c r="R1755" s="15"/>
      <c r="S1755" s="20"/>
      <c r="T1755" s="68"/>
      <c r="U1755" s="77"/>
      <c r="V1755" s="68"/>
      <c r="W1755" s="71"/>
      <c r="X1755" s="20"/>
    </row>
    <row r="1756">
      <c r="A1756" s="16"/>
      <c r="B1756" s="17"/>
      <c r="E1756" s="17"/>
      <c r="F1756" s="17"/>
      <c r="G1756" s="17"/>
      <c r="H1756" s="10"/>
      <c r="L1756" s="31"/>
      <c r="N1756" s="16"/>
      <c r="O1756" s="16"/>
      <c r="P1756" s="23"/>
      <c r="Q1756" s="17"/>
      <c r="R1756" s="15"/>
      <c r="S1756" s="20"/>
      <c r="T1756" s="68"/>
      <c r="U1756" s="77"/>
      <c r="V1756" s="68"/>
      <c r="W1756" s="71"/>
      <c r="X1756" s="20"/>
    </row>
    <row r="1757">
      <c r="A1757" s="16"/>
      <c r="B1757" s="17"/>
      <c r="E1757" s="17"/>
      <c r="F1757" s="17"/>
      <c r="G1757" s="17"/>
      <c r="H1757" s="10"/>
      <c r="L1757" s="31"/>
      <c r="N1757" s="16"/>
      <c r="O1757" s="16"/>
      <c r="P1757" s="23"/>
      <c r="Q1757" s="17"/>
      <c r="R1757" s="15"/>
      <c r="S1757" s="20"/>
      <c r="T1757" s="68"/>
      <c r="U1757" s="77"/>
      <c r="V1757" s="68"/>
      <c r="W1757" s="71"/>
      <c r="X1757" s="20"/>
    </row>
    <row r="1758">
      <c r="A1758" s="16"/>
      <c r="B1758" s="17"/>
      <c r="E1758" s="17"/>
      <c r="F1758" s="17"/>
      <c r="G1758" s="17"/>
      <c r="H1758" s="10"/>
      <c r="L1758" s="31"/>
      <c r="N1758" s="16"/>
      <c r="O1758" s="16"/>
      <c r="P1758" s="23"/>
      <c r="Q1758" s="17"/>
      <c r="R1758" s="15"/>
      <c r="S1758" s="20"/>
      <c r="T1758" s="68"/>
      <c r="U1758" s="77"/>
      <c r="V1758" s="68"/>
      <c r="W1758" s="71"/>
      <c r="X1758" s="20"/>
    </row>
    <row r="1759">
      <c r="A1759" s="16"/>
      <c r="B1759" s="17"/>
      <c r="E1759" s="17"/>
      <c r="F1759" s="17"/>
      <c r="G1759" s="17"/>
      <c r="H1759" s="10"/>
      <c r="L1759" s="31"/>
      <c r="N1759" s="16"/>
      <c r="O1759" s="16"/>
      <c r="P1759" s="23"/>
      <c r="Q1759" s="17"/>
      <c r="R1759" s="15"/>
      <c r="S1759" s="20"/>
      <c r="T1759" s="68"/>
      <c r="U1759" s="77"/>
      <c r="V1759" s="68"/>
      <c r="W1759" s="71"/>
      <c r="X1759" s="20"/>
    </row>
    <row r="1760">
      <c r="A1760" s="16"/>
      <c r="B1760" s="17"/>
      <c r="E1760" s="17"/>
      <c r="F1760" s="17"/>
      <c r="G1760" s="17"/>
      <c r="H1760" s="10"/>
      <c r="L1760" s="31"/>
      <c r="N1760" s="16"/>
      <c r="O1760" s="16"/>
      <c r="P1760" s="23"/>
      <c r="Q1760" s="17"/>
      <c r="R1760" s="15"/>
      <c r="S1760" s="20"/>
      <c r="T1760" s="68"/>
      <c r="U1760" s="77"/>
      <c r="V1760" s="68"/>
      <c r="W1760" s="71"/>
      <c r="X1760" s="20"/>
    </row>
    <row r="1761">
      <c r="A1761" s="16"/>
      <c r="B1761" s="17"/>
      <c r="E1761" s="17"/>
      <c r="F1761" s="17"/>
      <c r="G1761" s="17"/>
      <c r="H1761" s="10"/>
      <c r="L1761" s="31"/>
      <c r="N1761" s="16"/>
      <c r="O1761" s="16"/>
      <c r="P1761" s="23"/>
      <c r="Q1761" s="17"/>
      <c r="R1761" s="15"/>
      <c r="S1761" s="20"/>
      <c r="T1761" s="68"/>
      <c r="U1761" s="77"/>
      <c r="V1761" s="68"/>
      <c r="W1761" s="71"/>
      <c r="X1761" s="20"/>
    </row>
    <row r="1762">
      <c r="A1762" s="16"/>
      <c r="B1762" s="17"/>
      <c r="E1762" s="17"/>
      <c r="F1762" s="17"/>
      <c r="G1762" s="17"/>
      <c r="H1762" s="10"/>
      <c r="L1762" s="31"/>
      <c r="N1762" s="16"/>
      <c r="O1762" s="16"/>
      <c r="P1762" s="23"/>
      <c r="Q1762" s="17"/>
      <c r="R1762" s="15"/>
      <c r="S1762" s="20"/>
      <c r="T1762" s="68"/>
      <c r="U1762" s="77"/>
      <c r="V1762" s="68"/>
      <c r="W1762" s="71"/>
      <c r="X1762" s="20"/>
    </row>
    <row r="1763">
      <c r="A1763" s="16"/>
      <c r="B1763" s="17"/>
      <c r="E1763" s="17"/>
      <c r="F1763" s="17"/>
      <c r="G1763" s="17"/>
      <c r="H1763" s="10"/>
      <c r="L1763" s="31"/>
      <c r="N1763" s="16"/>
      <c r="O1763" s="16"/>
      <c r="P1763" s="23"/>
      <c r="Q1763" s="17"/>
      <c r="R1763" s="15"/>
      <c r="S1763" s="20"/>
      <c r="T1763" s="68"/>
      <c r="U1763" s="77"/>
      <c r="V1763" s="68"/>
      <c r="W1763" s="71"/>
      <c r="X1763" s="20"/>
    </row>
    <row r="1764">
      <c r="A1764" s="16"/>
      <c r="B1764" s="17"/>
      <c r="E1764" s="17"/>
      <c r="F1764" s="17"/>
      <c r="G1764" s="17"/>
      <c r="H1764" s="10"/>
      <c r="L1764" s="31"/>
      <c r="N1764" s="16"/>
      <c r="O1764" s="16"/>
      <c r="P1764" s="23"/>
      <c r="Q1764" s="17"/>
      <c r="R1764" s="15"/>
      <c r="S1764" s="20"/>
      <c r="T1764" s="68"/>
      <c r="U1764" s="77"/>
      <c r="V1764" s="68"/>
      <c r="W1764" s="71"/>
      <c r="X1764" s="20"/>
    </row>
    <row r="1765">
      <c r="A1765" s="16"/>
      <c r="B1765" s="17"/>
      <c r="E1765" s="17"/>
      <c r="F1765" s="17"/>
      <c r="G1765" s="17"/>
      <c r="H1765" s="10"/>
      <c r="L1765" s="31"/>
      <c r="N1765" s="16"/>
      <c r="O1765" s="16"/>
      <c r="P1765" s="23"/>
      <c r="Q1765" s="17"/>
      <c r="R1765" s="15"/>
      <c r="S1765" s="20"/>
      <c r="T1765" s="68"/>
      <c r="U1765" s="77"/>
      <c r="V1765" s="68"/>
      <c r="W1765" s="71"/>
      <c r="X1765" s="20"/>
    </row>
    <row r="1766">
      <c r="A1766" s="16"/>
      <c r="B1766" s="17"/>
      <c r="E1766" s="17"/>
      <c r="F1766" s="17"/>
      <c r="G1766" s="17"/>
      <c r="H1766" s="10"/>
      <c r="L1766" s="31"/>
      <c r="N1766" s="16"/>
      <c r="O1766" s="16"/>
      <c r="P1766" s="23"/>
      <c r="Q1766" s="17"/>
      <c r="R1766" s="15"/>
      <c r="S1766" s="20"/>
      <c r="T1766" s="68"/>
      <c r="U1766" s="77"/>
      <c r="V1766" s="68"/>
      <c r="W1766" s="71"/>
      <c r="X1766" s="20"/>
    </row>
    <row r="1767">
      <c r="A1767" s="16"/>
      <c r="B1767" s="17"/>
      <c r="E1767" s="17"/>
      <c r="F1767" s="17"/>
      <c r="G1767" s="17"/>
      <c r="H1767" s="10"/>
      <c r="L1767" s="31"/>
      <c r="N1767" s="16"/>
      <c r="O1767" s="16"/>
      <c r="P1767" s="23"/>
      <c r="Q1767" s="17"/>
      <c r="R1767" s="15"/>
      <c r="S1767" s="20"/>
      <c r="T1767" s="68"/>
      <c r="U1767" s="77"/>
      <c r="V1767" s="68"/>
      <c r="W1767" s="71"/>
      <c r="X1767" s="20"/>
    </row>
    <row r="1768">
      <c r="A1768" s="16"/>
      <c r="B1768" s="17"/>
      <c r="E1768" s="17"/>
      <c r="F1768" s="17"/>
      <c r="G1768" s="17"/>
      <c r="H1768" s="10"/>
      <c r="L1768" s="31"/>
      <c r="N1768" s="16"/>
      <c r="O1768" s="16"/>
      <c r="P1768" s="23"/>
      <c r="Q1768" s="17"/>
      <c r="R1768" s="15"/>
      <c r="S1768" s="20"/>
      <c r="T1768" s="68"/>
      <c r="U1768" s="77"/>
      <c r="V1768" s="68"/>
      <c r="W1768" s="71"/>
      <c r="X1768" s="20"/>
    </row>
    <row r="1769">
      <c r="A1769" s="16"/>
      <c r="B1769" s="17"/>
      <c r="E1769" s="17"/>
      <c r="F1769" s="17"/>
      <c r="G1769" s="17"/>
      <c r="H1769" s="10"/>
      <c r="L1769" s="31"/>
      <c r="N1769" s="16"/>
      <c r="O1769" s="16"/>
      <c r="P1769" s="23"/>
      <c r="Q1769" s="17"/>
      <c r="R1769" s="15"/>
      <c r="S1769" s="20"/>
      <c r="T1769" s="68"/>
      <c r="U1769" s="77"/>
      <c r="V1769" s="68"/>
      <c r="W1769" s="71"/>
      <c r="X1769" s="20"/>
    </row>
    <row r="1770">
      <c r="A1770" s="16"/>
      <c r="B1770" s="17"/>
      <c r="E1770" s="17"/>
      <c r="F1770" s="17"/>
      <c r="G1770" s="17"/>
      <c r="H1770" s="10"/>
      <c r="L1770" s="31"/>
      <c r="N1770" s="16"/>
      <c r="O1770" s="16"/>
      <c r="P1770" s="23"/>
      <c r="Q1770" s="17"/>
      <c r="R1770" s="15"/>
      <c r="S1770" s="20"/>
      <c r="T1770" s="68"/>
      <c r="U1770" s="77"/>
      <c r="V1770" s="68"/>
      <c r="W1770" s="71"/>
      <c r="X1770" s="20"/>
    </row>
    <row r="1771">
      <c r="A1771" s="16"/>
      <c r="B1771" s="17"/>
      <c r="E1771" s="17"/>
      <c r="F1771" s="17"/>
      <c r="G1771" s="17"/>
      <c r="H1771" s="10"/>
      <c r="L1771" s="31"/>
      <c r="N1771" s="16"/>
      <c r="O1771" s="16"/>
      <c r="P1771" s="23"/>
      <c r="Q1771" s="17"/>
      <c r="R1771" s="15"/>
      <c r="S1771" s="20"/>
      <c r="T1771" s="68"/>
      <c r="U1771" s="77"/>
      <c r="V1771" s="68"/>
      <c r="W1771" s="71"/>
      <c r="X1771" s="20"/>
    </row>
    <row r="1772">
      <c r="A1772" s="16"/>
      <c r="B1772" s="17"/>
      <c r="E1772" s="17"/>
      <c r="F1772" s="17"/>
      <c r="G1772" s="17"/>
      <c r="H1772" s="10"/>
      <c r="L1772" s="31"/>
      <c r="N1772" s="16"/>
      <c r="O1772" s="16"/>
      <c r="P1772" s="23"/>
      <c r="Q1772" s="17"/>
      <c r="R1772" s="15"/>
      <c r="S1772" s="20"/>
      <c r="T1772" s="68"/>
      <c r="U1772" s="77"/>
      <c r="V1772" s="68"/>
      <c r="W1772" s="71"/>
      <c r="X1772" s="20"/>
    </row>
    <row r="1773">
      <c r="A1773" s="16"/>
      <c r="B1773" s="17"/>
      <c r="E1773" s="17"/>
      <c r="F1773" s="17"/>
      <c r="G1773" s="17"/>
      <c r="H1773" s="10"/>
      <c r="L1773" s="31"/>
      <c r="N1773" s="16"/>
      <c r="O1773" s="16"/>
      <c r="P1773" s="23"/>
      <c r="Q1773" s="17"/>
      <c r="R1773" s="15"/>
      <c r="S1773" s="20"/>
      <c r="T1773" s="68"/>
      <c r="U1773" s="77"/>
      <c r="V1773" s="68"/>
      <c r="W1773" s="71"/>
      <c r="X1773" s="20"/>
    </row>
    <row r="1774">
      <c r="A1774" s="16"/>
      <c r="B1774" s="17"/>
      <c r="E1774" s="17"/>
      <c r="F1774" s="17"/>
      <c r="G1774" s="17"/>
      <c r="H1774" s="10"/>
      <c r="L1774" s="31"/>
      <c r="N1774" s="16"/>
      <c r="O1774" s="16"/>
      <c r="P1774" s="23"/>
      <c r="Q1774" s="17"/>
      <c r="R1774" s="15"/>
      <c r="S1774" s="20"/>
      <c r="T1774" s="68"/>
      <c r="U1774" s="77"/>
      <c r="V1774" s="68"/>
      <c r="W1774" s="71"/>
      <c r="X1774" s="20"/>
    </row>
    <row r="1775">
      <c r="A1775" s="16"/>
      <c r="B1775" s="17"/>
      <c r="E1775" s="17"/>
      <c r="F1775" s="17"/>
      <c r="G1775" s="17"/>
      <c r="H1775" s="10"/>
      <c r="L1775" s="31"/>
      <c r="N1775" s="16"/>
      <c r="O1775" s="16"/>
      <c r="P1775" s="23"/>
      <c r="Q1775" s="17"/>
      <c r="R1775" s="15"/>
      <c r="S1775" s="20"/>
      <c r="T1775" s="68"/>
      <c r="U1775" s="77"/>
      <c r="V1775" s="68"/>
      <c r="W1775" s="71"/>
      <c r="X1775" s="20"/>
    </row>
    <row r="1776">
      <c r="A1776" s="16"/>
      <c r="B1776" s="17"/>
      <c r="E1776" s="17"/>
      <c r="F1776" s="17"/>
      <c r="G1776" s="17"/>
      <c r="H1776" s="10"/>
      <c r="L1776" s="31"/>
      <c r="N1776" s="16"/>
      <c r="O1776" s="16"/>
      <c r="P1776" s="23"/>
      <c r="Q1776" s="17"/>
      <c r="R1776" s="15"/>
      <c r="S1776" s="20"/>
      <c r="T1776" s="68"/>
      <c r="U1776" s="77"/>
      <c r="V1776" s="68"/>
      <c r="W1776" s="71"/>
      <c r="X1776" s="20"/>
    </row>
    <row r="1777">
      <c r="A1777" s="16"/>
      <c r="B1777" s="17"/>
      <c r="E1777" s="17"/>
      <c r="F1777" s="17"/>
      <c r="G1777" s="17"/>
      <c r="H1777" s="10"/>
      <c r="L1777" s="31"/>
      <c r="N1777" s="16"/>
      <c r="O1777" s="16"/>
      <c r="P1777" s="23"/>
      <c r="Q1777" s="17"/>
      <c r="R1777" s="15"/>
      <c r="S1777" s="20"/>
      <c r="T1777" s="68"/>
      <c r="U1777" s="77"/>
      <c r="V1777" s="68"/>
      <c r="W1777" s="71"/>
      <c r="X1777" s="20"/>
    </row>
    <row r="1778">
      <c r="A1778" s="16"/>
      <c r="B1778" s="17"/>
      <c r="E1778" s="17"/>
      <c r="F1778" s="17"/>
      <c r="G1778" s="17"/>
      <c r="H1778" s="10"/>
      <c r="L1778" s="31"/>
      <c r="N1778" s="16"/>
      <c r="O1778" s="16"/>
      <c r="P1778" s="23"/>
      <c r="Q1778" s="17"/>
      <c r="R1778" s="15"/>
      <c r="S1778" s="20"/>
      <c r="T1778" s="68"/>
      <c r="U1778" s="77"/>
      <c r="V1778" s="68"/>
      <c r="W1778" s="71"/>
      <c r="X1778" s="20"/>
    </row>
    <row r="1779">
      <c r="A1779" s="16"/>
      <c r="B1779" s="17"/>
      <c r="E1779" s="17"/>
      <c r="F1779" s="17"/>
      <c r="G1779" s="17"/>
      <c r="H1779" s="10"/>
      <c r="L1779" s="31"/>
      <c r="N1779" s="16"/>
      <c r="O1779" s="16"/>
      <c r="P1779" s="23"/>
      <c r="Q1779" s="17"/>
      <c r="R1779" s="15"/>
      <c r="S1779" s="20"/>
      <c r="T1779" s="68"/>
      <c r="U1779" s="77"/>
      <c r="V1779" s="68"/>
      <c r="W1779" s="71"/>
      <c r="X1779" s="20"/>
    </row>
    <row r="1780">
      <c r="A1780" s="16"/>
      <c r="B1780" s="17"/>
      <c r="E1780" s="17"/>
      <c r="F1780" s="17"/>
      <c r="G1780" s="17"/>
      <c r="H1780" s="10"/>
      <c r="L1780" s="31"/>
      <c r="N1780" s="16"/>
      <c r="O1780" s="16"/>
      <c r="P1780" s="23"/>
      <c r="Q1780" s="17"/>
      <c r="R1780" s="15"/>
      <c r="S1780" s="20"/>
      <c r="T1780" s="68"/>
      <c r="U1780" s="77"/>
      <c r="V1780" s="68"/>
      <c r="W1780" s="71"/>
      <c r="X1780" s="20"/>
    </row>
    <row r="1781">
      <c r="A1781" s="16"/>
      <c r="B1781" s="17"/>
      <c r="E1781" s="17"/>
      <c r="F1781" s="17"/>
      <c r="G1781" s="17"/>
      <c r="H1781" s="10"/>
      <c r="L1781" s="31"/>
      <c r="N1781" s="16"/>
      <c r="O1781" s="16"/>
      <c r="P1781" s="23"/>
      <c r="Q1781" s="17"/>
      <c r="R1781" s="15"/>
      <c r="S1781" s="20"/>
      <c r="T1781" s="68"/>
      <c r="U1781" s="77"/>
      <c r="V1781" s="68"/>
      <c r="W1781" s="71"/>
      <c r="X1781" s="20"/>
    </row>
    <row r="1782">
      <c r="A1782" s="16"/>
      <c r="B1782" s="17"/>
      <c r="E1782" s="17"/>
      <c r="F1782" s="17"/>
      <c r="G1782" s="17"/>
      <c r="H1782" s="10"/>
      <c r="L1782" s="31"/>
      <c r="N1782" s="16"/>
      <c r="O1782" s="16"/>
      <c r="P1782" s="23"/>
      <c r="Q1782" s="17"/>
      <c r="R1782" s="15"/>
      <c r="S1782" s="20"/>
      <c r="T1782" s="68"/>
      <c r="U1782" s="77"/>
      <c r="V1782" s="68"/>
      <c r="W1782" s="71"/>
      <c r="X1782" s="20"/>
    </row>
    <row r="1783">
      <c r="A1783" s="16"/>
      <c r="B1783" s="17"/>
      <c r="E1783" s="17"/>
      <c r="F1783" s="17"/>
      <c r="G1783" s="17"/>
      <c r="H1783" s="10"/>
      <c r="L1783" s="31"/>
      <c r="N1783" s="16"/>
      <c r="O1783" s="16"/>
      <c r="P1783" s="23"/>
      <c r="Q1783" s="17"/>
      <c r="R1783" s="15"/>
      <c r="S1783" s="20"/>
      <c r="T1783" s="68"/>
      <c r="U1783" s="77"/>
      <c r="V1783" s="68"/>
      <c r="W1783" s="71"/>
      <c r="X1783" s="20"/>
    </row>
    <row r="1784">
      <c r="A1784" s="16"/>
      <c r="B1784" s="17"/>
      <c r="E1784" s="17"/>
      <c r="F1784" s="17"/>
      <c r="G1784" s="17"/>
      <c r="H1784" s="10"/>
      <c r="L1784" s="31"/>
      <c r="N1784" s="16"/>
      <c r="O1784" s="16"/>
      <c r="P1784" s="23"/>
      <c r="Q1784" s="17"/>
      <c r="R1784" s="15"/>
      <c r="S1784" s="20"/>
      <c r="T1784" s="68"/>
      <c r="U1784" s="77"/>
      <c r="V1784" s="68"/>
      <c r="W1784" s="71"/>
      <c r="X1784" s="20"/>
    </row>
    <row r="1785">
      <c r="A1785" s="16"/>
      <c r="B1785" s="17"/>
      <c r="E1785" s="17"/>
      <c r="F1785" s="17"/>
      <c r="G1785" s="17"/>
      <c r="H1785" s="10"/>
      <c r="L1785" s="31"/>
      <c r="N1785" s="16"/>
      <c r="O1785" s="16"/>
      <c r="P1785" s="23"/>
      <c r="Q1785" s="17"/>
      <c r="R1785" s="15"/>
      <c r="S1785" s="20"/>
      <c r="T1785" s="68"/>
      <c r="U1785" s="77"/>
      <c r="V1785" s="68"/>
      <c r="W1785" s="71"/>
      <c r="X1785" s="20"/>
    </row>
    <row r="1786">
      <c r="A1786" s="16"/>
      <c r="B1786" s="17"/>
      <c r="E1786" s="17"/>
      <c r="F1786" s="17"/>
      <c r="G1786" s="17"/>
      <c r="H1786" s="10"/>
      <c r="L1786" s="31"/>
      <c r="N1786" s="16"/>
      <c r="O1786" s="16"/>
      <c r="P1786" s="23"/>
      <c r="Q1786" s="17"/>
      <c r="R1786" s="15"/>
      <c r="S1786" s="20"/>
      <c r="T1786" s="68"/>
      <c r="U1786" s="77"/>
      <c r="V1786" s="68"/>
      <c r="W1786" s="71"/>
      <c r="X1786" s="20"/>
    </row>
    <row r="1787">
      <c r="A1787" s="16"/>
      <c r="B1787" s="17"/>
      <c r="E1787" s="17"/>
      <c r="F1787" s="17"/>
      <c r="G1787" s="17"/>
      <c r="H1787" s="10"/>
      <c r="L1787" s="31"/>
      <c r="N1787" s="16"/>
      <c r="O1787" s="16"/>
      <c r="P1787" s="23"/>
      <c r="Q1787" s="17"/>
      <c r="R1787" s="15"/>
      <c r="S1787" s="20"/>
      <c r="T1787" s="68"/>
      <c r="U1787" s="77"/>
      <c r="V1787" s="68"/>
      <c r="W1787" s="71"/>
      <c r="X1787" s="20"/>
    </row>
    <row r="1788">
      <c r="A1788" s="16"/>
      <c r="B1788" s="17"/>
      <c r="E1788" s="17"/>
      <c r="F1788" s="17"/>
      <c r="G1788" s="17"/>
      <c r="H1788" s="10"/>
      <c r="L1788" s="31"/>
      <c r="N1788" s="16"/>
      <c r="O1788" s="16"/>
      <c r="P1788" s="23"/>
      <c r="Q1788" s="17"/>
      <c r="R1788" s="15"/>
      <c r="S1788" s="20"/>
      <c r="T1788" s="68"/>
      <c r="U1788" s="77"/>
      <c r="V1788" s="68"/>
      <c r="W1788" s="71"/>
      <c r="X1788" s="20"/>
    </row>
    <row r="1789">
      <c r="A1789" s="16"/>
      <c r="B1789" s="17"/>
      <c r="E1789" s="17"/>
      <c r="F1789" s="17"/>
      <c r="G1789" s="17"/>
      <c r="H1789" s="10"/>
      <c r="L1789" s="31"/>
      <c r="N1789" s="16"/>
      <c r="O1789" s="16"/>
      <c r="P1789" s="23"/>
      <c r="Q1789" s="17"/>
      <c r="R1789" s="15"/>
      <c r="S1789" s="20"/>
      <c r="T1789" s="68"/>
      <c r="U1789" s="77"/>
      <c r="V1789" s="68"/>
      <c r="W1789" s="71"/>
      <c r="X1789" s="20"/>
    </row>
    <row r="1790">
      <c r="A1790" s="16"/>
      <c r="B1790" s="17"/>
      <c r="E1790" s="17"/>
      <c r="F1790" s="17"/>
      <c r="G1790" s="17"/>
      <c r="H1790" s="10"/>
      <c r="L1790" s="31"/>
      <c r="N1790" s="16"/>
      <c r="O1790" s="16"/>
      <c r="P1790" s="23"/>
      <c r="Q1790" s="17"/>
      <c r="R1790" s="15"/>
      <c r="S1790" s="20"/>
      <c r="T1790" s="68"/>
      <c r="U1790" s="77"/>
      <c r="V1790" s="68"/>
      <c r="W1790" s="71"/>
      <c r="X1790" s="20"/>
    </row>
    <row r="1791">
      <c r="A1791" s="16"/>
      <c r="B1791" s="17"/>
      <c r="E1791" s="17"/>
      <c r="F1791" s="17"/>
      <c r="G1791" s="17"/>
      <c r="H1791" s="10"/>
      <c r="L1791" s="31"/>
      <c r="N1791" s="16"/>
      <c r="O1791" s="16"/>
      <c r="P1791" s="23"/>
      <c r="Q1791" s="17"/>
      <c r="R1791" s="15"/>
      <c r="S1791" s="20"/>
      <c r="T1791" s="68"/>
      <c r="U1791" s="77"/>
      <c r="V1791" s="68"/>
      <c r="W1791" s="71"/>
      <c r="X1791" s="20"/>
    </row>
    <row r="1792">
      <c r="A1792" s="16"/>
      <c r="B1792" s="17"/>
      <c r="E1792" s="17"/>
      <c r="F1792" s="17"/>
      <c r="G1792" s="17"/>
      <c r="H1792" s="10"/>
      <c r="L1792" s="31"/>
      <c r="N1792" s="16"/>
      <c r="O1792" s="16"/>
      <c r="P1792" s="23"/>
      <c r="Q1792" s="17"/>
      <c r="R1792" s="15"/>
      <c r="S1792" s="20"/>
      <c r="T1792" s="68"/>
      <c r="U1792" s="77"/>
      <c r="V1792" s="68"/>
      <c r="W1792" s="71"/>
      <c r="X1792" s="20"/>
    </row>
    <row r="1793">
      <c r="A1793" s="16"/>
      <c r="B1793" s="17"/>
      <c r="E1793" s="17"/>
      <c r="F1793" s="17"/>
      <c r="G1793" s="17"/>
      <c r="H1793" s="10"/>
      <c r="L1793" s="31"/>
      <c r="N1793" s="16"/>
      <c r="O1793" s="16"/>
      <c r="P1793" s="23"/>
      <c r="Q1793" s="17"/>
      <c r="R1793" s="15"/>
      <c r="S1793" s="20"/>
      <c r="T1793" s="68"/>
      <c r="U1793" s="77"/>
      <c r="V1793" s="68"/>
      <c r="W1793" s="71"/>
      <c r="X1793" s="20"/>
    </row>
    <row r="1794">
      <c r="A1794" s="16"/>
      <c r="B1794" s="17"/>
      <c r="E1794" s="17"/>
      <c r="F1794" s="17"/>
      <c r="G1794" s="17"/>
      <c r="H1794" s="10"/>
      <c r="L1794" s="31"/>
      <c r="N1794" s="16"/>
      <c r="O1794" s="16"/>
      <c r="P1794" s="23"/>
      <c r="Q1794" s="17"/>
      <c r="R1794" s="15"/>
      <c r="S1794" s="20"/>
      <c r="T1794" s="68"/>
      <c r="U1794" s="77"/>
      <c r="V1794" s="68"/>
      <c r="W1794" s="71"/>
      <c r="X1794" s="20"/>
    </row>
    <row r="1795">
      <c r="A1795" s="16"/>
      <c r="B1795" s="17"/>
      <c r="E1795" s="17"/>
      <c r="F1795" s="17"/>
      <c r="G1795" s="17"/>
      <c r="H1795" s="10"/>
      <c r="L1795" s="31"/>
      <c r="N1795" s="16"/>
      <c r="O1795" s="16"/>
      <c r="P1795" s="23"/>
      <c r="Q1795" s="17"/>
      <c r="R1795" s="15"/>
      <c r="S1795" s="20"/>
      <c r="T1795" s="68"/>
      <c r="U1795" s="77"/>
      <c r="V1795" s="68"/>
      <c r="W1795" s="71"/>
      <c r="X1795" s="20"/>
    </row>
    <row r="1796">
      <c r="A1796" s="16"/>
      <c r="B1796" s="17"/>
      <c r="E1796" s="17"/>
      <c r="F1796" s="17"/>
      <c r="G1796" s="17"/>
      <c r="H1796" s="10"/>
      <c r="L1796" s="31"/>
      <c r="N1796" s="16"/>
      <c r="O1796" s="16"/>
      <c r="P1796" s="23"/>
      <c r="Q1796" s="17"/>
      <c r="R1796" s="15"/>
      <c r="S1796" s="20"/>
      <c r="T1796" s="68"/>
      <c r="U1796" s="77"/>
      <c r="V1796" s="68"/>
      <c r="W1796" s="71"/>
      <c r="X1796" s="20"/>
    </row>
    <row r="1797">
      <c r="A1797" s="16"/>
      <c r="B1797" s="17"/>
      <c r="E1797" s="17"/>
      <c r="F1797" s="17"/>
      <c r="G1797" s="17"/>
      <c r="H1797" s="10"/>
      <c r="L1797" s="31"/>
      <c r="N1797" s="16"/>
      <c r="O1797" s="16"/>
      <c r="P1797" s="23"/>
      <c r="Q1797" s="17"/>
      <c r="R1797" s="15"/>
      <c r="S1797" s="20"/>
      <c r="T1797" s="68"/>
      <c r="U1797" s="77"/>
      <c r="V1797" s="68"/>
      <c r="W1797" s="71"/>
      <c r="X1797" s="20"/>
    </row>
    <row r="1798">
      <c r="A1798" s="16"/>
      <c r="B1798" s="17"/>
      <c r="E1798" s="17"/>
      <c r="F1798" s="17"/>
      <c r="G1798" s="17"/>
      <c r="H1798" s="10"/>
      <c r="L1798" s="31"/>
      <c r="N1798" s="16"/>
      <c r="O1798" s="16"/>
      <c r="P1798" s="23"/>
      <c r="Q1798" s="17"/>
      <c r="R1798" s="15"/>
      <c r="S1798" s="20"/>
      <c r="T1798" s="68"/>
      <c r="U1798" s="77"/>
      <c r="V1798" s="68"/>
      <c r="W1798" s="71"/>
      <c r="X1798" s="20"/>
    </row>
    <row r="1799">
      <c r="A1799" s="16"/>
      <c r="B1799" s="17"/>
      <c r="E1799" s="17"/>
      <c r="F1799" s="17"/>
      <c r="G1799" s="17"/>
      <c r="H1799" s="10"/>
      <c r="L1799" s="31"/>
      <c r="N1799" s="16"/>
      <c r="O1799" s="16"/>
      <c r="P1799" s="23"/>
      <c r="Q1799" s="17"/>
      <c r="R1799" s="15"/>
      <c r="S1799" s="20"/>
      <c r="T1799" s="68"/>
      <c r="U1799" s="77"/>
      <c r="V1799" s="68"/>
      <c r="W1799" s="71"/>
      <c r="X1799" s="20"/>
    </row>
    <row r="1800">
      <c r="A1800" s="16"/>
      <c r="B1800" s="17"/>
      <c r="E1800" s="17"/>
      <c r="F1800" s="17"/>
      <c r="G1800" s="17"/>
      <c r="H1800" s="10"/>
      <c r="L1800" s="31"/>
      <c r="N1800" s="16"/>
      <c r="O1800" s="16"/>
      <c r="P1800" s="23"/>
      <c r="Q1800" s="17"/>
      <c r="R1800" s="15"/>
      <c r="S1800" s="20"/>
      <c r="T1800" s="68"/>
      <c r="U1800" s="77"/>
      <c r="V1800" s="68"/>
      <c r="W1800" s="71"/>
      <c r="X1800" s="20"/>
    </row>
    <row r="1801">
      <c r="A1801" s="16"/>
      <c r="B1801" s="17"/>
      <c r="E1801" s="17"/>
      <c r="F1801" s="17"/>
      <c r="G1801" s="17"/>
      <c r="H1801" s="10"/>
      <c r="L1801" s="31"/>
      <c r="N1801" s="16"/>
      <c r="O1801" s="16"/>
      <c r="P1801" s="23"/>
      <c r="Q1801" s="17"/>
      <c r="R1801" s="15"/>
      <c r="S1801" s="20"/>
      <c r="T1801" s="68"/>
      <c r="U1801" s="77"/>
      <c r="V1801" s="68"/>
      <c r="W1801" s="71"/>
      <c r="X1801" s="20"/>
    </row>
    <row r="1802">
      <c r="A1802" s="16"/>
      <c r="B1802" s="17"/>
      <c r="E1802" s="17"/>
      <c r="F1802" s="17"/>
      <c r="G1802" s="17"/>
      <c r="H1802" s="10"/>
      <c r="L1802" s="31"/>
      <c r="N1802" s="16"/>
      <c r="O1802" s="16"/>
      <c r="P1802" s="23"/>
      <c r="Q1802" s="17"/>
      <c r="R1802" s="15"/>
      <c r="S1802" s="20"/>
      <c r="T1802" s="68"/>
      <c r="U1802" s="77"/>
      <c r="V1802" s="68"/>
      <c r="W1802" s="71"/>
      <c r="X1802" s="20"/>
    </row>
    <row r="1803">
      <c r="A1803" s="16"/>
      <c r="B1803" s="17"/>
      <c r="E1803" s="17"/>
      <c r="F1803" s="17"/>
      <c r="G1803" s="17"/>
      <c r="H1803" s="10"/>
      <c r="L1803" s="31"/>
      <c r="N1803" s="16"/>
      <c r="O1803" s="16"/>
      <c r="P1803" s="23"/>
      <c r="Q1803" s="17"/>
      <c r="R1803" s="15"/>
      <c r="S1803" s="20"/>
      <c r="T1803" s="68"/>
      <c r="U1803" s="77"/>
      <c r="V1803" s="68"/>
      <c r="W1803" s="71"/>
      <c r="X1803" s="20"/>
    </row>
    <row r="1804">
      <c r="A1804" s="16"/>
      <c r="B1804" s="17"/>
      <c r="E1804" s="17"/>
      <c r="F1804" s="17"/>
      <c r="G1804" s="17"/>
      <c r="H1804" s="10"/>
      <c r="L1804" s="31"/>
      <c r="N1804" s="16"/>
      <c r="O1804" s="16"/>
      <c r="P1804" s="23"/>
      <c r="Q1804" s="17"/>
      <c r="R1804" s="15"/>
      <c r="S1804" s="20"/>
      <c r="T1804" s="68"/>
      <c r="U1804" s="77"/>
      <c r="V1804" s="68"/>
      <c r="W1804" s="71"/>
      <c r="X1804" s="20"/>
    </row>
    <row r="1805">
      <c r="A1805" s="16"/>
      <c r="B1805" s="17"/>
      <c r="E1805" s="17"/>
      <c r="F1805" s="17"/>
      <c r="G1805" s="17"/>
      <c r="H1805" s="10"/>
      <c r="L1805" s="31"/>
      <c r="N1805" s="16"/>
      <c r="O1805" s="16"/>
      <c r="P1805" s="23"/>
      <c r="Q1805" s="17"/>
      <c r="R1805" s="15"/>
      <c r="S1805" s="20"/>
      <c r="T1805" s="68"/>
      <c r="U1805" s="77"/>
      <c r="V1805" s="68"/>
      <c r="W1805" s="71"/>
      <c r="X1805" s="20"/>
    </row>
    <row r="1806">
      <c r="A1806" s="16"/>
      <c r="B1806" s="17"/>
      <c r="E1806" s="17"/>
      <c r="F1806" s="17"/>
      <c r="G1806" s="17"/>
      <c r="H1806" s="10"/>
      <c r="L1806" s="31"/>
      <c r="N1806" s="16"/>
      <c r="O1806" s="16"/>
      <c r="P1806" s="23"/>
      <c r="Q1806" s="17"/>
      <c r="R1806" s="15"/>
      <c r="S1806" s="20"/>
      <c r="T1806" s="68"/>
      <c r="U1806" s="77"/>
      <c r="V1806" s="68"/>
      <c r="W1806" s="71"/>
      <c r="X1806" s="20"/>
    </row>
    <row r="1807">
      <c r="A1807" s="16"/>
      <c r="B1807" s="17"/>
      <c r="E1807" s="17"/>
      <c r="F1807" s="17"/>
      <c r="G1807" s="17"/>
      <c r="H1807" s="10"/>
      <c r="L1807" s="31"/>
      <c r="N1807" s="16"/>
      <c r="O1807" s="16"/>
      <c r="P1807" s="23"/>
      <c r="Q1807" s="17"/>
      <c r="R1807" s="15"/>
      <c r="S1807" s="20"/>
      <c r="T1807" s="68"/>
      <c r="U1807" s="77"/>
      <c r="V1807" s="68"/>
      <c r="W1807" s="71"/>
      <c r="X1807" s="20"/>
    </row>
    <row r="1808">
      <c r="A1808" s="16"/>
      <c r="B1808" s="17"/>
      <c r="E1808" s="17"/>
      <c r="F1808" s="17"/>
      <c r="G1808" s="17"/>
      <c r="H1808" s="10"/>
      <c r="L1808" s="31"/>
      <c r="N1808" s="16"/>
      <c r="O1808" s="16"/>
      <c r="P1808" s="23"/>
      <c r="Q1808" s="17"/>
      <c r="R1808" s="15"/>
      <c r="S1808" s="20"/>
      <c r="T1808" s="68"/>
      <c r="U1808" s="77"/>
      <c r="V1808" s="68"/>
      <c r="W1808" s="71"/>
      <c r="X1808" s="20"/>
    </row>
    <row r="1809">
      <c r="A1809" s="16"/>
      <c r="B1809" s="17"/>
      <c r="E1809" s="17"/>
      <c r="F1809" s="17"/>
      <c r="G1809" s="17"/>
      <c r="H1809" s="10"/>
      <c r="L1809" s="31"/>
      <c r="N1809" s="16"/>
      <c r="O1809" s="16"/>
      <c r="P1809" s="23"/>
      <c r="Q1809" s="17"/>
      <c r="R1809" s="15"/>
      <c r="S1809" s="20"/>
      <c r="T1809" s="68"/>
      <c r="U1809" s="77"/>
      <c r="V1809" s="68"/>
      <c r="W1809" s="71"/>
      <c r="X1809" s="20"/>
    </row>
    <row r="1810">
      <c r="A1810" s="16"/>
      <c r="B1810" s="17"/>
      <c r="E1810" s="17"/>
      <c r="F1810" s="17"/>
      <c r="G1810" s="17"/>
      <c r="H1810" s="10"/>
      <c r="L1810" s="31"/>
      <c r="N1810" s="16"/>
      <c r="O1810" s="16"/>
      <c r="P1810" s="23"/>
      <c r="Q1810" s="17"/>
      <c r="R1810" s="15"/>
      <c r="S1810" s="20"/>
      <c r="T1810" s="68"/>
      <c r="U1810" s="77"/>
      <c r="V1810" s="68"/>
      <c r="W1810" s="71"/>
      <c r="X1810" s="20"/>
    </row>
    <row r="1811">
      <c r="A1811" s="16"/>
      <c r="B1811" s="17"/>
      <c r="E1811" s="17"/>
      <c r="F1811" s="17"/>
      <c r="G1811" s="17"/>
      <c r="H1811" s="10"/>
      <c r="L1811" s="31"/>
      <c r="N1811" s="16"/>
      <c r="O1811" s="16"/>
      <c r="P1811" s="23"/>
      <c r="Q1811" s="17"/>
      <c r="R1811" s="15"/>
      <c r="S1811" s="20"/>
      <c r="T1811" s="68"/>
      <c r="U1811" s="77"/>
      <c r="V1811" s="68"/>
      <c r="W1811" s="71"/>
      <c r="X1811" s="20"/>
    </row>
    <row r="1812">
      <c r="A1812" s="16"/>
      <c r="B1812" s="17"/>
      <c r="E1812" s="17"/>
      <c r="F1812" s="17"/>
      <c r="G1812" s="17"/>
      <c r="H1812" s="10"/>
      <c r="L1812" s="31"/>
      <c r="N1812" s="16"/>
      <c r="O1812" s="16"/>
      <c r="P1812" s="23"/>
      <c r="Q1812" s="17"/>
      <c r="R1812" s="15"/>
      <c r="S1812" s="20"/>
      <c r="T1812" s="68"/>
      <c r="U1812" s="77"/>
      <c r="V1812" s="68"/>
      <c r="W1812" s="71"/>
      <c r="X1812" s="20"/>
    </row>
    <row r="1813">
      <c r="A1813" s="16"/>
      <c r="B1813" s="17"/>
      <c r="E1813" s="17"/>
      <c r="F1813" s="17"/>
      <c r="G1813" s="17"/>
      <c r="H1813" s="10"/>
      <c r="L1813" s="31"/>
      <c r="N1813" s="16"/>
      <c r="O1813" s="16"/>
      <c r="P1813" s="23"/>
      <c r="Q1813" s="17"/>
      <c r="R1813" s="15"/>
      <c r="S1813" s="20"/>
      <c r="T1813" s="68"/>
      <c r="U1813" s="77"/>
      <c r="V1813" s="68"/>
      <c r="W1813" s="71"/>
      <c r="X1813" s="20"/>
    </row>
    <row r="1814">
      <c r="A1814" s="16"/>
      <c r="B1814" s="17"/>
      <c r="E1814" s="17"/>
      <c r="F1814" s="17"/>
      <c r="G1814" s="17"/>
      <c r="H1814" s="10"/>
      <c r="L1814" s="31"/>
      <c r="N1814" s="16"/>
      <c r="O1814" s="16"/>
      <c r="P1814" s="23"/>
      <c r="Q1814" s="17"/>
      <c r="R1814" s="15"/>
      <c r="S1814" s="20"/>
      <c r="T1814" s="68"/>
      <c r="U1814" s="77"/>
      <c r="V1814" s="68"/>
      <c r="W1814" s="71"/>
      <c r="X1814" s="20"/>
    </row>
    <row r="1815">
      <c r="A1815" s="16"/>
      <c r="B1815" s="17"/>
      <c r="E1815" s="17"/>
      <c r="F1815" s="17"/>
      <c r="G1815" s="17"/>
      <c r="H1815" s="10"/>
      <c r="L1815" s="31"/>
      <c r="N1815" s="16"/>
      <c r="O1815" s="16"/>
      <c r="P1815" s="23"/>
      <c r="Q1815" s="17"/>
      <c r="R1815" s="15"/>
      <c r="S1815" s="20"/>
      <c r="T1815" s="68"/>
      <c r="U1815" s="77"/>
      <c r="V1815" s="68"/>
      <c r="W1815" s="71"/>
      <c r="X1815" s="20"/>
    </row>
    <row r="1816">
      <c r="A1816" s="16"/>
      <c r="B1816" s="17"/>
      <c r="E1816" s="17"/>
      <c r="F1816" s="17"/>
      <c r="G1816" s="17"/>
      <c r="H1816" s="10"/>
      <c r="L1816" s="31"/>
      <c r="N1816" s="16"/>
      <c r="O1816" s="16"/>
      <c r="P1816" s="23"/>
      <c r="Q1816" s="17"/>
      <c r="R1816" s="15"/>
      <c r="S1816" s="20"/>
      <c r="T1816" s="68"/>
      <c r="U1816" s="77"/>
      <c r="V1816" s="68"/>
      <c r="W1816" s="71"/>
      <c r="X1816" s="20"/>
    </row>
    <row r="1817">
      <c r="A1817" s="16"/>
      <c r="B1817" s="17"/>
      <c r="E1817" s="17"/>
      <c r="F1817" s="17"/>
      <c r="G1817" s="17"/>
      <c r="H1817" s="10"/>
      <c r="L1817" s="31"/>
      <c r="N1817" s="16"/>
      <c r="O1817" s="16"/>
      <c r="P1817" s="23"/>
      <c r="Q1817" s="17"/>
      <c r="R1817" s="15"/>
      <c r="S1817" s="20"/>
      <c r="T1817" s="68"/>
      <c r="U1817" s="77"/>
      <c r="V1817" s="68"/>
      <c r="W1817" s="71"/>
      <c r="X1817" s="20"/>
    </row>
    <row r="1818">
      <c r="A1818" s="16"/>
      <c r="B1818" s="17"/>
      <c r="E1818" s="17"/>
      <c r="F1818" s="17"/>
      <c r="G1818" s="17"/>
      <c r="H1818" s="10"/>
      <c r="L1818" s="31"/>
      <c r="N1818" s="16"/>
      <c r="O1818" s="16"/>
      <c r="P1818" s="23"/>
      <c r="Q1818" s="17"/>
      <c r="R1818" s="15"/>
      <c r="S1818" s="20"/>
      <c r="T1818" s="68"/>
      <c r="U1818" s="77"/>
      <c r="V1818" s="68"/>
      <c r="W1818" s="71"/>
      <c r="X1818" s="20"/>
    </row>
    <row r="1819">
      <c r="A1819" s="16"/>
      <c r="B1819" s="17"/>
      <c r="E1819" s="17"/>
      <c r="F1819" s="17"/>
      <c r="G1819" s="17"/>
      <c r="H1819" s="10"/>
      <c r="L1819" s="31"/>
      <c r="N1819" s="16"/>
      <c r="O1819" s="16"/>
      <c r="P1819" s="23"/>
      <c r="Q1819" s="17"/>
      <c r="R1819" s="15"/>
      <c r="S1819" s="20"/>
      <c r="T1819" s="68"/>
      <c r="U1819" s="77"/>
      <c r="V1819" s="68"/>
      <c r="W1819" s="71"/>
      <c r="X1819" s="20"/>
    </row>
    <row r="1820">
      <c r="A1820" s="16"/>
      <c r="B1820" s="17"/>
      <c r="E1820" s="17"/>
      <c r="F1820" s="17"/>
      <c r="G1820" s="17"/>
      <c r="H1820" s="10"/>
      <c r="L1820" s="31"/>
      <c r="N1820" s="16"/>
      <c r="O1820" s="16"/>
      <c r="P1820" s="23"/>
      <c r="Q1820" s="17"/>
      <c r="R1820" s="15"/>
      <c r="S1820" s="20"/>
      <c r="T1820" s="68"/>
      <c r="U1820" s="77"/>
      <c r="V1820" s="68"/>
      <c r="W1820" s="71"/>
      <c r="X1820" s="20"/>
    </row>
    <row r="1821">
      <c r="A1821" s="16"/>
      <c r="B1821" s="17"/>
      <c r="E1821" s="17"/>
      <c r="F1821" s="17"/>
      <c r="G1821" s="17"/>
      <c r="H1821" s="10"/>
      <c r="L1821" s="31"/>
      <c r="N1821" s="16"/>
      <c r="O1821" s="16"/>
      <c r="P1821" s="23"/>
      <c r="Q1821" s="17"/>
      <c r="R1821" s="15"/>
      <c r="S1821" s="20"/>
      <c r="T1821" s="68"/>
      <c r="U1821" s="77"/>
      <c r="V1821" s="68"/>
      <c r="W1821" s="71"/>
      <c r="X1821" s="20"/>
    </row>
    <row r="1822">
      <c r="A1822" s="16"/>
      <c r="B1822" s="17"/>
      <c r="E1822" s="17"/>
      <c r="F1822" s="17"/>
      <c r="G1822" s="17"/>
      <c r="H1822" s="10"/>
      <c r="L1822" s="31"/>
      <c r="N1822" s="16"/>
      <c r="O1822" s="16"/>
      <c r="P1822" s="23"/>
      <c r="Q1822" s="17"/>
      <c r="R1822" s="15"/>
      <c r="S1822" s="20"/>
      <c r="T1822" s="68"/>
      <c r="U1822" s="77"/>
      <c r="V1822" s="68"/>
      <c r="W1822" s="71"/>
      <c r="X1822" s="20"/>
    </row>
    <row r="1823">
      <c r="A1823" s="16"/>
      <c r="B1823" s="17"/>
      <c r="E1823" s="17"/>
      <c r="F1823" s="17"/>
      <c r="G1823" s="17"/>
      <c r="H1823" s="10"/>
      <c r="L1823" s="31"/>
      <c r="N1823" s="16"/>
      <c r="O1823" s="16"/>
      <c r="P1823" s="23"/>
      <c r="Q1823" s="17"/>
      <c r="R1823" s="15"/>
      <c r="S1823" s="20"/>
      <c r="T1823" s="68"/>
      <c r="U1823" s="77"/>
      <c r="V1823" s="68"/>
      <c r="W1823" s="71"/>
      <c r="X1823" s="20"/>
    </row>
    <row r="1824">
      <c r="A1824" s="16"/>
      <c r="B1824" s="17"/>
      <c r="E1824" s="17"/>
      <c r="F1824" s="17"/>
      <c r="G1824" s="17"/>
      <c r="H1824" s="10"/>
      <c r="L1824" s="31"/>
      <c r="N1824" s="16"/>
      <c r="O1824" s="16"/>
      <c r="P1824" s="23"/>
      <c r="Q1824" s="17"/>
      <c r="R1824" s="15"/>
      <c r="S1824" s="20"/>
      <c r="T1824" s="68"/>
      <c r="U1824" s="77"/>
      <c r="V1824" s="68"/>
      <c r="W1824" s="71"/>
      <c r="X1824" s="20"/>
    </row>
    <row r="1825">
      <c r="A1825" s="16"/>
      <c r="B1825" s="17"/>
      <c r="E1825" s="17"/>
      <c r="F1825" s="17"/>
      <c r="G1825" s="17"/>
      <c r="H1825" s="10"/>
      <c r="L1825" s="31"/>
      <c r="N1825" s="16"/>
      <c r="O1825" s="16"/>
      <c r="P1825" s="23"/>
      <c r="Q1825" s="17"/>
      <c r="R1825" s="15"/>
      <c r="S1825" s="20"/>
      <c r="T1825" s="68"/>
      <c r="U1825" s="77"/>
      <c r="V1825" s="68"/>
      <c r="W1825" s="71"/>
      <c r="X1825" s="20"/>
    </row>
    <row r="1826">
      <c r="A1826" s="16"/>
      <c r="B1826" s="17"/>
      <c r="E1826" s="17"/>
      <c r="F1826" s="17"/>
      <c r="G1826" s="17"/>
      <c r="H1826" s="10"/>
      <c r="L1826" s="31"/>
      <c r="N1826" s="16"/>
      <c r="O1826" s="16"/>
      <c r="P1826" s="23"/>
      <c r="Q1826" s="17"/>
      <c r="R1826" s="15"/>
      <c r="S1826" s="20"/>
      <c r="T1826" s="68"/>
      <c r="U1826" s="77"/>
      <c r="V1826" s="68"/>
      <c r="W1826" s="71"/>
      <c r="X1826" s="20"/>
    </row>
    <row r="1827">
      <c r="A1827" s="16"/>
      <c r="B1827" s="17"/>
      <c r="E1827" s="17"/>
      <c r="F1827" s="17"/>
      <c r="G1827" s="17"/>
      <c r="H1827" s="10"/>
      <c r="L1827" s="31"/>
      <c r="N1827" s="16"/>
      <c r="O1827" s="16"/>
      <c r="P1827" s="23"/>
      <c r="Q1827" s="17"/>
      <c r="R1827" s="15"/>
      <c r="S1827" s="20"/>
      <c r="T1827" s="68"/>
      <c r="U1827" s="77"/>
      <c r="V1827" s="68"/>
      <c r="W1827" s="71"/>
      <c r="X1827" s="20"/>
    </row>
    <row r="1828">
      <c r="A1828" s="16"/>
      <c r="B1828" s="17"/>
      <c r="E1828" s="17"/>
      <c r="F1828" s="17"/>
      <c r="G1828" s="17"/>
      <c r="H1828" s="10"/>
      <c r="L1828" s="31"/>
      <c r="N1828" s="16"/>
      <c r="O1828" s="16"/>
      <c r="P1828" s="23"/>
      <c r="Q1828" s="17"/>
      <c r="R1828" s="15"/>
      <c r="S1828" s="20"/>
      <c r="T1828" s="68"/>
      <c r="U1828" s="77"/>
      <c r="V1828" s="68"/>
      <c r="W1828" s="71"/>
      <c r="X1828" s="20"/>
    </row>
    <row r="1829">
      <c r="A1829" s="16"/>
      <c r="B1829" s="17"/>
      <c r="E1829" s="17"/>
      <c r="F1829" s="17"/>
      <c r="G1829" s="17"/>
      <c r="H1829" s="10"/>
      <c r="L1829" s="31"/>
      <c r="N1829" s="16"/>
      <c r="O1829" s="16"/>
      <c r="P1829" s="23"/>
      <c r="Q1829" s="17"/>
      <c r="R1829" s="15"/>
      <c r="S1829" s="20"/>
      <c r="T1829" s="68"/>
      <c r="U1829" s="77"/>
      <c r="V1829" s="68"/>
      <c r="W1829" s="71"/>
      <c r="X1829" s="20"/>
    </row>
    <row r="1830">
      <c r="A1830" s="16"/>
      <c r="B1830" s="17"/>
      <c r="E1830" s="17"/>
      <c r="F1830" s="17"/>
      <c r="G1830" s="17"/>
      <c r="H1830" s="10"/>
      <c r="L1830" s="31"/>
      <c r="N1830" s="16"/>
      <c r="O1830" s="16"/>
      <c r="P1830" s="23"/>
      <c r="Q1830" s="17"/>
      <c r="R1830" s="15"/>
      <c r="S1830" s="20"/>
      <c r="T1830" s="68"/>
      <c r="U1830" s="77"/>
      <c r="V1830" s="68"/>
      <c r="W1830" s="71"/>
      <c r="X1830" s="20"/>
    </row>
    <row r="1831">
      <c r="A1831" s="16"/>
      <c r="B1831" s="17"/>
      <c r="E1831" s="17"/>
      <c r="F1831" s="17"/>
      <c r="G1831" s="17"/>
      <c r="H1831" s="10"/>
      <c r="L1831" s="31"/>
      <c r="N1831" s="16"/>
      <c r="O1831" s="16"/>
      <c r="P1831" s="23"/>
      <c r="Q1831" s="17"/>
      <c r="R1831" s="15"/>
      <c r="S1831" s="20"/>
      <c r="T1831" s="68"/>
      <c r="U1831" s="77"/>
      <c r="V1831" s="68"/>
      <c r="W1831" s="71"/>
      <c r="X1831" s="20"/>
    </row>
    <row r="1832">
      <c r="A1832" s="16"/>
      <c r="B1832" s="17"/>
      <c r="E1832" s="17"/>
      <c r="F1832" s="17"/>
      <c r="G1832" s="17"/>
      <c r="H1832" s="10"/>
      <c r="L1832" s="31"/>
      <c r="N1832" s="16"/>
      <c r="O1832" s="16"/>
      <c r="P1832" s="23"/>
      <c r="Q1832" s="17"/>
      <c r="R1832" s="15"/>
      <c r="S1832" s="20"/>
      <c r="T1832" s="68"/>
      <c r="U1832" s="77"/>
      <c r="V1832" s="68"/>
      <c r="W1832" s="71"/>
      <c r="X1832" s="20"/>
    </row>
    <row r="1833">
      <c r="A1833" s="16"/>
      <c r="B1833" s="17"/>
      <c r="E1833" s="17"/>
      <c r="F1833" s="17"/>
      <c r="G1833" s="17"/>
      <c r="H1833" s="10"/>
      <c r="L1833" s="31"/>
      <c r="N1833" s="16"/>
      <c r="O1833" s="16"/>
      <c r="P1833" s="23"/>
      <c r="Q1833" s="17"/>
      <c r="R1833" s="15"/>
      <c r="S1833" s="20"/>
      <c r="T1833" s="68"/>
      <c r="U1833" s="77"/>
      <c r="V1833" s="68"/>
      <c r="W1833" s="71"/>
      <c r="X1833" s="20"/>
    </row>
    <row r="1834">
      <c r="A1834" s="16"/>
      <c r="B1834" s="17"/>
      <c r="E1834" s="17"/>
      <c r="F1834" s="17"/>
      <c r="G1834" s="17"/>
      <c r="H1834" s="10"/>
      <c r="L1834" s="31"/>
      <c r="N1834" s="16"/>
      <c r="O1834" s="16"/>
      <c r="P1834" s="23"/>
      <c r="Q1834" s="17"/>
      <c r="R1834" s="15"/>
      <c r="S1834" s="20"/>
      <c r="T1834" s="68"/>
      <c r="U1834" s="77"/>
      <c r="V1834" s="68"/>
      <c r="W1834" s="71"/>
      <c r="X1834" s="20"/>
    </row>
    <row r="1835">
      <c r="A1835" s="16"/>
      <c r="B1835" s="17"/>
      <c r="E1835" s="17"/>
      <c r="F1835" s="17"/>
      <c r="G1835" s="17"/>
      <c r="H1835" s="10"/>
      <c r="L1835" s="31"/>
      <c r="N1835" s="16"/>
      <c r="O1835" s="16"/>
      <c r="P1835" s="23"/>
      <c r="Q1835" s="17"/>
      <c r="R1835" s="15"/>
      <c r="S1835" s="20"/>
      <c r="T1835" s="68"/>
      <c r="U1835" s="77"/>
      <c r="V1835" s="68"/>
      <c r="W1835" s="71"/>
      <c r="X1835" s="20"/>
    </row>
    <row r="1836">
      <c r="A1836" s="16"/>
      <c r="B1836" s="17"/>
      <c r="E1836" s="17"/>
      <c r="F1836" s="17"/>
      <c r="G1836" s="17"/>
      <c r="H1836" s="10"/>
      <c r="L1836" s="31"/>
      <c r="N1836" s="16"/>
      <c r="O1836" s="16"/>
      <c r="P1836" s="23"/>
      <c r="Q1836" s="17"/>
      <c r="R1836" s="15"/>
      <c r="S1836" s="20"/>
      <c r="T1836" s="68"/>
      <c r="U1836" s="77"/>
      <c r="V1836" s="68"/>
      <c r="W1836" s="71"/>
      <c r="X1836" s="20"/>
    </row>
    <row r="1837">
      <c r="A1837" s="16"/>
      <c r="B1837" s="17"/>
      <c r="E1837" s="17"/>
      <c r="F1837" s="17"/>
      <c r="G1837" s="17"/>
      <c r="H1837" s="10"/>
      <c r="L1837" s="31"/>
      <c r="N1837" s="16"/>
      <c r="O1837" s="16"/>
      <c r="P1837" s="23"/>
      <c r="Q1837" s="17"/>
      <c r="R1837" s="15"/>
      <c r="S1837" s="20"/>
      <c r="T1837" s="68"/>
      <c r="U1837" s="77"/>
      <c r="V1837" s="68"/>
      <c r="W1837" s="71"/>
      <c r="X1837" s="20"/>
    </row>
    <row r="1838">
      <c r="A1838" s="16"/>
      <c r="B1838" s="17"/>
      <c r="E1838" s="17"/>
      <c r="F1838" s="17"/>
      <c r="G1838" s="17"/>
      <c r="H1838" s="10"/>
      <c r="L1838" s="31"/>
      <c r="N1838" s="16"/>
      <c r="O1838" s="16"/>
      <c r="P1838" s="23"/>
      <c r="Q1838" s="17"/>
      <c r="R1838" s="15"/>
      <c r="S1838" s="20"/>
      <c r="T1838" s="68"/>
      <c r="U1838" s="77"/>
      <c r="V1838" s="68"/>
      <c r="W1838" s="71"/>
      <c r="X1838" s="20"/>
    </row>
    <row r="1839">
      <c r="A1839" s="16"/>
      <c r="B1839" s="17"/>
      <c r="E1839" s="17"/>
      <c r="F1839" s="17"/>
      <c r="G1839" s="17"/>
      <c r="H1839" s="10"/>
      <c r="L1839" s="31"/>
      <c r="N1839" s="16"/>
      <c r="O1839" s="16"/>
      <c r="P1839" s="23"/>
      <c r="Q1839" s="17"/>
      <c r="R1839" s="15"/>
      <c r="S1839" s="20"/>
      <c r="T1839" s="68"/>
      <c r="U1839" s="77"/>
      <c r="V1839" s="68"/>
      <c r="W1839" s="71"/>
      <c r="X1839" s="20"/>
    </row>
    <row r="1840">
      <c r="A1840" s="16"/>
      <c r="B1840" s="17"/>
      <c r="E1840" s="17"/>
      <c r="F1840" s="17"/>
      <c r="G1840" s="17"/>
      <c r="H1840" s="10"/>
      <c r="L1840" s="31"/>
      <c r="N1840" s="16"/>
      <c r="O1840" s="16"/>
      <c r="P1840" s="23"/>
      <c r="Q1840" s="17"/>
      <c r="R1840" s="15"/>
      <c r="S1840" s="20"/>
      <c r="T1840" s="68"/>
      <c r="U1840" s="77"/>
      <c r="V1840" s="68"/>
      <c r="W1840" s="71"/>
      <c r="X1840" s="20"/>
    </row>
    <row r="1841">
      <c r="A1841" s="16"/>
      <c r="B1841" s="17"/>
      <c r="E1841" s="17"/>
      <c r="F1841" s="17"/>
      <c r="G1841" s="17"/>
      <c r="H1841" s="10"/>
      <c r="L1841" s="31"/>
      <c r="N1841" s="16"/>
      <c r="O1841" s="16"/>
      <c r="P1841" s="23"/>
      <c r="Q1841" s="17"/>
      <c r="R1841" s="15"/>
      <c r="S1841" s="20"/>
      <c r="T1841" s="68"/>
      <c r="U1841" s="77"/>
      <c r="V1841" s="68"/>
      <c r="W1841" s="71"/>
      <c r="X1841" s="20"/>
    </row>
    <row r="1842">
      <c r="A1842" s="16"/>
      <c r="B1842" s="17"/>
      <c r="E1842" s="17"/>
      <c r="F1842" s="17"/>
      <c r="G1842" s="17"/>
      <c r="H1842" s="10"/>
      <c r="L1842" s="31"/>
      <c r="N1842" s="16"/>
      <c r="O1842" s="16"/>
      <c r="P1842" s="23"/>
      <c r="Q1842" s="17"/>
      <c r="R1842" s="15"/>
      <c r="S1842" s="20"/>
      <c r="T1842" s="68"/>
      <c r="U1842" s="77"/>
      <c r="V1842" s="68"/>
      <c r="W1842" s="71"/>
      <c r="X1842" s="20"/>
    </row>
    <row r="1843">
      <c r="A1843" s="16"/>
      <c r="B1843" s="17"/>
      <c r="E1843" s="17"/>
      <c r="F1843" s="17"/>
      <c r="G1843" s="17"/>
      <c r="H1843" s="10"/>
      <c r="L1843" s="31"/>
      <c r="N1843" s="16"/>
      <c r="O1843" s="16"/>
      <c r="P1843" s="23"/>
      <c r="Q1843" s="17"/>
      <c r="R1843" s="15"/>
      <c r="S1843" s="20"/>
      <c r="T1843" s="68"/>
      <c r="U1843" s="77"/>
      <c r="V1843" s="68"/>
      <c r="W1843" s="71"/>
      <c r="X1843" s="20"/>
    </row>
    <row r="1844">
      <c r="A1844" s="16"/>
      <c r="B1844" s="17"/>
      <c r="E1844" s="17"/>
      <c r="F1844" s="17"/>
      <c r="G1844" s="17"/>
      <c r="H1844" s="10"/>
      <c r="L1844" s="31"/>
      <c r="N1844" s="16"/>
      <c r="O1844" s="16"/>
      <c r="P1844" s="23"/>
      <c r="Q1844" s="17"/>
      <c r="R1844" s="15"/>
      <c r="S1844" s="20"/>
      <c r="T1844" s="68"/>
      <c r="U1844" s="77"/>
      <c r="V1844" s="68"/>
      <c r="W1844" s="71"/>
      <c r="X1844" s="20"/>
    </row>
    <row r="1845">
      <c r="A1845" s="16"/>
      <c r="B1845" s="17"/>
      <c r="E1845" s="17"/>
      <c r="F1845" s="17"/>
      <c r="G1845" s="17"/>
      <c r="H1845" s="10"/>
      <c r="L1845" s="31"/>
      <c r="N1845" s="16"/>
      <c r="O1845" s="16"/>
      <c r="P1845" s="23"/>
      <c r="Q1845" s="17"/>
      <c r="R1845" s="15"/>
      <c r="S1845" s="20"/>
      <c r="T1845" s="68"/>
      <c r="U1845" s="77"/>
      <c r="V1845" s="68"/>
      <c r="W1845" s="71"/>
      <c r="X1845" s="20"/>
    </row>
    <row r="1846">
      <c r="A1846" s="16"/>
      <c r="B1846" s="17"/>
      <c r="E1846" s="17"/>
      <c r="F1846" s="17"/>
      <c r="G1846" s="17"/>
      <c r="H1846" s="10"/>
      <c r="L1846" s="31"/>
      <c r="N1846" s="16"/>
      <c r="O1846" s="16"/>
      <c r="P1846" s="23"/>
      <c r="Q1846" s="17"/>
      <c r="R1846" s="15"/>
      <c r="S1846" s="20"/>
      <c r="T1846" s="68"/>
      <c r="U1846" s="77"/>
      <c r="V1846" s="68"/>
      <c r="W1846" s="71"/>
      <c r="X1846" s="20"/>
    </row>
    <row r="1847">
      <c r="A1847" s="16"/>
      <c r="B1847" s="17"/>
      <c r="E1847" s="17"/>
      <c r="F1847" s="17"/>
      <c r="G1847" s="17"/>
      <c r="H1847" s="10"/>
      <c r="L1847" s="31"/>
      <c r="N1847" s="16"/>
      <c r="O1847" s="16"/>
      <c r="P1847" s="23"/>
      <c r="Q1847" s="17"/>
      <c r="R1847" s="15"/>
      <c r="S1847" s="20"/>
      <c r="T1847" s="68"/>
      <c r="U1847" s="77"/>
      <c r="V1847" s="68"/>
      <c r="W1847" s="71"/>
      <c r="X1847" s="20"/>
    </row>
    <row r="1848">
      <c r="A1848" s="16"/>
      <c r="B1848" s="17"/>
      <c r="E1848" s="17"/>
      <c r="F1848" s="17"/>
      <c r="G1848" s="17"/>
      <c r="H1848" s="10"/>
      <c r="L1848" s="31"/>
      <c r="N1848" s="16"/>
      <c r="O1848" s="16"/>
      <c r="P1848" s="23"/>
      <c r="Q1848" s="17"/>
      <c r="R1848" s="15"/>
      <c r="S1848" s="20"/>
      <c r="T1848" s="68"/>
      <c r="U1848" s="77"/>
      <c r="V1848" s="68"/>
      <c r="W1848" s="71"/>
      <c r="X1848" s="20"/>
    </row>
    <row r="1849">
      <c r="A1849" s="16"/>
      <c r="B1849" s="17"/>
      <c r="E1849" s="17"/>
      <c r="F1849" s="17"/>
      <c r="G1849" s="17"/>
      <c r="H1849" s="10"/>
      <c r="L1849" s="31"/>
      <c r="N1849" s="16"/>
      <c r="O1849" s="16"/>
      <c r="P1849" s="23"/>
      <c r="Q1849" s="17"/>
      <c r="R1849" s="15"/>
      <c r="S1849" s="20"/>
      <c r="T1849" s="68"/>
      <c r="U1849" s="77"/>
      <c r="V1849" s="68"/>
      <c r="W1849" s="71"/>
      <c r="X1849" s="20"/>
    </row>
    <row r="1850">
      <c r="A1850" s="16"/>
      <c r="B1850" s="17"/>
      <c r="E1850" s="17"/>
      <c r="F1850" s="17"/>
      <c r="G1850" s="17"/>
      <c r="H1850" s="10"/>
      <c r="L1850" s="31"/>
      <c r="N1850" s="16"/>
      <c r="O1850" s="16"/>
      <c r="P1850" s="23"/>
      <c r="Q1850" s="17"/>
      <c r="R1850" s="15"/>
      <c r="S1850" s="20"/>
      <c r="T1850" s="68"/>
      <c r="U1850" s="77"/>
      <c r="V1850" s="68"/>
      <c r="W1850" s="71"/>
      <c r="X1850" s="20"/>
    </row>
    <row r="1851">
      <c r="A1851" s="16"/>
      <c r="B1851" s="17"/>
      <c r="E1851" s="17"/>
      <c r="F1851" s="17"/>
      <c r="G1851" s="17"/>
      <c r="H1851" s="10"/>
      <c r="L1851" s="31"/>
      <c r="N1851" s="16"/>
      <c r="O1851" s="16"/>
      <c r="P1851" s="23"/>
      <c r="Q1851" s="17"/>
      <c r="R1851" s="15"/>
      <c r="S1851" s="20"/>
      <c r="T1851" s="68"/>
      <c r="U1851" s="77"/>
      <c r="V1851" s="68"/>
      <c r="W1851" s="71"/>
      <c r="X1851" s="20"/>
    </row>
    <row r="1852">
      <c r="A1852" s="16"/>
      <c r="B1852" s="17"/>
      <c r="E1852" s="17"/>
      <c r="F1852" s="17"/>
      <c r="G1852" s="17"/>
      <c r="H1852" s="10"/>
      <c r="L1852" s="31"/>
      <c r="N1852" s="16"/>
      <c r="O1852" s="16"/>
      <c r="P1852" s="23"/>
      <c r="Q1852" s="17"/>
      <c r="R1852" s="15"/>
      <c r="S1852" s="20"/>
      <c r="T1852" s="68"/>
      <c r="U1852" s="77"/>
      <c r="V1852" s="68"/>
      <c r="W1852" s="71"/>
      <c r="X1852" s="20"/>
    </row>
    <row r="1853">
      <c r="A1853" s="16"/>
      <c r="B1853" s="17"/>
      <c r="E1853" s="17"/>
      <c r="F1853" s="17"/>
      <c r="G1853" s="17"/>
      <c r="H1853" s="10"/>
      <c r="L1853" s="31"/>
      <c r="N1853" s="16"/>
      <c r="O1853" s="16"/>
      <c r="P1853" s="23"/>
      <c r="Q1853" s="17"/>
      <c r="R1853" s="15"/>
      <c r="S1853" s="20"/>
      <c r="T1853" s="68"/>
      <c r="U1853" s="77"/>
      <c r="V1853" s="68"/>
      <c r="W1853" s="71"/>
      <c r="X1853" s="20"/>
    </row>
    <row r="1854">
      <c r="A1854" s="16"/>
      <c r="B1854" s="17"/>
      <c r="E1854" s="17"/>
      <c r="F1854" s="17"/>
      <c r="G1854" s="17"/>
      <c r="H1854" s="10"/>
      <c r="L1854" s="31"/>
      <c r="N1854" s="16"/>
      <c r="O1854" s="16"/>
      <c r="P1854" s="23"/>
      <c r="Q1854" s="17"/>
      <c r="R1854" s="15"/>
      <c r="S1854" s="20"/>
      <c r="T1854" s="68"/>
      <c r="U1854" s="77"/>
      <c r="V1854" s="68"/>
      <c r="W1854" s="71"/>
      <c r="X1854" s="20"/>
    </row>
    <row r="1855">
      <c r="A1855" s="16"/>
      <c r="B1855" s="17"/>
      <c r="E1855" s="17"/>
      <c r="F1855" s="17"/>
      <c r="G1855" s="17"/>
      <c r="H1855" s="10"/>
      <c r="L1855" s="31"/>
      <c r="N1855" s="16"/>
      <c r="O1855" s="16"/>
      <c r="P1855" s="23"/>
      <c r="Q1855" s="17"/>
      <c r="R1855" s="15"/>
      <c r="S1855" s="20"/>
      <c r="T1855" s="68"/>
      <c r="U1855" s="77"/>
      <c r="V1855" s="68"/>
      <c r="W1855" s="71"/>
      <c r="X1855" s="20"/>
    </row>
    <row r="1856">
      <c r="A1856" s="16"/>
      <c r="B1856" s="17"/>
      <c r="E1856" s="17"/>
      <c r="F1856" s="17"/>
      <c r="G1856" s="17"/>
      <c r="H1856" s="10"/>
      <c r="L1856" s="31"/>
      <c r="N1856" s="16"/>
      <c r="O1856" s="16"/>
      <c r="P1856" s="23"/>
      <c r="Q1856" s="17"/>
      <c r="R1856" s="15"/>
      <c r="S1856" s="20"/>
      <c r="T1856" s="68"/>
      <c r="U1856" s="77"/>
      <c r="V1856" s="68"/>
      <c r="W1856" s="71"/>
      <c r="X1856" s="20"/>
    </row>
    <row r="1857">
      <c r="A1857" s="16"/>
      <c r="B1857" s="17"/>
      <c r="E1857" s="17"/>
      <c r="F1857" s="17"/>
      <c r="G1857" s="17"/>
      <c r="H1857" s="10"/>
      <c r="L1857" s="31"/>
      <c r="N1857" s="16"/>
      <c r="O1857" s="16"/>
      <c r="P1857" s="23"/>
      <c r="Q1857" s="17"/>
      <c r="R1857" s="15"/>
      <c r="S1857" s="20"/>
      <c r="T1857" s="68"/>
      <c r="U1857" s="77"/>
      <c r="V1857" s="68"/>
      <c r="W1857" s="71"/>
      <c r="X1857" s="20"/>
    </row>
    <row r="1858">
      <c r="A1858" s="16"/>
      <c r="B1858" s="17"/>
      <c r="E1858" s="17"/>
      <c r="F1858" s="17"/>
      <c r="G1858" s="17"/>
      <c r="H1858" s="10"/>
      <c r="L1858" s="31"/>
      <c r="N1858" s="16"/>
      <c r="O1858" s="16"/>
      <c r="P1858" s="23"/>
      <c r="Q1858" s="17"/>
      <c r="R1858" s="15"/>
      <c r="S1858" s="20"/>
      <c r="T1858" s="68"/>
      <c r="U1858" s="77"/>
      <c r="V1858" s="68"/>
      <c r="W1858" s="71"/>
      <c r="X1858" s="20"/>
    </row>
    <row r="1859">
      <c r="A1859" s="16"/>
      <c r="B1859" s="17"/>
      <c r="E1859" s="17"/>
      <c r="F1859" s="17"/>
      <c r="G1859" s="17"/>
      <c r="H1859" s="10"/>
      <c r="L1859" s="31"/>
      <c r="N1859" s="16"/>
      <c r="O1859" s="16"/>
      <c r="P1859" s="23"/>
      <c r="Q1859" s="17"/>
      <c r="R1859" s="15"/>
      <c r="S1859" s="20"/>
      <c r="T1859" s="68"/>
      <c r="U1859" s="77"/>
      <c r="V1859" s="68"/>
      <c r="W1859" s="71"/>
      <c r="X1859" s="20"/>
    </row>
    <row r="1860">
      <c r="A1860" s="16"/>
      <c r="B1860" s="17"/>
      <c r="E1860" s="17"/>
      <c r="F1860" s="17"/>
      <c r="G1860" s="17"/>
      <c r="H1860" s="10"/>
      <c r="L1860" s="31"/>
      <c r="N1860" s="16"/>
      <c r="O1860" s="16"/>
      <c r="P1860" s="23"/>
      <c r="Q1860" s="17"/>
      <c r="R1860" s="15"/>
      <c r="S1860" s="20"/>
      <c r="T1860" s="68"/>
      <c r="U1860" s="77"/>
      <c r="V1860" s="68"/>
      <c r="W1860" s="71"/>
      <c r="X1860" s="20"/>
    </row>
    <row r="1861">
      <c r="A1861" s="16"/>
      <c r="B1861" s="17"/>
      <c r="E1861" s="17"/>
      <c r="F1861" s="17"/>
      <c r="G1861" s="17"/>
      <c r="H1861" s="10"/>
      <c r="L1861" s="31"/>
      <c r="N1861" s="16"/>
      <c r="O1861" s="16"/>
      <c r="P1861" s="23"/>
      <c r="Q1861" s="17"/>
      <c r="R1861" s="15"/>
      <c r="S1861" s="20"/>
      <c r="T1861" s="68"/>
      <c r="U1861" s="77"/>
      <c r="V1861" s="68"/>
      <c r="W1861" s="71"/>
      <c r="X1861" s="20"/>
    </row>
    <row r="1862">
      <c r="A1862" s="16"/>
      <c r="B1862" s="17"/>
      <c r="E1862" s="17"/>
      <c r="F1862" s="17"/>
      <c r="G1862" s="17"/>
      <c r="H1862" s="10"/>
      <c r="L1862" s="31"/>
      <c r="N1862" s="16"/>
      <c r="O1862" s="16"/>
      <c r="P1862" s="23"/>
      <c r="Q1862" s="17"/>
      <c r="R1862" s="15"/>
      <c r="S1862" s="20"/>
      <c r="T1862" s="68"/>
      <c r="U1862" s="77"/>
      <c r="V1862" s="68"/>
      <c r="W1862" s="71"/>
      <c r="X1862" s="20"/>
    </row>
    <row r="1863">
      <c r="A1863" s="16"/>
      <c r="B1863" s="17"/>
      <c r="E1863" s="17"/>
      <c r="F1863" s="17"/>
      <c r="G1863" s="17"/>
      <c r="H1863" s="10"/>
      <c r="L1863" s="31"/>
      <c r="N1863" s="16"/>
      <c r="O1863" s="16"/>
      <c r="P1863" s="23"/>
      <c r="Q1863" s="17"/>
      <c r="R1863" s="15"/>
      <c r="S1863" s="20"/>
      <c r="T1863" s="68"/>
      <c r="U1863" s="77"/>
      <c r="V1863" s="68"/>
      <c r="W1863" s="71"/>
      <c r="X1863" s="20"/>
    </row>
    <row r="1864">
      <c r="A1864" s="16"/>
      <c r="B1864" s="17"/>
      <c r="E1864" s="17"/>
      <c r="F1864" s="17"/>
      <c r="G1864" s="17"/>
      <c r="H1864" s="10"/>
      <c r="L1864" s="31"/>
      <c r="N1864" s="16"/>
      <c r="O1864" s="16"/>
      <c r="P1864" s="23"/>
      <c r="Q1864" s="17"/>
      <c r="R1864" s="15"/>
      <c r="S1864" s="20"/>
      <c r="T1864" s="68"/>
      <c r="U1864" s="77"/>
      <c r="V1864" s="68"/>
      <c r="W1864" s="71"/>
      <c r="X1864" s="20"/>
    </row>
    <row r="1865">
      <c r="A1865" s="16"/>
      <c r="B1865" s="17"/>
      <c r="E1865" s="17"/>
      <c r="F1865" s="17"/>
      <c r="G1865" s="17"/>
      <c r="H1865" s="10"/>
      <c r="L1865" s="31"/>
      <c r="N1865" s="16"/>
      <c r="O1865" s="16"/>
      <c r="P1865" s="23"/>
      <c r="Q1865" s="17"/>
      <c r="R1865" s="15"/>
      <c r="S1865" s="20"/>
      <c r="T1865" s="68"/>
      <c r="U1865" s="77"/>
      <c r="V1865" s="68"/>
      <c r="W1865" s="71"/>
      <c r="X1865" s="20"/>
    </row>
    <row r="1866">
      <c r="A1866" s="16"/>
      <c r="B1866" s="17"/>
      <c r="E1866" s="17"/>
      <c r="F1866" s="17"/>
      <c r="G1866" s="17"/>
      <c r="H1866" s="10"/>
      <c r="L1866" s="31"/>
      <c r="N1866" s="16"/>
      <c r="O1866" s="16"/>
      <c r="P1866" s="23"/>
      <c r="Q1866" s="17"/>
      <c r="R1866" s="15"/>
      <c r="S1866" s="20"/>
      <c r="T1866" s="68"/>
      <c r="U1866" s="77"/>
      <c r="V1866" s="68"/>
      <c r="W1866" s="71"/>
      <c r="X1866" s="20"/>
    </row>
    <row r="1867">
      <c r="A1867" s="16"/>
      <c r="B1867" s="17"/>
      <c r="E1867" s="17"/>
      <c r="F1867" s="17"/>
      <c r="G1867" s="17"/>
      <c r="H1867" s="10"/>
      <c r="L1867" s="31"/>
      <c r="N1867" s="16"/>
      <c r="O1867" s="16"/>
      <c r="P1867" s="23"/>
      <c r="Q1867" s="17"/>
      <c r="R1867" s="15"/>
      <c r="S1867" s="20"/>
      <c r="T1867" s="68"/>
      <c r="U1867" s="77"/>
      <c r="V1867" s="68"/>
      <c r="W1867" s="71"/>
      <c r="X1867" s="20"/>
    </row>
    <row r="1868">
      <c r="A1868" s="16"/>
      <c r="B1868" s="17"/>
      <c r="E1868" s="17"/>
      <c r="F1868" s="17"/>
      <c r="G1868" s="17"/>
      <c r="H1868" s="10"/>
      <c r="L1868" s="31"/>
      <c r="N1868" s="16"/>
      <c r="O1868" s="16"/>
      <c r="P1868" s="23"/>
      <c r="Q1868" s="17"/>
      <c r="R1868" s="15"/>
      <c r="S1868" s="20"/>
      <c r="T1868" s="68"/>
      <c r="U1868" s="77"/>
      <c r="V1868" s="68"/>
      <c r="W1868" s="71"/>
      <c r="X1868" s="20"/>
    </row>
    <row r="1869">
      <c r="A1869" s="16"/>
      <c r="B1869" s="17"/>
      <c r="E1869" s="17"/>
      <c r="F1869" s="17"/>
      <c r="G1869" s="17"/>
      <c r="H1869" s="10"/>
      <c r="L1869" s="31"/>
      <c r="N1869" s="16"/>
      <c r="O1869" s="16"/>
      <c r="P1869" s="23"/>
      <c r="Q1869" s="17"/>
      <c r="R1869" s="15"/>
      <c r="S1869" s="20"/>
      <c r="T1869" s="68"/>
      <c r="U1869" s="77"/>
      <c r="V1869" s="68"/>
      <c r="W1869" s="71"/>
      <c r="X1869" s="20"/>
    </row>
    <row r="1870">
      <c r="A1870" s="16"/>
      <c r="B1870" s="17"/>
      <c r="E1870" s="17"/>
      <c r="F1870" s="17"/>
      <c r="G1870" s="17"/>
      <c r="H1870" s="10"/>
      <c r="L1870" s="31"/>
      <c r="N1870" s="16"/>
      <c r="O1870" s="16"/>
      <c r="P1870" s="23"/>
      <c r="Q1870" s="17"/>
      <c r="R1870" s="15"/>
      <c r="S1870" s="20"/>
      <c r="T1870" s="68"/>
      <c r="U1870" s="77"/>
      <c r="V1870" s="68"/>
      <c r="W1870" s="71"/>
      <c r="X1870" s="20"/>
    </row>
    <row r="1871">
      <c r="A1871" s="16"/>
      <c r="B1871" s="17"/>
      <c r="E1871" s="17"/>
      <c r="F1871" s="17"/>
      <c r="G1871" s="17"/>
      <c r="H1871" s="10"/>
      <c r="L1871" s="31"/>
      <c r="N1871" s="16"/>
      <c r="O1871" s="16"/>
      <c r="P1871" s="23"/>
      <c r="Q1871" s="17"/>
      <c r="R1871" s="15"/>
      <c r="S1871" s="20"/>
      <c r="T1871" s="68"/>
      <c r="U1871" s="77"/>
      <c r="V1871" s="68"/>
      <c r="W1871" s="71"/>
      <c r="X1871" s="20"/>
    </row>
    <row r="1872">
      <c r="A1872" s="16"/>
      <c r="B1872" s="17"/>
      <c r="E1872" s="17"/>
      <c r="F1872" s="17"/>
      <c r="G1872" s="17"/>
      <c r="H1872" s="10"/>
      <c r="L1872" s="31"/>
      <c r="N1872" s="16"/>
      <c r="O1872" s="16"/>
      <c r="P1872" s="23"/>
      <c r="Q1872" s="17"/>
      <c r="R1872" s="15"/>
      <c r="S1872" s="20"/>
      <c r="T1872" s="68"/>
      <c r="U1872" s="77"/>
      <c r="V1872" s="68"/>
      <c r="W1872" s="71"/>
      <c r="X1872" s="20"/>
    </row>
    <row r="1873">
      <c r="A1873" s="16"/>
      <c r="B1873" s="17"/>
      <c r="E1873" s="17"/>
      <c r="F1873" s="17"/>
      <c r="G1873" s="17"/>
      <c r="H1873" s="10"/>
      <c r="L1873" s="31"/>
      <c r="N1873" s="16"/>
      <c r="O1873" s="16"/>
      <c r="P1873" s="23"/>
      <c r="Q1873" s="17"/>
      <c r="R1873" s="15"/>
      <c r="S1873" s="20"/>
      <c r="T1873" s="68"/>
      <c r="U1873" s="77"/>
      <c r="V1873" s="68"/>
      <c r="W1873" s="71"/>
      <c r="X1873" s="20"/>
    </row>
    <row r="1874">
      <c r="A1874" s="16"/>
      <c r="B1874" s="17"/>
      <c r="E1874" s="17"/>
      <c r="F1874" s="17"/>
      <c r="G1874" s="17"/>
      <c r="H1874" s="10"/>
      <c r="L1874" s="31"/>
      <c r="N1874" s="16"/>
      <c r="O1874" s="16"/>
      <c r="P1874" s="23"/>
      <c r="Q1874" s="17"/>
      <c r="R1874" s="15"/>
      <c r="S1874" s="20"/>
      <c r="T1874" s="68"/>
      <c r="U1874" s="77"/>
      <c r="V1874" s="68"/>
      <c r="W1874" s="71"/>
      <c r="X1874" s="20"/>
    </row>
    <row r="1875">
      <c r="A1875" s="16"/>
      <c r="B1875" s="17"/>
      <c r="E1875" s="17"/>
      <c r="F1875" s="17"/>
      <c r="G1875" s="17"/>
      <c r="H1875" s="10"/>
      <c r="L1875" s="31"/>
      <c r="N1875" s="16"/>
      <c r="O1875" s="16"/>
      <c r="P1875" s="23"/>
      <c r="Q1875" s="17"/>
      <c r="R1875" s="15"/>
      <c r="S1875" s="20"/>
      <c r="T1875" s="68"/>
      <c r="U1875" s="77"/>
      <c r="V1875" s="68"/>
      <c r="W1875" s="71"/>
      <c r="X1875" s="20"/>
    </row>
    <row r="1876">
      <c r="A1876" s="16"/>
      <c r="B1876" s="17"/>
      <c r="E1876" s="17"/>
      <c r="F1876" s="17"/>
      <c r="G1876" s="17"/>
      <c r="H1876" s="10"/>
      <c r="L1876" s="31"/>
      <c r="N1876" s="16"/>
      <c r="O1876" s="16"/>
      <c r="P1876" s="23"/>
      <c r="Q1876" s="17"/>
      <c r="R1876" s="15"/>
      <c r="S1876" s="20"/>
      <c r="T1876" s="68"/>
      <c r="U1876" s="77"/>
      <c r="V1876" s="68"/>
      <c r="W1876" s="71"/>
      <c r="X1876" s="20"/>
    </row>
    <row r="1877">
      <c r="A1877" s="16"/>
      <c r="B1877" s="17"/>
      <c r="E1877" s="17"/>
      <c r="F1877" s="17"/>
      <c r="G1877" s="17"/>
      <c r="H1877" s="10"/>
      <c r="L1877" s="31"/>
      <c r="N1877" s="16"/>
      <c r="O1877" s="16"/>
      <c r="P1877" s="23"/>
      <c r="Q1877" s="17"/>
      <c r="R1877" s="15"/>
      <c r="S1877" s="20"/>
      <c r="T1877" s="68"/>
      <c r="U1877" s="77"/>
      <c r="V1877" s="68"/>
      <c r="W1877" s="71"/>
      <c r="X1877" s="20"/>
    </row>
    <row r="1878">
      <c r="A1878" s="16"/>
      <c r="B1878" s="17"/>
      <c r="E1878" s="17"/>
      <c r="F1878" s="17"/>
      <c r="G1878" s="17"/>
      <c r="H1878" s="10"/>
      <c r="L1878" s="31"/>
      <c r="N1878" s="16"/>
      <c r="O1878" s="16"/>
      <c r="P1878" s="23"/>
      <c r="Q1878" s="17"/>
      <c r="R1878" s="15"/>
      <c r="S1878" s="20"/>
      <c r="T1878" s="68"/>
      <c r="U1878" s="77"/>
      <c r="V1878" s="68"/>
      <c r="W1878" s="71"/>
      <c r="X1878" s="20"/>
    </row>
    <row r="1879">
      <c r="A1879" s="16"/>
      <c r="B1879" s="17"/>
      <c r="E1879" s="17"/>
      <c r="F1879" s="17"/>
      <c r="G1879" s="17"/>
      <c r="H1879" s="10"/>
      <c r="L1879" s="31"/>
      <c r="N1879" s="16"/>
      <c r="O1879" s="16"/>
      <c r="P1879" s="23"/>
      <c r="Q1879" s="17"/>
      <c r="R1879" s="15"/>
      <c r="S1879" s="20"/>
      <c r="T1879" s="68"/>
      <c r="U1879" s="77"/>
      <c r="V1879" s="68"/>
      <c r="W1879" s="71"/>
      <c r="X1879" s="20"/>
    </row>
    <row r="1880">
      <c r="A1880" s="16"/>
      <c r="B1880" s="17"/>
      <c r="E1880" s="17"/>
      <c r="F1880" s="17"/>
      <c r="G1880" s="17"/>
      <c r="H1880" s="10"/>
      <c r="L1880" s="31"/>
      <c r="N1880" s="16"/>
      <c r="O1880" s="16"/>
      <c r="P1880" s="23"/>
      <c r="Q1880" s="17"/>
      <c r="R1880" s="15"/>
      <c r="S1880" s="20"/>
      <c r="T1880" s="68"/>
      <c r="U1880" s="77"/>
      <c r="V1880" s="68"/>
      <c r="W1880" s="71"/>
      <c r="X1880" s="20"/>
    </row>
    <row r="1881">
      <c r="A1881" s="16"/>
      <c r="B1881" s="17"/>
      <c r="E1881" s="17"/>
      <c r="F1881" s="17"/>
      <c r="G1881" s="17"/>
      <c r="H1881" s="10"/>
      <c r="L1881" s="31"/>
      <c r="N1881" s="16"/>
      <c r="O1881" s="16"/>
      <c r="P1881" s="23"/>
      <c r="Q1881" s="17"/>
      <c r="R1881" s="15"/>
      <c r="S1881" s="20"/>
      <c r="T1881" s="68"/>
      <c r="U1881" s="77"/>
      <c r="V1881" s="68"/>
      <c r="W1881" s="71"/>
      <c r="X1881" s="20"/>
    </row>
    <row r="1882">
      <c r="A1882" s="16"/>
      <c r="B1882" s="17"/>
      <c r="E1882" s="17"/>
      <c r="F1882" s="17"/>
      <c r="G1882" s="17"/>
      <c r="H1882" s="10"/>
      <c r="L1882" s="31"/>
      <c r="N1882" s="16"/>
      <c r="O1882" s="16"/>
      <c r="P1882" s="23"/>
      <c r="Q1882" s="17"/>
      <c r="R1882" s="15"/>
      <c r="S1882" s="20"/>
      <c r="T1882" s="68"/>
      <c r="U1882" s="77"/>
      <c r="V1882" s="68"/>
      <c r="W1882" s="71"/>
      <c r="X1882" s="20"/>
    </row>
    <row r="1883">
      <c r="A1883" s="16"/>
      <c r="B1883" s="17"/>
      <c r="E1883" s="17"/>
      <c r="F1883" s="17"/>
      <c r="G1883" s="17"/>
      <c r="H1883" s="10"/>
      <c r="L1883" s="31"/>
      <c r="N1883" s="16"/>
      <c r="O1883" s="16"/>
      <c r="P1883" s="23"/>
      <c r="Q1883" s="17"/>
      <c r="R1883" s="15"/>
      <c r="S1883" s="20"/>
      <c r="T1883" s="68"/>
      <c r="U1883" s="77"/>
      <c r="V1883" s="68"/>
      <c r="W1883" s="71"/>
      <c r="X1883" s="20"/>
    </row>
    <row r="1884">
      <c r="A1884" s="16"/>
      <c r="B1884" s="17"/>
      <c r="E1884" s="17"/>
      <c r="F1884" s="17"/>
      <c r="G1884" s="17"/>
      <c r="H1884" s="10"/>
      <c r="L1884" s="31"/>
      <c r="N1884" s="16"/>
      <c r="O1884" s="16"/>
      <c r="P1884" s="23"/>
      <c r="Q1884" s="17"/>
      <c r="R1884" s="15"/>
      <c r="S1884" s="20"/>
      <c r="T1884" s="68"/>
      <c r="U1884" s="77"/>
      <c r="V1884" s="68"/>
      <c r="W1884" s="71"/>
      <c r="X1884" s="20"/>
    </row>
    <row r="1885">
      <c r="A1885" s="16"/>
      <c r="B1885" s="17"/>
      <c r="E1885" s="17"/>
      <c r="F1885" s="17"/>
      <c r="G1885" s="17"/>
      <c r="H1885" s="10"/>
      <c r="L1885" s="31"/>
      <c r="N1885" s="16"/>
      <c r="O1885" s="16"/>
      <c r="P1885" s="23"/>
      <c r="Q1885" s="17"/>
      <c r="R1885" s="15"/>
      <c r="S1885" s="20"/>
      <c r="T1885" s="68"/>
      <c r="U1885" s="77"/>
      <c r="V1885" s="68"/>
      <c r="W1885" s="71"/>
      <c r="X1885" s="20"/>
    </row>
    <row r="1886">
      <c r="A1886" s="16"/>
      <c r="B1886" s="17"/>
      <c r="E1886" s="17"/>
      <c r="F1886" s="17"/>
      <c r="G1886" s="17"/>
      <c r="H1886" s="10"/>
      <c r="L1886" s="31"/>
      <c r="N1886" s="16"/>
      <c r="O1886" s="16"/>
      <c r="P1886" s="23"/>
      <c r="Q1886" s="17"/>
      <c r="R1886" s="15"/>
      <c r="S1886" s="20"/>
      <c r="T1886" s="68"/>
      <c r="U1886" s="77"/>
      <c r="V1886" s="68"/>
      <c r="W1886" s="71"/>
      <c r="X1886" s="20"/>
    </row>
    <row r="1887">
      <c r="A1887" s="16"/>
      <c r="B1887" s="17"/>
      <c r="E1887" s="17"/>
      <c r="F1887" s="17"/>
      <c r="G1887" s="17"/>
      <c r="H1887" s="10"/>
      <c r="L1887" s="31"/>
      <c r="N1887" s="16"/>
      <c r="O1887" s="16"/>
      <c r="P1887" s="23"/>
      <c r="Q1887" s="17"/>
      <c r="R1887" s="15"/>
      <c r="S1887" s="20"/>
      <c r="T1887" s="68"/>
      <c r="U1887" s="77"/>
      <c r="V1887" s="68"/>
      <c r="W1887" s="71"/>
      <c r="X1887" s="20"/>
    </row>
    <row r="1888">
      <c r="A1888" s="16"/>
      <c r="B1888" s="17"/>
      <c r="E1888" s="17"/>
      <c r="F1888" s="17"/>
      <c r="G1888" s="17"/>
      <c r="H1888" s="10"/>
      <c r="L1888" s="31"/>
      <c r="N1888" s="16"/>
      <c r="O1888" s="16"/>
      <c r="P1888" s="23"/>
      <c r="Q1888" s="17"/>
      <c r="R1888" s="15"/>
      <c r="S1888" s="20"/>
      <c r="T1888" s="68"/>
      <c r="U1888" s="77"/>
      <c r="V1888" s="68"/>
      <c r="W1888" s="71"/>
      <c r="X1888" s="20"/>
    </row>
    <row r="1889">
      <c r="A1889" s="16"/>
      <c r="B1889" s="17"/>
      <c r="E1889" s="17"/>
      <c r="F1889" s="17"/>
      <c r="G1889" s="17"/>
      <c r="H1889" s="10"/>
      <c r="L1889" s="31"/>
      <c r="N1889" s="16"/>
      <c r="O1889" s="16"/>
      <c r="P1889" s="23"/>
      <c r="Q1889" s="17"/>
      <c r="R1889" s="15"/>
      <c r="S1889" s="20"/>
      <c r="T1889" s="68"/>
      <c r="U1889" s="77"/>
      <c r="V1889" s="68"/>
      <c r="W1889" s="71"/>
      <c r="X1889" s="20"/>
    </row>
    <row r="1890">
      <c r="A1890" s="16"/>
      <c r="B1890" s="17"/>
      <c r="E1890" s="17"/>
      <c r="F1890" s="17"/>
      <c r="G1890" s="17"/>
      <c r="H1890" s="10"/>
      <c r="L1890" s="31"/>
      <c r="N1890" s="16"/>
      <c r="O1890" s="16"/>
      <c r="P1890" s="23"/>
      <c r="Q1890" s="17"/>
      <c r="R1890" s="15"/>
      <c r="S1890" s="20"/>
      <c r="T1890" s="68"/>
      <c r="U1890" s="77"/>
      <c r="V1890" s="68"/>
      <c r="W1890" s="71"/>
      <c r="X1890" s="20"/>
    </row>
    <row r="1891">
      <c r="A1891" s="16"/>
      <c r="B1891" s="17"/>
      <c r="E1891" s="17"/>
      <c r="F1891" s="17"/>
      <c r="G1891" s="17"/>
      <c r="H1891" s="10"/>
      <c r="L1891" s="31"/>
      <c r="N1891" s="16"/>
      <c r="O1891" s="16"/>
      <c r="P1891" s="23"/>
      <c r="Q1891" s="17"/>
      <c r="R1891" s="15"/>
      <c r="S1891" s="20"/>
      <c r="T1891" s="68"/>
      <c r="U1891" s="77"/>
      <c r="V1891" s="68"/>
      <c r="W1891" s="71"/>
      <c r="X1891" s="20"/>
    </row>
    <row r="1892">
      <c r="A1892" s="16"/>
      <c r="B1892" s="17"/>
      <c r="E1892" s="17"/>
      <c r="F1892" s="17"/>
      <c r="G1892" s="17"/>
      <c r="H1892" s="10"/>
      <c r="L1892" s="31"/>
      <c r="N1892" s="16"/>
      <c r="O1892" s="16"/>
      <c r="P1892" s="23"/>
      <c r="Q1892" s="17"/>
      <c r="R1892" s="15"/>
      <c r="S1892" s="20"/>
      <c r="T1892" s="68"/>
      <c r="U1892" s="77"/>
      <c r="V1892" s="68"/>
      <c r="W1892" s="71"/>
      <c r="X1892" s="20"/>
    </row>
    <row r="1893">
      <c r="A1893" s="16"/>
      <c r="B1893" s="17"/>
      <c r="E1893" s="17"/>
      <c r="F1893" s="17"/>
      <c r="G1893" s="17"/>
      <c r="H1893" s="10"/>
      <c r="L1893" s="31"/>
      <c r="N1893" s="16"/>
      <c r="O1893" s="16"/>
      <c r="P1893" s="23"/>
      <c r="Q1893" s="17"/>
      <c r="R1893" s="15"/>
      <c r="S1893" s="20"/>
      <c r="T1893" s="68"/>
      <c r="U1893" s="77"/>
      <c r="V1893" s="68"/>
      <c r="W1893" s="71"/>
      <c r="X1893" s="20"/>
    </row>
    <row r="1894">
      <c r="A1894" s="16"/>
      <c r="B1894" s="17"/>
      <c r="E1894" s="17"/>
      <c r="F1894" s="17"/>
      <c r="G1894" s="17"/>
      <c r="H1894" s="10"/>
      <c r="L1894" s="31"/>
      <c r="N1894" s="16"/>
      <c r="O1894" s="16"/>
      <c r="P1894" s="23"/>
      <c r="Q1894" s="17"/>
      <c r="R1894" s="15"/>
      <c r="S1894" s="20"/>
      <c r="T1894" s="68"/>
      <c r="U1894" s="77"/>
      <c r="V1894" s="68"/>
      <c r="W1894" s="71"/>
      <c r="X1894" s="20"/>
    </row>
    <row r="1895">
      <c r="A1895" s="16"/>
      <c r="B1895" s="17"/>
      <c r="E1895" s="17"/>
      <c r="F1895" s="17"/>
      <c r="G1895" s="17"/>
      <c r="H1895" s="10"/>
      <c r="L1895" s="31"/>
      <c r="N1895" s="16"/>
      <c r="O1895" s="16"/>
      <c r="P1895" s="23"/>
      <c r="Q1895" s="17"/>
      <c r="R1895" s="15"/>
      <c r="S1895" s="20"/>
      <c r="T1895" s="68"/>
      <c r="U1895" s="77"/>
      <c r="V1895" s="68"/>
      <c r="W1895" s="71"/>
      <c r="X1895" s="20"/>
    </row>
    <row r="1896">
      <c r="A1896" s="16"/>
      <c r="B1896" s="17"/>
      <c r="E1896" s="17"/>
      <c r="F1896" s="17"/>
      <c r="G1896" s="17"/>
      <c r="H1896" s="10"/>
      <c r="L1896" s="31"/>
      <c r="N1896" s="16"/>
      <c r="O1896" s="16"/>
      <c r="P1896" s="23"/>
      <c r="Q1896" s="17"/>
      <c r="R1896" s="15"/>
      <c r="S1896" s="20"/>
      <c r="T1896" s="68"/>
      <c r="U1896" s="77"/>
      <c r="V1896" s="68"/>
      <c r="W1896" s="71"/>
      <c r="X1896" s="20"/>
    </row>
    <row r="1897">
      <c r="A1897" s="16"/>
      <c r="B1897" s="17"/>
      <c r="E1897" s="17"/>
      <c r="F1897" s="17"/>
      <c r="G1897" s="17"/>
      <c r="H1897" s="10"/>
      <c r="L1897" s="31"/>
      <c r="N1897" s="16"/>
      <c r="O1897" s="16"/>
      <c r="P1897" s="23"/>
      <c r="Q1897" s="17"/>
      <c r="R1897" s="15"/>
      <c r="S1897" s="20"/>
      <c r="T1897" s="68"/>
      <c r="U1897" s="77"/>
      <c r="V1897" s="68"/>
      <c r="W1897" s="71"/>
      <c r="X1897" s="20"/>
    </row>
    <row r="1898">
      <c r="A1898" s="16"/>
      <c r="B1898" s="17"/>
      <c r="E1898" s="17"/>
      <c r="F1898" s="17"/>
      <c r="G1898" s="17"/>
      <c r="H1898" s="10"/>
      <c r="L1898" s="31"/>
      <c r="N1898" s="16"/>
      <c r="O1898" s="16"/>
      <c r="P1898" s="23"/>
      <c r="Q1898" s="17"/>
      <c r="R1898" s="15"/>
      <c r="S1898" s="20"/>
      <c r="T1898" s="68"/>
      <c r="U1898" s="77"/>
      <c r="V1898" s="68"/>
      <c r="W1898" s="71"/>
      <c r="X1898" s="20"/>
    </row>
    <row r="1899">
      <c r="A1899" s="16"/>
      <c r="B1899" s="17"/>
      <c r="E1899" s="17"/>
      <c r="F1899" s="17"/>
      <c r="G1899" s="17"/>
      <c r="H1899" s="10"/>
      <c r="L1899" s="31"/>
      <c r="N1899" s="16"/>
      <c r="O1899" s="16"/>
      <c r="P1899" s="23"/>
      <c r="Q1899" s="17"/>
      <c r="R1899" s="15"/>
      <c r="S1899" s="20"/>
      <c r="T1899" s="68"/>
      <c r="U1899" s="77"/>
      <c r="V1899" s="68"/>
      <c r="W1899" s="71"/>
      <c r="X1899" s="20"/>
    </row>
    <row r="1900">
      <c r="A1900" s="16"/>
      <c r="B1900" s="17"/>
      <c r="E1900" s="17"/>
      <c r="F1900" s="17"/>
      <c r="G1900" s="17"/>
      <c r="H1900" s="10"/>
      <c r="L1900" s="31"/>
      <c r="N1900" s="16"/>
      <c r="O1900" s="16"/>
      <c r="P1900" s="23"/>
      <c r="Q1900" s="17"/>
      <c r="R1900" s="15"/>
      <c r="S1900" s="20"/>
      <c r="T1900" s="68"/>
      <c r="U1900" s="77"/>
      <c r="V1900" s="68"/>
      <c r="W1900" s="71"/>
      <c r="X1900" s="20"/>
    </row>
    <row r="1901">
      <c r="A1901" s="16"/>
      <c r="B1901" s="17"/>
      <c r="E1901" s="17"/>
      <c r="F1901" s="17"/>
      <c r="G1901" s="17"/>
      <c r="H1901" s="10"/>
      <c r="L1901" s="31"/>
      <c r="N1901" s="16"/>
      <c r="O1901" s="16"/>
      <c r="P1901" s="23"/>
      <c r="Q1901" s="17"/>
      <c r="R1901" s="15"/>
      <c r="S1901" s="20"/>
      <c r="T1901" s="68"/>
      <c r="U1901" s="77"/>
      <c r="V1901" s="68"/>
      <c r="W1901" s="71"/>
      <c r="X1901" s="20"/>
    </row>
    <row r="1902">
      <c r="A1902" s="16"/>
      <c r="B1902" s="17"/>
      <c r="E1902" s="17"/>
      <c r="F1902" s="17"/>
      <c r="G1902" s="17"/>
      <c r="H1902" s="10"/>
      <c r="L1902" s="31"/>
      <c r="N1902" s="16"/>
      <c r="O1902" s="16"/>
      <c r="P1902" s="23"/>
      <c r="Q1902" s="17"/>
      <c r="R1902" s="15"/>
      <c r="S1902" s="20"/>
      <c r="T1902" s="68"/>
      <c r="U1902" s="77"/>
      <c r="V1902" s="68"/>
      <c r="W1902" s="71"/>
      <c r="X1902" s="20"/>
    </row>
    <row r="1903">
      <c r="A1903" s="16"/>
      <c r="B1903" s="17"/>
      <c r="E1903" s="17"/>
      <c r="F1903" s="17"/>
      <c r="G1903" s="17"/>
      <c r="H1903" s="10"/>
      <c r="L1903" s="31"/>
      <c r="N1903" s="16"/>
      <c r="O1903" s="16"/>
      <c r="P1903" s="23"/>
      <c r="Q1903" s="17"/>
      <c r="R1903" s="15"/>
      <c r="S1903" s="20"/>
      <c r="T1903" s="68"/>
      <c r="U1903" s="77"/>
      <c r="V1903" s="68"/>
      <c r="W1903" s="71"/>
      <c r="X1903" s="20"/>
    </row>
    <row r="1904">
      <c r="A1904" s="16"/>
      <c r="B1904" s="17"/>
      <c r="E1904" s="17"/>
      <c r="F1904" s="17"/>
      <c r="G1904" s="17"/>
      <c r="H1904" s="10"/>
      <c r="L1904" s="31"/>
      <c r="N1904" s="16"/>
      <c r="O1904" s="16"/>
      <c r="P1904" s="23"/>
      <c r="Q1904" s="17"/>
      <c r="R1904" s="15"/>
      <c r="S1904" s="20"/>
      <c r="T1904" s="68"/>
      <c r="U1904" s="77"/>
      <c r="V1904" s="68"/>
      <c r="W1904" s="71"/>
      <c r="X1904" s="20"/>
    </row>
    <row r="1905">
      <c r="A1905" s="16"/>
      <c r="B1905" s="17"/>
      <c r="E1905" s="17"/>
      <c r="F1905" s="17"/>
      <c r="G1905" s="17"/>
      <c r="H1905" s="10"/>
      <c r="L1905" s="31"/>
      <c r="N1905" s="16"/>
      <c r="O1905" s="16"/>
      <c r="P1905" s="23"/>
      <c r="Q1905" s="17"/>
      <c r="R1905" s="15"/>
      <c r="S1905" s="20"/>
      <c r="T1905" s="68"/>
      <c r="U1905" s="77"/>
      <c r="V1905" s="68"/>
      <c r="W1905" s="71"/>
      <c r="X1905" s="20"/>
    </row>
    <row r="1906">
      <c r="A1906" s="16"/>
      <c r="B1906" s="17"/>
      <c r="E1906" s="17"/>
      <c r="F1906" s="17"/>
      <c r="G1906" s="17"/>
      <c r="H1906" s="10"/>
      <c r="L1906" s="31"/>
      <c r="N1906" s="16"/>
      <c r="O1906" s="16"/>
      <c r="P1906" s="23"/>
      <c r="Q1906" s="17"/>
      <c r="R1906" s="15"/>
      <c r="S1906" s="20"/>
      <c r="T1906" s="68"/>
      <c r="U1906" s="77"/>
      <c r="V1906" s="68"/>
      <c r="W1906" s="71"/>
      <c r="X1906" s="20"/>
    </row>
    <row r="1907">
      <c r="A1907" s="16"/>
      <c r="B1907" s="17"/>
      <c r="E1907" s="17"/>
      <c r="F1907" s="17"/>
      <c r="G1907" s="17"/>
      <c r="H1907" s="10"/>
      <c r="L1907" s="31"/>
      <c r="N1907" s="16"/>
      <c r="O1907" s="16"/>
      <c r="P1907" s="23"/>
      <c r="Q1907" s="17"/>
      <c r="R1907" s="15"/>
      <c r="S1907" s="20"/>
      <c r="T1907" s="68"/>
      <c r="U1907" s="77"/>
      <c r="V1907" s="68"/>
      <c r="W1907" s="71"/>
      <c r="X1907" s="20"/>
    </row>
    <row r="1908">
      <c r="A1908" s="16"/>
      <c r="B1908" s="17"/>
      <c r="E1908" s="17"/>
      <c r="F1908" s="17"/>
      <c r="G1908" s="17"/>
      <c r="H1908" s="10"/>
      <c r="L1908" s="31"/>
      <c r="N1908" s="16"/>
      <c r="O1908" s="16"/>
      <c r="P1908" s="23"/>
      <c r="Q1908" s="17"/>
      <c r="R1908" s="15"/>
      <c r="S1908" s="20"/>
      <c r="T1908" s="68"/>
      <c r="U1908" s="77"/>
      <c r="V1908" s="68"/>
      <c r="W1908" s="71"/>
      <c r="X1908" s="20"/>
    </row>
    <row r="1909">
      <c r="A1909" s="16"/>
      <c r="B1909" s="17"/>
      <c r="E1909" s="17"/>
      <c r="F1909" s="17"/>
      <c r="G1909" s="17"/>
      <c r="H1909" s="10"/>
      <c r="L1909" s="31"/>
      <c r="N1909" s="16"/>
      <c r="O1909" s="16"/>
      <c r="P1909" s="23"/>
      <c r="Q1909" s="17"/>
      <c r="R1909" s="15"/>
      <c r="S1909" s="20"/>
      <c r="T1909" s="68"/>
      <c r="U1909" s="77"/>
      <c r="V1909" s="68"/>
      <c r="W1909" s="71"/>
      <c r="X1909" s="20"/>
    </row>
    <row r="1910">
      <c r="A1910" s="16"/>
      <c r="B1910" s="17"/>
      <c r="E1910" s="17"/>
      <c r="F1910" s="17"/>
      <c r="G1910" s="17"/>
      <c r="H1910" s="10"/>
      <c r="L1910" s="31"/>
      <c r="N1910" s="16"/>
      <c r="O1910" s="16"/>
      <c r="P1910" s="23"/>
      <c r="Q1910" s="17"/>
      <c r="R1910" s="15"/>
      <c r="S1910" s="20"/>
      <c r="T1910" s="68"/>
      <c r="U1910" s="77"/>
      <c r="V1910" s="68"/>
      <c r="W1910" s="71"/>
      <c r="X1910" s="20"/>
    </row>
    <row r="1911">
      <c r="A1911" s="16"/>
      <c r="B1911" s="17"/>
      <c r="E1911" s="17"/>
      <c r="F1911" s="17"/>
      <c r="G1911" s="17"/>
      <c r="H1911" s="10"/>
      <c r="L1911" s="31"/>
      <c r="N1911" s="16"/>
      <c r="O1911" s="16"/>
      <c r="P1911" s="23"/>
      <c r="Q1911" s="17"/>
      <c r="R1911" s="15"/>
      <c r="S1911" s="20"/>
      <c r="T1911" s="68"/>
      <c r="U1911" s="77"/>
      <c r="V1911" s="68"/>
      <c r="W1911" s="71"/>
      <c r="X1911" s="20"/>
    </row>
    <row r="1912">
      <c r="A1912" s="16"/>
      <c r="B1912" s="17"/>
      <c r="E1912" s="17"/>
      <c r="F1912" s="17"/>
      <c r="G1912" s="17"/>
      <c r="H1912" s="10"/>
      <c r="L1912" s="31"/>
      <c r="N1912" s="16"/>
      <c r="O1912" s="16"/>
      <c r="P1912" s="23"/>
      <c r="Q1912" s="17"/>
      <c r="R1912" s="15"/>
      <c r="S1912" s="20"/>
      <c r="T1912" s="68"/>
      <c r="U1912" s="77"/>
      <c r="V1912" s="68"/>
      <c r="W1912" s="71"/>
      <c r="X1912" s="20"/>
    </row>
    <row r="1913">
      <c r="A1913" s="16"/>
      <c r="B1913" s="17"/>
      <c r="E1913" s="17"/>
      <c r="F1913" s="17"/>
      <c r="G1913" s="17"/>
      <c r="H1913" s="10"/>
      <c r="L1913" s="31"/>
      <c r="N1913" s="16"/>
      <c r="O1913" s="16"/>
      <c r="P1913" s="23"/>
      <c r="Q1913" s="17"/>
      <c r="R1913" s="15"/>
      <c r="S1913" s="20"/>
      <c r="T1913" s="68"/>
      <c r="U1913" s="77"/>
      <c r="V1913" s="68"/>
      <c r="W1913" s="71"/>
      <c r="X1913" s="20"/>
    </row>
    <row r="1914">
      <c r="A1914" s="16"/>
      <c r="B1914" s="17"/>
      <c r="E1914" s="17"/>
      <c r="F1914" s="17"/>
      <c r="G1914" s="17"/>
      <c r="H1914" s="10"/>
      <c r="L1914" s="31"/>
      <c r="N1914" s="16"/>
      <c r="O1914" s="16"/>
      <c r="P1914" s="23"/>
      <c r="Q1914" s="17"/>
      <c r="R1914" s="15"/>
      <c r="S1914" s="20"/>
      <c r="T1914" s="68"/>
      <c r="U1914" s="77"/>
      <c r="V1914" s="68"/>
      <c r="W1914" s="71"/>
      <c r="X1914" s="20"/>
    </row>
    <row r="1915">
      <c r="A1915" s="16"/>
      <c r="B1915" s="17"/>
      <c r="E1915" s="17"/>
      <c r="F1915" s="17"/>
      <c r="G1915" s="17"/>
      <c r="H1915" s="10"/>
      <c r="L1915" s="31"/>
      <c r="N1915" s="16"/>
      <c r="O1915" s="16"/>
      <c r="P1915" s="23"/>
      <c r="Q1915" s="17"/>
      <c r="R1915" s="15"/>
      <c r="S1915" s="20"/>
      <c r="T1915" s="68"/>
      <c r="U1915" s="77"/>
      <c r="V1915" s="68"/>
      <c r="W1915" s="71"/>
      <c r="X1915" s="20"/>
    </row>
    <row r="1916">
      <c r="A1916" s="16"/>
      <c r="B1916" s="17"/>
      <c r="E1916" s="17"/>
      <c r="F1916" s="17"/>
      <c r="G1916" s="17"/>
      <c r="H1916" s="10"/>
      <c r="L1916" s="31"/>
      <c r="N1916" s="16"/>
      <c r="O1916" s="16"/>
      <c r="P1916" s="23"/>
      <c r="Q1916" s="17"/>
      <c r="R1916" s="15"/>
      <c r="S1916" s="20"/>
      <c r="T1916" s="68"/>
      <c r="U1916" s="77"/>
      <c r="V1916" s="68"/>
      <c r="W1916" s="71"/>
      <c r="X1916" s="20"/>
    </row>
    <row r="1917">
      <c r="A1917" s="16"/>
      <c r="B1917" s="17"/>
      <c r="E1917" s="17"/>
      <c r="F1917" s="17"/>
      <c r="G1917" s="17"/>
      <c r="H1917" s="10"/>
      <c r="L1917" s="31"/>
      <c r="N1917" s="16"/>
      <c r="O1917" s="16"/>
      <c r="P1917" s="23"/>
      <c r="Q1917" s="17"/>
      <c r="R1917" s="15"/>
      <c r="S1917" s="20"/>
      <c r="T1917" s="68"/>
      <c r="U1917" s="77"/>
      <c r="V1917" s="68"/>
      <c r="W1917" s="71"/>
      <c r="X1917" s="20"/>
    </row>
    <row r="1918">
      <c r="A1918" s="16"/>
      <c r="B1918" s="17"/>
      <c r="E1918" s="17"/>
      <c r="F1918" s="17"/>
      <c r="G1918" s="17"/>
      <c r="H1918" s="10"/>
      <c r="L1918" s="31"/>
      <c r="N1918" s="16"/>
      <c r="O1918" s="16"/>
      <c r="P1918" s="23"/>
      <c r="Q1918" s="17"/>
      <c r="R1918" s="15"/>
      <c r="S1918" s="20"/>
      <c r="T1918" s="68"/>
      <c r="U1918" s="77"/>
      <c r="V1918" s="68"/>
      <c r="W1918" s="71"/>
      <c r="X1918" s="20"/>
    </row>
    <row r="1919">
      <c r="A1919" s="16"/>
      <c r="B1919" s="17"/>
      <c r="E1919" s="17"/>
      <c r="F1919" s="17"/>
      <c r="G1919" s="17"/>
      <c r="H1919" s="10"/>
      <c r="L1919" s="31"/>
      <c r="N1919" s="16"/>
      <c r="O1919" s="16"/>
      <c r="P1919" s="23"/>
      <c r="Q1919" s="17"/>
      <c r="R1919" s="15"/>
      <c r="S1919" s="20"/>
      <c r="T1919" s="68"/>
      <c r="U1919" s="77"/>
      <c r="V1919" s="68"/>
      <c r="W1919" s="71"/>
      <c r="X1919" s="20"/>
    </row>
    <row r="1920">
      <c r="A1920" s="16"/>
      <c r="B1920" s="17"/>
      <c r="E1920" s="17"/>
      <c r="F1920" s="17"/>
      <c r="G1920" s="17"/>
      <c r="H1920" s="10"/>
      <c r="L1920" s="31"/>
      <c r="N1920" s="16"/>
      <c r="O1920" s="16"/>
      <c r="P1920" s="23"/>
      <c r="Q1920" s="17"/>
      <c r="R1920" s="15"/>
      <c r="S1920" s="20"/>
      <c r="T1920" s="68"/>
      <c r="U1920" s="77"/>
      <c r="V1920" s="68"/>
      <c r="W1920" s="71"/>
      <c r="X1920" s="20"/>
    </row>
    <row r="1921">
      <c r="A1921" s="16"/>
      <c r="B1921" s="17"/>
      <c r="E1921" s="17"/>
      <c r="F1921" s="17"/>
      <c r="G1921" s="17"/>
      <c r="H1921" s="10"/>
      <c r="L1921" s="31"/>
      <c r="N1921" s="16"/>
      <c r="O1921" s="16"/>
      <c r="P1921" s="23"/>
      <c r="Q1921" s="17"/>
      <c r="R1921" s="15"/>
      <c r="S1921" s="20"/>
      <c r="T1921" s="68"/>
      <c r="U1921" s="77"/>
      <c r="V1921" s="68"/>
      <c r="W1921" s="71"/>
      <c r="X1921" s="20"/>
    </row>
    <row r="1922">
      <c r="A1922" s="16"/>
      <c r="B1922" s="17"/>
      <c r="E1922" s="17"/>
      <c r="F1922" s="17"/>
      <c r="G1922" s="17"/>
      <c r="H1922" s="10"/>
      <c r="L1922" s="31"/>
      <c r="N1922" s="16"/>
      <c r="O1922" s="16"/>
      <c r="P1922" s="23"/>
      <c r="Q1922" s="17"/>
      <c r="R1922" s="15"/>
      <c r="S1922" s="20"/>
      <c r="T1922" s="68"/>
      <c r="U1922" s="77"/>
      <c r="V1922" s="68"/>
      <c r="W1922" s="71"/>
      <c r="X1922" s="20"/>
    </row>
    <row r="1923">
      <c r="A1923" s="16"/>
      <c r="B1923" s="17"/>
      <c r="E1923" s="17"/>
      <c r="F1923" s="17"/>
      <c r="G1923" s="17"/>
      <c r="H1923" s="10"/>
      <c r="L1923" s="31"/>
      <c r="N1923" s="16"/>
      <c r="O1923" s="16"/>
      <c r="P1923" s="23"/>
      <c r="Q1923" s="17"/>
      <c r="R1923" s="15"/>
      <c r="S1923" s="20"/>
      <c r="T1923" s="68"/>
      <c r="U1923" s="77"/>
      <c r="V1923" s="68"/>
      <c r="W1923" s="71"/>
      <c r="X1923" s="20"/>
    </row>
    <row r="1924">
      <c r="A1924" s="16"/>
      <c r="B1924" s="17"/>
      <c r="E1924" s="17"/>
      <c r="F1924" s="17"/>
      <c r="G1924" s="17"/>
      <c r="H1924" s="10"/>
      <c r="L1924" s="31"/>
      <c r="N1924" s="16"/>
      <c r="O1924" s="16"/>
      <c r="P1924" s="23"/>
      <c r="Q1924" s="17"/>
      <c r="R1924" s="15"/>
      <c r="S1924" s="20"/>
      <c r="T1924" s="68"/>
      <c r="U1924" s="77"/>
      <c r="V1924" s="68"/>
      <c r="W1924" s="71"/>
      <c r="X1924" s="20"/>
    </row>
    <row r="1925">
      <c r="A1925" s="16"/>
      <c r="B1925" s="17"/>
      <c r="E1925" s="17"/>
      <c r="F1925" s="17"/>
      <c r="G1925" s="17"/>
      <c r="H1925" s="10"/>
      <c r="L1925" s="31"/>
      <c r="N1925" s="16"/>
      <c r="O1925" s="16"/>
      <c r="P1925" s="23"/>
      <c r="Q1925" s="17"/>
      <c r="R1925" s="15"/>
      <c r="S1925" s="20"/>
      <c r="T1925" s="68"/>
      <c r="U1925" s="77"/>
      <c r="V1925" s="68"/>
      <c r="W1925" s="71"/>
      <c r="X1925" s="20"/>
    </row>
    <row r="1926">
      <c r="A1926" s="16"/>
      <c r="B1926" s="17"/>
      <c r="E1926" s="17"/>
      <c r="F1926" s="17"/>
      <c r="G1926" s="17"/>
      <c r="H1926" s="10"/>
      <c r="L1926" s="31"/>
      <c r="N1926" s="16"/>
      <c r="O1926" s="16"/>
      <c r="P1926" s="23"/>
      <c r="Q1926" s="17"/>
      <c r="R1926" s="15"/>
      <c r="S1926" s="20"/>
      <c r="T1926" s="68"/>
      <c r="U1926" s="77"/>
      <c r="V1926" s="68"/>
      <c r="W1926" s="71"/>
      <c r="X1926" s="20"/>
    </row>
    <row r="1927">
      <c r="A1927" s="16"/>
      <c r="B1927" s="17"/>
      <c r="E1927" s="17"/>
      <c r="F1927" s="17"/>
      <c r="G1927" s="17"/>
      <c r="H1927" s="10"/>
      <c r="L1927" s="31"/>
      <c r="N1927" s="16"/>
      <c r="O1927" s="16"/>
      <c r="P1927" s="23"/>
      <c r="Q1927" s="17"/>
      <c r="R1927" s="15"/>
      <c r="S1927" s="20"/>
      <c r="T1927" s="68"/>
      <c r="U1927" s="77"/>
      <c r="V1927" s="68"/>
      <c r="W1927" s="71"/>
      <c r="X1927" s="20"/>
    </row>
    <row r="1928">
      <c r="A1928" s="16"/>
      <c r="B1928" s="17"/>
      <c r="E1928" s="17"/>
      <c r="F1928" s="17"/>
      <c r="G1928" s="17"/>
      <c r="H1928" s="10"/>
      <c r="L1928" s="31"/>
      <c r="N1928" s="16"/>
      <c r="O1928" s="16"/>
      <c r="P1928" s="23"/>
      <c r="Q1928" s="17"/>
      <c r="R1928" s="15"/>
      <c r="S1928" s="20"/>
      <c r="T1928" s="68"/>
      <c r="U1928" s="77"/>
      <c r="V1928" s="68"/>
      <c r="W1928" s="71"/>
      <c r="X1928" s="20"/>
    </row>
    <row r="1929">
      <c r="A1929" s="16"/>
      <c r="B1929" s="17"/>
      <c r="E1929" s="17"/>
      <c r="F1929" s="17"/>
      <c r="G1929" s="17"/>
      <c r="H1929" s="10"/>
      <c r="L1929" s="31"/>
      <c r="N1929" s="16"/>
      <c r="O1929" s="16"/>
      <c r="P1929" s="23"/>
      <c r="Q1929" s="17"/>
      <c r="R1929" s="15"/>
      <c r="S1929" s="20"/>
      <c r="T1929" s="68"/>
      <c r="U1929" s="77"/>
      <c r="V1929" s="68"/>
      <c r="W1929" s="71"/>
      <c r="X1929" s="20"/>
    </row>
    <row r="1930">
      <c r="A1930" s="16"/>
      <c r="B1930" s="17"/>
      <c r="E1930" s="17"/>
      <c r="F1930" s="17"/>
      <c r="G1930" s="17"/>
      <c r="H1930" s="10"/>
      <c r="L1930" s="31"/>
      <c r="N1930" s="16"/>
      <c r="O1930" s="16"/>
      <c r="P1930" s="23"/>
      <c r="Q1930" s="17"/>
      <c r="R1930" s="15"/>
      <c r="S1930" s="20"/>
      <c r="T1930" s="68"/>
      <c r="U1930" s="77"/>
      <c r="V1930" s="68"/>
      <c r="W1930" s="71"/>
      <c r="X1930" s="20"/>
    </row>
    <row r="1931">
      <c r="A1931" s="16"/>
      <c r="B1931" s="17"/>
      <c r="E1931" s="17"/>
      <c r="F1931" s="17"/>
      <c r="G1931" s="17"/>
      <c r="H1931" s="10"/>
      <c r="L1931" s="31"/>
      <c r="N1931" s="16"/>
      <c r="O1931" s="16"/>
      <c r="P1931" s="23"/>
      <c r="Q1931" s="17"/>
      <c r="R1931" s="15"/>
      <c r="S1931" s="20"/>
      <c r="T1931" s="68"/>
      <c r="U1931" s="77"/>
      <c r="V1931" s="68"/>
      <c r="W1931" s="71"/>
      <c r="X1931" s="20"/>
    </row>
    <row r="1932">
      <c r="A1932" s="16"/>
      <c r="B1932" s="17"/>
      <c r="E1932" s="17"/>
      <c r="F1932" s="17"/>
      <c r="G1932" s="17"/>
      <c r="H1932" s="10"/>
      <c r="L1932" s="31"/>
      <c r="N1932" s="16"/>
      <c r="O1932" s="16"/>
      <c r="P1932" s="23"/>
      <c r="Q1932" s="17"/>
      <c r="R1932" s="15"/>
      <c r="S1932" s="20"/>
      <c r="T1932" s="68"/>
      <c r="U1932" s="77"/>
      <c r="V1932" s="68"/>
      <c r="W1932" s="71"/>
      <c r="X1932" s="20"/>
    </row>
    <row r="1933">
      <c r="A1933" s="16"/>
      <c r="B1933" s="17"/>
      <c r="E1933" s="17"/>
      <c r="F1933" s="17"/>
      <c r="G1933" s="17"/>
      <c r="H1933" s="10"/>
      <c r="L1933" s="31"/>
      <c r="N1933" s="16"/>
      <c r="O1933" s="16"/>
      <c r="P1933" s="23"/>
      <c r="Q1933" s="17"/>
      <c r="R1933" s="15"/>
      <c r="S1933" s="20"/>
      <c r="T1933" s="68"/>
      <c r="U1933" s="77"/>
      <c r="V1933" s="68"/>
      <c r="W1933" s="71"/>
      <c r="X1933" s="20"/>
    </row>
    <row r="1934">
      <c r="A1934" s="16"/>
      <c r="B1934" s="17"/>
      <c r="E1934" s="17"/>
      <c r="F1934" s="17"/>
      <c r="G1934" s="17"/>
      <c r="H1934" s="10"/>
      <c r="L1934" s="31"/>
      <c r="N1934" s="16"/>
      <c r="O1934" s="16"/>
      <c r="P1934" s="23"/>
      <c r="Q1934" s="17"/>
      <c r="R1934" s="15"/>
      <c r="S1934" s="20"/>
      <c r="T1934" s="68"/>
      <c r="U1934" s="77"/>
      <c r="V1934" s="68"/>
      <c r="W1934" s="71"/>
      <c r="X1934" s="20"/>
    </row>
    <row r="1935">
      <c r="A1935" s="16"/>
      <c r="B1935" s="17"/>
      <c r="E1935" s="17"/>
      <c r="F1935" s="17"/>
      <c r="G1935" s="17"/>
      <c r="H1935" s="10"/>
      <c r="L1935" s="31"/>
      <c r="N1935" s="16"/>
      <c r="O1935" s="16"/>
      <c r="P1935" s="23"/>
      <c r="Q1935" s="17"/>
      <c r="R1935" s="15"/>
      <c r="S1935" s="20"/>
      <c r="T1935" s="68"/>
      <c r="U1935" s="77"/>
      <c r="V1935" s="68"/>
      <c r="W1935" s="71"/>
      <c r="X1935" s="20"/>
    </row>
    <row r="1936">
      <c r="A1936" s="16"/>
      <c r="B1936" s="17"/>
      <c r="E1936" s="17"/>
      <c r="F1936" s="17"/>
      <c r="G1936" s="17"/>
      <c r="H1936" s="10"/>
      <c r="L1936" s="31"/>
      <c r="N1936" s="16"/>
      <c r="O1936" s="16"/>
      <c r="P1936" s="23"/>
      <c r="Q1936" s="17"/>
      <c r="R1936" s="15"/>
      <c r="S1936" s="20"/>
      <c r="T1936" s="68"/>
      <c r="U1936" s="77"/>
      <c r="V1936" s="68"/>
      <c r="W1936" s="71"/>
      <c r="X1936" s="20"/>
    </row>
    <row r="1937">
      <c r="A1937" s="16"/>
      <c r="B1937" s="17"/>
      <c r="E1937" s="17"/>
      <c r="F1937" s="17"/>
      <c r="G1937" s="17"/>
      <c r="H1937" s="10"/>
      <c r="L1937" s="31"/>
      <c r="N1937" s="16"/>
      <c r="O1937" s="16"/>
      <c r="P1937" s="23"/>
      <c r="Q1937" s="17"/>
      <c r="R1937" s="15"/>
      <c r="S1937" s="20"/>
      <c r="T1937" s="68"/>
      <c r="U1937" s="77"/>
      <c r="V1937" s="68"/>
      <c r="W1937" s="71"/>
      <c r="X1937" s="20"/>
    </row>
    <row r="1938">
      <c r="A1938" s="16"/>
      <c r="B1938" s="17"/>
      <c r="E1938" s="17"/>
      <c r="F1938" s="17"/>
      <c r="G1938" s="17"/>
      <c r="H1938" s="10"/>
      <c r="L1938" s="31"/>
      <c r="N1938" s="16"/>
      <c r="O1938" s="16"/>
      <c r="P1938" s="23"/>
      <c r="Q1938" s="17"/>
      <c r="R1938" s="15"/>
      <c r="S1938" s="20"/>
      <c r="T1938" s="68"/>
      <c r="U1938" s="77"/>
      <c r="V1938" s="68"/>
      <c r="W1938" s="71"/>
      <c r="X1938" s="20"/>
    </row>
    <row r="1939">
      <c r="A1939" s="16"/>
      <c r="B1939" s="17"/>
      <c r="E1939" s="17"/>
      <c r="F1939" s="17"/>
      <c r="G1939" s="17"/>
      <c r="H1939" s="10"/>
      <c r="L1939" s="31"/>
      <c r="N1939" s="16"/>
      <c r="O1939" s="16"/>
      <c r="P1939" s="23"/>
      <c r="Q1939" s="17"/>
      <c r="R1939" s="15"/>
      <c r="S1939" s="20"/>
      <c r="T1939" s="68"/>
      <c r="U1939" s="77"/>
      <c r="V1939" s="68"/>
      <c r="W1939" s="71"/>
      <c r="X1939" s="20"/>
    </row>
    <row r="1940">
      <c r="A1940" s="16"/>
      <c r="B1940" s="17"/>
      <c r="E1940" s="17"/>
      <c r="F1940" s="17"/>
      <c r="G1940" s="17"/>
      <c r="H1940" s="10"/>
      <c r="L1940" s="31"/>
      <c r="N1940" s="16"/>
      <c r="O1940" s="16"/>
      <c r="P1940" s="23"/>
      <c r="Q1940" s="17"/>
      <c r="R1940" s="15"/>
      <c r="S1940" s="20"/>
      <c r="T1940" s="68"/>
      <c r="U1940" s="77"/>
      <c r="V1940" s="68"/>
      <c r="W1940" s="71"/>
      <c r="X1940" s="20"/>
    </row>
    <row r="1941">
      <c r="A1941" s="16"/>
      <c r="B1941" s="17"/>
      <c r="E1941" s="17"/>
      <c r="F1941" s="17"/>
      <c r="G1941" s="17"/>
      <c r="H1941" s="10"/>
      <c r="L1941" s="31"/>
      <c r="N1941" s="16"/>
      <c r="O1941" s="16"/>
      <c r="P1941" s="23"/>
      <c r="Q1941" s="17"/>
      <c r="R1941" s="15"/>
      <c r="S1941" s="20"/>
      <c r="T1941" s="68"/>
      <c r="U1941" s="77"/>
      <c r="V1941" s="68"/>
      <c r="W1941" s="71"/>
      <c r="X1941" s="20"/>
    </row>
    <row r="1942">
      <c r="A1942" s="16"/>
      <c r="B1942" s="17"/>
      <c r="E1942" s="17"/>
      <c r="F1942" s="17"/>
      <c r="G1942" s="17"/>
      <c r="H1942" s="10"/>
      <c r="L1942" s="31"/>
      <c r="N1942" s="16"/>
      <c r="O1942" s="16"/>
      <c r="P1942" s="23"/>
      <c r="Q1942" s="17"/>
      <c r="R1942" s="15"/>
      <c r="S1942" s="20"/>
      <c r="T1942" s="68"/>
      <c r="U1942" s="77"/>
      <c r="V1942" s="68"/>
      <c r="W1942" s="71"/>
      <c r="X1942" s="20"/>
    </row>
    <row r="1943">
      <c r="A1943" s="16"/>
      <c r="B1943" s="17"/>
      <c r="E1943" s="17"/>
      <c r="F1943" s="17"/>
      <c r="G1943" s="17"/>
      <c r="H1943" s="10"/>
      <c r="L1943" s="31"/>
      <c r="N1943" s="16"/>
      <c r="O1943" s="16"/>
      <c r="P1943" s="23"/>
      <c r="Q1943" s="17"/>
      <c r="R1943" s="15"/>
      <c r="S1943" s="20"/>
      <c r="T1943" s="68"/>
      <c r="U1943" s="77"/>
      <c r="V1943" s="68"/>
      <c r="W1943" s="71"/>
      <c r="X1943" s="20"/>
    </row>
    <row r="1944">
      <c r="A1944" s="16"/>
      <c r="B1944" s="17"/>
      <c r="E1944" s="17"/>
      <c r="F1944" s="17"/>
      <c r="G1944" s="17"/>
      <c r="H1944" s="10"/>
      <c r="L1944" s="31"/>
      <c r="N1944" s="16"/>
      <c r="O1944" s="16"/>
      <c r="P1944" s="23"/>
      <c r="Q1944" s="17"/>
      <c r="R1944" s="15"/>
      <c r="S1944" s="20"/>
      <c r="T1944" s="68"/>
      <c r="U1944" s="77"/>
      <c r="V1944" s="68"/>
      <c r="W1944" s="71"/>
      <c r="X1944" s="20"/>
    </row>
    <row r="1945">
      <c r="A1945" s="16"/>
      <c r="B1945" s="17"/>
      <c r="E1945" s="17"/>
      <c r="F1945" s="17"/>
      <c r="G1945" s="17"/>
      <c r="H1945" s="10"/>
      <c r="L1945" s="31"/>
      <c r="N1945" s="16"/>
      <c r="O1945" s="16"/>
      <c r="P1945" s="23"/>
      <c r="Q1945" s="17"/>
      <c r="R1945" s="15"/>
      <c r="S1945" s="20"/>
      <c r="T1945" s="68"/>
      <c r="U1945" s="77"/>
      <c r="V1945" s="68"/>
      <c r="W1945" s="71"/>
      <c r="X1945" s="20"/>
    </row>
    <row r="1946">
      <c r="A1946" s="16"/>
      <c r="B1946" s="17"/>
      <c r="E1946" s="17"/>
      <c r="F1946" s="17"/>
      <c r="G1946" s="17"/>
      <c r="H1946" s="10"/>
      <c r="L1946" s="31"/>
      <c r="N1946" s="16"/>
      <c r="O1946" s="16"/>
      <c r="P1946" s="23"/>
      <c r="Q1946" s="17"/>
      <c r="R1946" s="15"/>
      <c r="S1946" s="20"/>
      <c r="T1946" s="68"/>
      <c r="U1946" s="77"/>
      <c r="V1946" s="68"/>
      <c r="W1946" s="71"/>
      <c r="X1946" s="20"/>
    </row>
    <row r="1947">
      <c r="A1947" s="16"/>
      <c r="B1947" s="17"/>
      <c r="E1947" s="17"/>
      <c r="F1947" s="17"/>
      <c r="G1947" s="17"/>
      <c r="H1947" s="10"/>
      <c r="L1947" s="31"/>
      <c r="N1947" s="16"/>
      <c r="O1947" s="16"/>
      <c r="P1947" s="23"/>
      <c r="Q1947" s="17"/>
      <c r="R1947" s="15"/>
      <c r="S1947" s="20"/>
      <c r="T1947" s="68"/>
      <c r="U1947" s="77"/>
      <c r="V1947" s="68"/>
      <c r="W1947" s="71"/>
      <c r="X1947" s="20"/>
    </row>
    <row r="1948">
      <c r="A1948" s="16"/>
      <c r="B1948" s="17"/>
      <c r="E1948" s="17"/>
      <c r="F1948" s="17"/>
      <c r="G1948" s="17"/>
      <c r="H1948" s="10"/>
      <c r="L1948" s="31"/>
      <c r="N1948" s="16"/>
      <c r="O1948" s="16"/>
      <c r="P1948" s="23"/>
      <c r="Q1948" s="17"/>
      <c r="R1948" s="15"/>
      <c r="S1948" s="20"/>
      <c r="T1948" s="68"/>
      <c r="U1948" s="77"/>
      <c r="V1948" s="68"/>
      <c r="W1948" s="71"/>
      <c r="X1948" s="20"/>
    </row>
    <row r="1949">
      <c r="A1949" s="16"/>
      <c r="B1949" s="17"/>
      <c r="E1949" s="17"/>
      <c r="F1949" s="17"/>
      <c r="G1949" s="17"/>
      <c r="H1949" s="10"/>
      <c r="L1949" s="31"/>
      <c r="N1949" s="16"/>
      <c r="O1949" s="16"/>
      <c r="P1949" s="23"/>
      <c r="Q1949" s="17"/>
      <c r="R1949" s="15"/>
      <c r="S1949" s="20"/>
      <c r="T1949" s="68"/>
      <c r="U1949" s="77"/>
      <c r="V1949" s="68"/>
      <c r="W1949" s="71"/>
      <c r="X1949" s="20"/>
    </row>
    <row r="1950">
      <c r="A1950" s="16"/>
      <c r="B1950" s="17"/>
      <c r="E1950" s="17"/>
      <c r="F1950" s="17"/>
      <c r="G1950" s="17"/>
      <c r="H1950" s="10"/>
      <c r="L1950" s="31"/>
      <c r="N1950" s="16"/>
      <c r="O1950" s="16"/>
      <c r="P1950" s="23"/>
      <c r="Q1950" s="17"/>
      <c r="R1950" s="15"/>
      <c r="S1950" s="20"/>
      <c r="T1950" s="68"/>
      <c r="U1950" s="77"/>
      <c r="V1950" s="68"/>
      <c r="W1950" s="71"/>
      <c r="X1950" s="20"/>
    </row>
    <row r="1951">
      <c r="A1951" s="16"/>
      <c r="B1951" s="17"/>
      <c r="E1951" s="17"/>
      <c r="F1951" s="17"/>
      <c r="G1951" s="17"/>
      <c r="H1951" s="10"/>
      <c r="L1951" s="31"/>
      <c r="N1951" s="16"/>
      <c r="O1951" s="16"/>
      <c r="P1951" s="23"/>
      <c r="Q1951" s="17"/>
      <c r="R1951" s="15"/>
      <c r="S1951" s="20"/>
      <c r="T1951" s="68"/>
      <c r="U1951" s="77"/>
      <c r="V1951" s="68"/>
      <c r="W1951" s="71"/>
      <c r="X1951" s="20"/>
    </row>
    <row r="1952">
      <c r="A1952" s="16"/>
      <c r="B1952" s="17"/>
      <c r="E1952" s="17"/>
      <c r="F1952" s="17"/>
      <c r="G1952" s="17"/>
      <c r="H1952" s="10"/>
      <c r="L1952" s="31"/>
      <c r="N1952" s="16"/>
      <c r="O1952" s="16"/>
      <c r="P1952" s="23"/>
      <c r="Q1952" s="17"/>
      <c r="R1952" s="15"/>
      <c r="S1952" s="20"/>
      <c r="T1952" s="68"/>
      <c r="U1952" s="77"/>
      <c r="V1952" s="68"/>
      <c r="W1952" s="71"/>
      <c r="X1952" s="20"/>
    </row>
    <row r="1953">
      <c r="A1953" s="16"/>
      <c r="B1953" s="17"/>
      <c r="E1953" s="17"/>
      <c r="F1953" s="17"/>
      <c r="G1953" s="17"/>
      <c r="H1953" s="10"/>
      <c r="L1953" s="31"/>
      <c r="N1953" s="16"/>
      <c r="O1953" s="16"/>
      <c r="P1953" s="23"/>
      <c r="Q1953" s="17"/>
      <c r="R1953" s="15"/>
      <c r="S1953" s="20"/>
      <c r="T1953" s="68"/>
      <c r="U1953" s="77"/>
      <c r="V1953" s="68"/>
      <c r="W1953" s="71"/>
      <c r="X1953" s="20"/>
    </row>
    <row r="1954">
      <c r="A1954" s="16"/>
      <c r="B1954" s="17"/>
      <c r="E1954" s="17"/>
      <c r="F1954" s="17"/>
      <c r="G1954" s="17"/>
      <c r="H1954" s="10"/>
      <c r="L1954" s="31"/>
      <c r="N1954" s="16"/>
      <c r="O1954" s="16"/>
      <c r="P1954" s="23"/>
      <c r="Q1954" s="17"/>
      <c r="R1954" s="15"/>
      <c r="S1954" s="20"/>
      <c r="T1954" s="68"/>
      <c r="U1954" s="77"/>
      <c r="V1954" s="68"/>
      <c r="W1954" s="71"/>
      <c r="X1954" s="20"/>
    </row>
    <row r="1955">
      <c r="A1955" s="16"/>
      <c r="B1955" s="17"/>
      <c r="E1955" s="17"/>
      <c r="F1955" s="17"/>
      <c r="G1955" s="17"/>
      <c r="H1955" s="10"/>
      <c r="L1955" s="31"/>
      <c r="N1955" s="16"/>
      <c r="O1955" s="16"/>
      <c r="P1955" s="23"/>
      <c r="Q1955" s="17"/>
      <c r="R1955" s="15"/>
      <c r="S1955" s="20"/>
      <c r="T1955" s="68"/>
      <c r="U1955" s="77"/>
      <c r="V1955" s="68"/>
      <c r="W1955" s="71"/>
      <c r="X1955" s="20"/>
    </row>
    <row r="1956">
      <c r="A1956" s="16"/>
      <c r="B1956" s="17"/>
      <c r="E1956" s="17"/>
      <c r="F1956" s="17"/>
      <c r="G1956" s="17"/>
      <c r="H1956" s="10"/>
      <c r="L1956" s="31"/>
      <c r="N1956" s="16"/>
      <c r="O1956" s="16"/>
      <c r="P1956" s="23"/>
      <c r="Q1956" s="17"/>
      <c r="R1956" s="15"/>
      <c r="S1956" s="20"/>
      <c r="T1956" s="68"/>
      <c r="U1956" s="77"/>
      <c r="V1956" s="68"/>
      <c r="W1956" s="71"/>
      <c r="X1956" s="20"/>
    </row>
    <row r="1957">
      <c r="A1957" s="16"/>
      <c r="B1957" s="17"/>
      <c r="E1957" s="17"/>
      <c r="F1957" s="17"/>
      <c r="G1957" s="17"/>
      <c r="H1957" s="10"/>
      <c r="L1957" s="31"/>
      <c r="N1957" s="16"/>
      <c r="O1957" s="16"/>
      <c r="P1957" s="23"/>
      <c r="Q1957" s="17"/>
      <c r="R1957" s="15"/>
      <c r="S1957" s="20"/>
      <c r="T1957" s="68"/>
      <c r="U1957" s="77"/>
      <c r="V1957" s="68"/>
      <c r="W1957" s="71"/>
      <c r="X1957" s="20"/>
    </row>
    <row r="1958">
      <c r="A1958" s="16"/>
      <c r="B1958" s="17"/>
      <c r="E1958" s="17"/>
      <c r="F1958" s="17"/>
      <c r="G1958" s="17"/>
      <c r="H1958" s="10"/>
      <c r="L1958" s="31"/>
      <c r="N1958" s="16"/>
      <c r="O1958" s="16"/>
      <c r="P1958" s="23"/>
      <c r="Q1958" s="17"/>
      <c r="R1958" s="15"/>
      <c r="S1958" s="20"/>
      <c r="T1958" s="68"/>
      <c r="U1958" s="77"/>
      <c r="V1958" s="68"/>
      <c r="W1958" s="71"/>
      <c r="X1958" s="20"/>
    </row>
    <row r="1959">
      <c r="A1959" s="16"/>
      <c r="B1959" s="17"/>
      <c r="E1959" s="17"/>
      <c r="F1959" s="17"/>
      <c r="G1959" s="17"/>
      <c r="H1959" s="10"/>
      <c r="L1959" s="31"/>
      <c r="N1959" s="16"/>
      <c r="O1959" s="16"/>
      <c r="P1959" s="23"/>
      <c r="Q1959" s="17"/>
      <c r="R1959" s="15"/>
      <c r="S1959" s="20"/>
      <c r="T1959" s="68"/>
      <c r="U1959" s="77"/>
      <c r="V1959" s="68"/>
      <c r="W1959" s="71"/>
      <c r="X1959" s="20"/>
    </row>
    <row r="1960">
      <c r="A1960" s="16"/>
      <c r="B1960" s="17"/>
      <c r="E1960" s="17"/>
      <c r="F1960" s="17"/>
      <c r="G1960" s="17"/>
      <c r="H1960" s="10"/>
      <c r="L1960" s="31"/>
      <c r="N1960" s="16"/>
      <c r="O1960" s="16"/>
      <c r="P1960" s="23"/>
      <c r="Q1960" s="17"/>
      <c r="R1960" s="15"/>
      <c r="S1960" s="20"/>
      <c r="T1960" s="68"/>
      <c r="U1960" s="77"/>
      <c r="V1960" s="68"/>
      <c r="W1960" s="71"/>
      <c r="X1960" s="20"/>
    </row>
    <row r="1961">
      <c r="A1961" s="16"/>
      <c r="B1961" s="17"/>
      <c r="E1961" s="17"/>
      <c r="F1961" s="17"/>
      <c r="G1961" s="17"/>
      <c r="H1961" s="10"/>
      <c r="L1961" s="31"/>
      <c r="N1961" s="16"/>
      <c r="O1961" s="16"/>
      <c r="P1961" s="23"/>
      <c r="Q1961" s="17"/>
      <c r="R1961" s="15"/>
      <c r="S1961" s="20"/>
      <c r="T1961" s="68"/>
      <c r="U1961" s="77"/>
      <c r="V1961" s="68"/>
      <c r="W1961" s="71"/>
      <c r="X1961" s="20"/>
    </row>
    <row r="1962">
      <c r="A1962" s="16"/>
      <c r="B1962" s="17"/>
      <c r="E1962" s="17"/>
      <c r="F1962" s="17"/>
      <c r="G1962" s="17"/>
      <c r="H1962" s="10"/>
      <c r="L1962" s="31"/>
      <c r="N1962" s="16"/>
      <c r="O1962" s="16"/>
      <c r="P1962" s="23"/>
      <c r="Q1962" s="17"/>
      <c r="R1962" s="15"/>
      <c r="S1962" s="20"/>
      <c r="T1962" s="68"/>
      <c r="U1962" s="77"/>
      <c r="V1962" s="68"/>
      <c r="W1962" s="71"/>
      <c r="X1962" s="20"/>
    </row>
    <row r="1963">
      <c r="A1963" s="16"/>
      <c r="B1963" s="17"/>
      <c r="E1963" s="17"/>
      <c r="F1963" s="17"/>
      <c r="G1963" s="17"/>
      <c r="H1963" s="10"/>
      <c r="L1963" s="31"/>
      <c r="N1963" s="16"/>
      <c r="O1963" s="16"/>
      <c r="P1963" s="23"/>
      <c r="Q1963" s="17"/>
      <c r="R1963" s="15"/>
      <c r="S1963" s="20"/>
      <c r="T1963" s="68"/>
      <c r="U1963" s="77"/>
      <c r="V1963" s="68"/>
      <c r="W1963" s="71"/>
      <c r="X1963" s="20"/>
    </row>
    <row r="1964">
      <c r="A1964" s="16"/>
      <c r="B1964" s="17"/>
      <c r="E1964" s="17"/>
      <c r="F1964" s="17"/>
      <c r="G1964" s="17"/>
      <c r="H1964" s="10"/>
      <c r="L1964" s="31"/>
      <c r="N1964" s="16"/>
      <c r="O1964" s="16"/>
      <c r="P1964" s="23"/>
      <c r="Q1964" s="17"/>
      <c r="R1964" s="15"/>
      <c r="S1964" s="20"/>
      <c r="T1964" s="68"/>
      <c r="U1964" s="77"/>
      <c r="V1964" s="68"/>
      <c r="W1964" s="71"/>
      <c r="X1964" s="20"/>
    </row>
    <row r="1965">
      <c r="A1965" s="16"/>
      <c r="B1965" s="17"/>
      <c r="E1965" s="17"/>
      <c r="F1965" s="17"/>
      <c r="G1965" s="17"/>
      <c r="H1965" s="10"/>
      <c r="L1965" s="31"/>
      <c r="N1965" s="16"/>
      <c r="O1965" s="16"/>
      <c r="P1965" s="23"/>
      <c r="Q1965" s="17"/>
      <c r="R1965" s="15"/>
      <c r="S1965" s="20"/>
      <c r="T1965" s="68"/>
      <c r="U1965" s="77"/>
      <c r="V1965" s="68"/>
      <c r="W1965" s="71"/>
      <c r="X1965" s="20"/>
    </row>
    <row r="1966">
      <c r="A1966" s="16"/>
      <c r="B1966" s="17"/>
      <c r="E1966" s="17"/>
      <c r="F1966" s="17"/>
      <c r="G1966" s="17"/>
      <c r="H1966" s="10"/>
      <c r="L1966" s="31"/>
      <c r="N1966" s="16"/>
      <c r="O1966" s="16"/>
      <c r="P1966" s="23"/>
      <c r="Q1966" s="17"/>
      <c r="R1966" s="15"/>
      <c r="S1966" s="20"/>
      <c r="T1966" s="68"/>
      <c r="U1966" s="77"/>
      <c r="V1966" s="68"/>
      <c r="W1966" s="71"/>
      <c r="X1966" s="20"/>
    </row>
    <row r="1967">
      <c r="A1967" s="16"/>
      <c r="B1967" s="17"/>
      <c r="E1967" s="17"/>
      <c r="F1967" s="17"/>
      <c r="G1967" s="17"/>
      <c r="H1967" s="10"/>
      <c r="L1967" s="31"/>
      <c r="N1967" s="16"/>
      <c r="O1967" s="16"/>
      <c r="P1967" s="23"/>
      <c r="Q1967" s="17"/>
      <c r="R1967" s="15"/>
      <c r="S1967" s="20"/>
      <c r="T1967" s="68"/>
      <c r="U1967" s="77"/>
      <c r="V1967" s="68"/>
      <c r="W1967" s="71"/>
      <c r="X1967" s="20"/>
    </row>
    <row r="1968">
      <c r="A1968" s="16"/>
      <c r="B1968" s="17"/>
      <c r="E1968" s="17"/>
      <c r="F1968" s="17"/>
      <c r="G1968" s="17"/>
      <c r="H1968" s="10"/>
      <c r="L1968" s="31"/>
      <c r="N1968" s="16"/>
      <c r="O1968" s="16"/>
      <c r="P1968" s="23"/>
      <c r="Q1968" s="17"/>
      <c r="R1968" s="15"/>
      <c r="S1968" s="20"/>
      <c r="T1968" s="68"/>
      <c r="U1968" s="77"/>
      <c r="V1968" s="68"/>
      <c r="W1968" s="71"/>
      <c r="X1968" s="20"/>
    </row>
    <row r="1969">
      <c r="A1969" s="16"/>
      <c r="B1969" s="17"/>
      <c r="E1969" s="17"/>
      <c r="F1969" s="17"/>
      <c r="G1969" s="17"/>
      <c r="H1969" s="10"/>
      <c r="L1969" s="31"/>
      <c r="N1969" s="16"/>
      <c r="O1969" s="16"/>
      <c r="P1969" s="23"/>
      <c r="Q1969" s="17"/>
      <c r="R1969" s="15"/>
      <c r="S1969" s="20"/>
      <c r="T1969" s="68"/>
      <c r="U1969" s="77"/>
      <c r="V1969" s="68"/>
      <c r="W1969" s="71"/>
      <c r="X1969" s="20"/>
    </row>
    <row r="1970">
      <c r="A1970" s="16"/>
      <c r="B1970" s="17"/>
      <c r="E1970" s="17"/>
      <c r="F1970" s="17"/>
      <c r="G1970" s="17"/>
      <c r="H1970" s="10"/>
      <c r="L1970" s="31"/>
      <c r="N1970" s="16"/>
      <c r="O1970" s="16"/>
      <c r="P1970" s="23"/>
      <c r="Q1970" s="17"/>
      <c r="R1970" s="15"/>
      <c r="S1970" s="20"/>
      <c r="T1970" s="68"/>
      <c r="U1970" s="77"/>
      <c r="V1970" s="68"/>
      <c r="W1970" s="71"/>
      <c r="X1970" s="20"/>
    </row>
    <row r="1971">
      <c r="A1971" s="16"/>
      <c r="B1971" s="17"/>
      <c r="E1971" s="17"/>
      <c r="F1971" s="17"/>
      <c r="G1971" s="17"/>
      <c r="H1971" s="10"/>
      <c r="L1971" s="31"/>
      <c r="N1971" s="16"/>
      <c r="O1971" s="16"/>
      <c r="P1971" s="23"/>
      <c r="Q1971" s="17"/>
      <c r="R1971" s="15"/>
      <c r="S1971" s="20"/>
      <c r="T1971" s="68"/>
      <c r="U1971" s="77"/>
      <c r="V1971" s="68"/>
      <c r="W1971" s="71"/>
      <c r="X1971" s="20"/>
    </row>
    <row r="1972">
      <c r="A1972" s="16"/>
      <c r="B1972" s="17"/>
      <c r="E1972" s="17"/>
      <c r="F1972" s="17"/>
      <c r="G1972" s="17"/>
      <c r="H1972" s="10"/>
      <c r="L1972" s="31"/>
      <c r="N1972" s="16"/>
      <c r="O1972" s="16"/>
      <c r="P1972" s="23"/>
      <c r="Q1972" s="17"/>
      <c r="R1972" s="15"/>
      <c r="S1972" s="20"/>
      <c r="T1972" s="68"/>
      <c r="U1972" s="77"/>
      <c r="V1972" s="68"/>
      <c r="W1972" s="71"/>
      <c r="X1972" s="20"/>
    </row>
    <row r="1973">
      <c r="A1973" s="16"/>
      <c r="B1973" s="17"/>
      <c r="E1973" s="17"/>
      <c r="F1973" s="17"/>
      <c r="G1973" s="17"/>
      <c r="H1973" s="10"/>
      <c r="L1973" s="31"/>
      <c r="N1973" s="16"/>
      <c r="O1973" s="16"/>
      <c r="P1973" s="23"/>
      <c r="Q1973" s="17"/>
      <c r="R1973" s="15"/>
      <c r="S1973" s="20"/>
      <c r="T1973" s="68"/>
      <c r="U1973" s="77"/>
      <c r="V1973" s="68"/>
      <c r="W1973" s="71"/>
      <c r="X1973" s="20"/>
    </row>
    <row r="1974">
      <c r="A1974" s="16"/>
      <c r="B1974" s="17"/>
      <c r="E1974" s="17"/>
      <c r="F1974" s="17"/>
      <c r="G1974" s="17"/>
      <c r="H1974" s="10"/>
      <c r="L1974" s="31"/>
      <c r="N1974" s="16"/>
      <c r="O1974" s="16"/>
      <c r="P1974" s="23"/>
      <c r="Q1974" s="17"/>
      <c r="R1974" s="15"/>
      <c r="S1974" s="20"/>
      <c r="T1974" s="68"/>
      <c r="U1974" s="77"/>
      <c r="V1974" s="68"/>
      <c r="W1974" s="71"/>
      <c r="X1974" s="20"/>
    </row>
    <row r="1975">
      <c r="A1975" s="16"/>
      <c r="B1975" s="17"/>
      <c r="E1975" s="17"/>
      <c r="F1975" s="17"/>
      <c r="G1975" s="17"/>
      <c r="H1975" s="10"/>
      <c r="L1975" s="31"/>
      <c r="N1975" s="16"/>
      <c r="O1975" s="16"/>
      <c r="P1975" s="23"/>
      <c r="Q1975" s="17"/>
      <c r="R1975" s="15"/>
      <c r="S1975" s="20"/>
      <c r="T1975" s="68"/>
      <c r="U1975" s="77"/>
      <c r="V1975" s="68"/>
      <c r="W1975" s="71"/>
      <c r="X1975" s="20"/>
    </row>
    <row r="1976">
      <c r="A1976" s="16"/>
      <c r="B1976" s="17"/>
      <c r="E1976" s="17"/>
      <c r="F1976" s="17"/>
      <c r="G1976" s="17"/>
      <c r="H1976" s="10"/>
      <c r="L1976" s="31"/>
      <c r="N1976" s="16"/>
      <c r="O1976" s="16"/>
      <c r="P1976" s="23"/>
      <c r="Q1976" s="17"/>
      <c r="R1976" s="15"/>
      <c r="S1976" s="20"/>
      <c r="T1976" s="68"/>
      <c r="U1976" s="77"/>
      <c r="V1976" s="68"/>
      <c r="W1976" s="71"/>
      <c r="X1976" s="20"/>
    </row>
    <row r="1977">
      <c r="A1977" s="16"/>
      <c r="B1977" s="17"/>
      <c r="E1977" s="17"/>
      <c r="F1977" s="17"/>
      <c r="G1977" s="17"/>
      <c r="H1977" s="10"/>
      <c r="L1977" s="31"/>
      <c r="N1977" s="16"/>
      <c r="O1977" s="16"/>
      <c r="P1977" s="23"/>
      <c r="Q1977" s="17"/>
      <c r="R1977" s="15"/>
      <c r="S1977" s="20"/>
      <c r="T1977" s="68"/>
      <c r="U1977" s="77"/>
      <c r="V1977" s="68"/>
      <c r="W1977" s="71"/>
      <c r="X1977" s="20"/>
    </row>
    <row r="1978">
      <c r="A1978" s="16"/>
      <c r="B1978" s="17"/>
      <c r="E1978" s="17"/>
      <c r="F1978" s="17"/>
      <c r="G1978" s="17"/>
      <c r="H1978" s="10"/>
      <c r="L1978" s="31"/>
      <c r="N1978" s="16"/>
      <c r="O1978" s="16"/>
      <c r="P1978" s="23"/>
      <c r="Q1978" s="17"/>
      <c r="R1978" s="15"/>
      <c r="S1978" s="20"/>
      <c r="T1978" s="68"/>
      <c r="U1978" s="77"/>
      <c r="V1978" s="68"/>
      <c r="W1978" s="71"/>
      <c r="X1978" s="20"/>
    </row>
    <row r="1979">
      <c r="A1979" s="16"/>
      <c r="B1979" s="17"/>
      <c r="E1979" s="17"/>
      <c r="F1979" s="17"/>
      <c r="G1979" s="17"/>
      <c r="H1979" s="10"/>
      <c r="L1979" s="31"/>
      <c r="N1979" s="16"/>
      <c r="O1979" s="16"/>
      <c r="P1979" s="23"/>
      <c r="Q1979" s="17"/>
      <c r="R1979" s="15"/>
      <c r="S1979" s="20"/>
      <c r="T1979" s="68"/>
      <c r="U1979" s="77"/>
      <c r="V1979" s="68"/>
      <c r="W1979" s="71"/>
      <c r="X1979" s="20"/>
    </row>
    <row r="1980">
      <c r="A1980" s="16"/>
      <c r="B1980" s="17"/>
      <c r="E1980" s="17"/>
      <c r="F1980" s="17"/>
      <c r="G1980" s="17"/>
      <c r="H1980" s="10"/>
      <c r="L1980" s="31"/>
      <c r="N1980" s="16"/>
      <c r="O1980" s="16"/>
      <c r="P1980" s="23"/>
      <c r="Q1980" s="17"/>
      <c r="R1980" s="15"/>
      <c r="S1980" s="20"/>
      <c r="T1980" s="68"/>
      <c r="U1980" s="77"/>
      <c r="V1980" s="68"/>
      <c r="W1980" s="71"/>
      <c r="X1980" s="20"/>
    </row>
    <row r="1981">
      <c r="A1981" s="16"/>
      <c r="B1981" s="17"/>
      <c r="E1981" s="17"/>
      <c r="F1981" s="17"/>
      <c r="G1981" s="17"/>
      <c r="H1981" s="10"/>
      <c r="L1981" s="31"/>
      <c r="N1981" s="16"/>
      <c r="O1981" s="16"/>
      <c r="P1981" s="23"/>
      <c r="Q1981" s="17"/>
      <c r="R1981" s="15"/>
      <c r="S1981" s="20"/>
      <c r="T1981" s="68"/>
      <c r="U1981" s="77"/>
      <c r="V1981" s="68"/>
      <c r="W1981" s="71"/>
      <c r="X1981" s="20"/>
    </row>
    <row r="1982">
      <c r="A1982" s="16"/>
      <c r="B1982" s="17"/>
      <c r="E1982" s="17"/>
      <c r="F1982" s="17"/>
      <c r="G1982" s="17"/>
      <c r="H1982" s="10"/>
      <c r="L1982" s="31"/>
      <c r="N1982" s="16"/>
      <c r="O1982" s="16"/>
      <c r="P1982" s="23"/>
      <c r="Q1982" s="17"/>
      <c r="R1982" s="15"/>
      <c r="S1982" s="20"/>
      <c r="T1982" s="68"/>
      <c r="U1982" s="77"/>
      <c r="V1982" s="68"/>
      <c r="W1982" s="71"/>
      <c r="X1982" s="20"/>
    </row>
    <row r="1983">
      <c r="A1983" s="16"/>
      <c r="B1983" s="17"/>
      <c r="E1983" s="17"/>
      <c r="F1983" s="17"/>
      <c r="G1983" s="17"/>
      <c r="H1983" s="10"/>
      <c r="L1983" s="31"/>
      <c r="N1983" s="16"/>
      <c r="O1983" s="16"/>
      <c r="P1983" s="23"/>
      <c r="Q1983" s="17"/>
      <c r="R1983" s="15"/>
      <c r="S1983" s="20"/>
      <c r="T1983" s="68"/>
      <c r="U1983" s="77"/>
      <c r="V1983" s="68"/>
      <c r="W1983" s="71"/>
      <c r="X1983" s="20"/>
    </row>
    <row r="1984">
      <c r="A1984" s="16"/>
      <c r="B1984" s="17"/>
      <c r="E1984" s="17"/>
      <c r="F1984" s="17"/>
      <c r="G1984" s="17"/>
      <c r="H1984" s="10"/>
      <c r="L1984" s="31"/>
      <c r="N1984" s="16"/>
      <c r="O1984" s="16"/>
      <c r="P1984" s="23"/>
      <c r="Q1984" s="17"/>
      <c r="R1984" s="15"/>
      <c r="S1984" s="20"/>
      <c r="T1984" s="68"/>
      <c r="U1984" s="77"/>
      <c r="V1984" s="68"/>
      <c r="W1984" s="71"/>
      <c r="X1984" s="20"/>
    </row>
    <row r="1985">
      <c r="A1985" s="16"/>
      <c r="B1985" s="17"/>
      <c r="E1985" s="17"/>
      <c r="F1985" s="17"/>
      <c r="G1985" s="17"/>
      <c r="H1985" s="10"/>
      <c r="L1985" s="31"/>
      <c r="N1985" s="16"/>
      <c r="O1985" s="16"/>
      <c r="P1985" s="23"/>
      <c r="Q1985" s="17"/>
      <c r="R1985" s="15"/>
      <c r="S1985" s="20"/>
      <c r="T1985" s="68"/>
      <c r="U1985" s="77"/>
      <c r="V1985" s="68"/>
      <c r="W1985" s="71"/>
      <c r="X1985" s="20"/>
    </row>
    <row r="1986">
      <c r="A1986" s="16"/>
      <c r="B1986" s="17"/>
      <c r="E1986" s="17"/>
      <c r="F1986" s="17"/>
      <c r="G1986" s="17"/>
      <c r="H1986" s="10"/>
      <c r="L1986" s="31"/>
      <c r="N1986" s="16"/>
      <c r="O1986" s="16"/>
      <c r="P1986" s="23"/>
      <c r="Q1986" s="17"/>
      <c r="R1986" s="15"/>
      <c r="S1986" s="20"/>
      <c r="T1986" s="68"/>
      <c r="U1986" s="77"/>
      <c r="V1986" s="68"/>
      <c r="W1986" s="71"/>
      <c r="X1986" s="20"/>
    </row>
    <row r="1987">
      <c r="A1987" s="16"/>
      <c r="B1987" s="17"/>
      <c r="E1987" s="17"/>
      <c r="F1987" s="17"/>
      <c r="G1987" s="17"/>
      <c r="H1987" s="10"/>
      <c r="L1987" s="31"/>
      <c r="N1987" s="16"/>
      <c r="O1987" s="16"/>
      <c r="P1987" s="23"/>
      <c r="Q1987" s="17"/>
      <c r="R1987" s="15"/>
      <c r="S1987" s="20"/>
      <c r="T1987" s="68"/>
      <c r="U1987" s="77"/>
      <c r="V1987" s="68"/>
      <c r="W1987" s="71"/>
      <c r="X1987" s="20"/>
    </row>
    <row r="1988">
      <c r="A1988" s="16"/>
      <c r="B1988" s="17"/>
      <c r="E1988" s="17"/>
      <c r="F1988" s="17"/>
      <c r="G1988" s="17"/>
      <c r="H1988" s="10"/>
      <c r="L1988" s="31"/>
      <c r="N1988" s="16"/>
      <c r="O1988" s="16"/>
      <c r="P1988" s="23"/>
      <c r="Q1988" s="17"/>
      <c r="R1988" s="15"/>
      <c r="S1988" s="20"/>
      <c r="T1988" s="68"/>
      <c r="U1988" s="77"/>
      <c r="V1988" s="68"/>
      <c r="W1988" s="71"/>
      <c r="X1988" s="20"/>
    </row>
    <row r="1989">
      <c r="A1989" s="16"/>
      <c r="B1989" s="17"/>
      <c r="E1989" s="17"/>
      <c r="F1989" s="17"/>
      <c r="G1989" s="17"/>
      <c r="H1989" s="10"/>
      <c r="L1989" s="31"/>
      <c r="N1989" s="16"/>
      <c r="O1989" s="16"/>
      <c r="P1989" s="23"/>
      <c r="Q1989" s="17"/>
      <c r="R1989" s="15"/>
      <c r="S1989" s="20"/>
      <c r="T1989" s="68"/>
      <c r="U1989" s="77"/>
      <c r="V1989" s="68"/>
      <c r="W1989" s="71"/>
      <c r="X1989" s="20"/>
    </row>
    <row r="1990">
      <c r="A1990" s="16"/>
      <c r="B1990" s="17"/>
      <c r="E1990" s="17"/>
      <c r="F1990" s="17"/>
      <c r="G1990" s="17"/>
      <c r="H1990" s="10"/>
      <c r="L1990" s="31"/>
      <c r="N1990" s="16"/>
      <c r="O1990" s="16"/>
      <c r="P1990" s="23"/>
      <c r="Q1990" s="17"/>
      <c r="R1990" s="15"/>
      <c r="S1990" s="20"/>
      <c r="T1990" s="68"/>
      <c r="U1990" s="77"/>
      <c r="V1990" s="68"/>
      <c r="W1990" s="71"/>
      <c r="X1990" s="20"/>
    </row>
    <row r="1991">
      <c r="A1991" s="16"/>
      <c r="B1991" s="17"/>
      <c r="E1991" s="17"/>
      <c r="F1991" s="17"/>
      <c r="G1991" s="17"/>
      <c r="H1991" s="10"/>
      <c r="L1991" s="31"/>
      <c r="N1991" s="16"/>
      <c r="O1991" s="16"/>
      <c r="P1991" s="23"/>
      <c r="Q1991" s="17"/>
      <c r="R1991" s="15"/>
      <c r="S1991" s="20"/>
      <c r="T1991" s="68"/>
      <c r="U1991" s="77"/>
      <c r="V1991" s="68"/>
      <c r="W1991" s="71"/>
      <c r="X1991" s="20"/>
    </row>
    <row r="1992">
      <c r="A1992" s="16"/>
      <c r="B1992" s="17"/>
      <c r="E1992" s="17"/>
      <c r="F1992" s="17"/>
      <c r="G1992" s="17"/>
      <c r="H1992" s="10"/>
      <c r="L1992" s="31"/>
      <c r="N1992" s="16"/>
      <c r="O1992" s="16"/>
      <c r="P1992" s="23"/>
      <c r="Q1992" s="17"/>
      <c r="R1992" s="15"/>
      <c r="S1992" s="20"/>
      <c r="T1992" s="68"/>
      <c r="U1992" s="77"/>
      <c r="V1992" s="68"/>
      <c r="W1992" s="71"/>
      <c r="X1992" s="20"/>
    </row>
    <row r="1993">
      <c r="A1993" s="16"/>
      <c r="B1993" s="17"/>
      <c r="E1993" s="17"/>
      <c r="F1993" s="17"/>
      <c r="G1993" s="17"/>
      <c r="H1993" s="10"/>
      <c r="L1993" s="31"/>
      <c r="N1993" s="16"/>
      <c r="O1993" s="16"/>
      <c r="P1993" s="23"/>
      <c r="Q1993" s="17"/>
      <c r="R1993" s="15"/>
      <c r="S1993" s="20"/>
      <c r="T1993" s="68"/>
      <c r="U1993" s="77"/>
      <c r="V1993" s="68"/>
      <c r="W1993" s="71"/>
      <c r="X1993" s="20"/>
    </row>
    <row r="1994">
      <c r="A1994" s="16"/>
      <c r="B1994" s="17"/>
      <c r="E1994" s="17"/>
      <c r="F1994" s="17"/>
      <c r="G1994" s="17"/>
      <c r="H1994" s="10"/>
      <c r="L1994" s="31"/>
      <c r="N1994" s="16"/>
      <c r="O1994" s="16"/>
      <c r="P1994" s="23"/>
      <c r="Q1994" s="17"/>
      <c r="R1994" s="15"/>
      <c r="S1994" s="20"/>
      <c r="T1994" s="68"/>
      <c r="U1994" s="77"/>
      <c r="V1994" s="68"/>
      <c r="W1994" s="71"/>
      <c r="X1994" s="20"/>
    </row>
    <row r="1995">
      <c r="A1995" s="16"/>
      <c r="B1995" s="17"/>
      <c r="E1995" s="17"/>
      <c r="F1995" s="17"/>
      <c r="G1995" s="17"/>
      <c r="H1995" s="10"/>
      <c r="L1995" s="31"/>
      <c r="N1995" s="16"/>
      <c r="O1995" s="16"/>
      <c r="P1995" s="23"/>
      <c r="Q1995" s="17"/>
      <c r="R1995" s="15"/>
      <c r="S1995" s="20"/>
      <c r="T1995" s="68"/>
      <c r="U1995" s="77"/>
      <c r="V1995" s="68"/>
      <c r="W1995" s="71"/>
      <c r="X1995" s="20"/>
    </row>
    <row r="1996">
      <c r="A1996" s="16"/>
      <c r="B1996" s="17"/>
      <c r="E1996" s="17"/>
      <c r="F1996" s="17"/>
      <c r="G1996" s="17"/>
      <c r="H1996" s="10"/>
      <c r="L1996" s="31"/>
      <c r="N1996" s="16"/>
      <c r="O1996" s="16"/>
      <c r="P1996" s="23"/>
      <c r="Q1996" s="17"/>
      <c r="R1996" s="15"/>
      <c r="S1996" s="20"/>
      <c r="T1996" s="68"/>
      <c r="U1996" s="77"/>
      <c r="V1996" s="68"/>
      <c r="W1996" s="71"/>
      <c r="X1996" s="20"/>
    </row>
    <row r="1997">
      <c r="A1997" s="16"/>
      <c r="B1997" s="17"/>
      <c r="E1997" s="17"/>
      <c r="F1997" s="17"/>
      <c r="G1997" s="17"/>
      <c r="H1997" s="10"/>
      <c r="L1997" s="31"/>
      <c r="N1997" s="16"/>
      <c r="O1997" s="16"/>
      <c r="P1997" s="23"/>
      <c r="Q1997" s="17"/>
      <c r="R1997" s="15"/>
      <c r="S1997" s="20"/>
      <c r="T1997" s="68"/>
      <c r="U1997" s="77"/>
      <c r="V1997" s="68"/>
      <c r="W1997" s="71"/>
      <c r="X1997" s="20"/>
    </row>
    <row r="1998">
      <c r="A1998" s="16"/>
      <c r="B1998" s="17"/>
      <c r="E1998" s="17"/>
      <c r="F1998" s="17"/>
      <c r="G1998" s="17"/>
      <c r="H1998" s="10"/>
      <c r="L1998" s="31"/>
      <c r="N1998" s="16"/>
      <c r="O1998" s="16"/>
      <c r="P1998" s="23"/>
      <c r="Q1998" s="17"/>
      <c r="R1998" s="15"/>
      <c r="S1998" s="20"/>
      <c r="T1998" s="68"/>
      <c r="U1998" s="77"/>
      <c r="V1998" s="68"/>
      <c r="W1998" s="71"/>
      <c r="X1998" s="20"/>
    </row>
    <row r="1999">
      <c r="A1999" s="16"/>
      <c r="B1999" s="17"/>
      <c r="E1999" s="17"/>
      <c r="F1999" s="17"/>
      <c r="G1999" s="17"/>
      <c r="H1999" s="10"/>
      <c r="L1999" s="31"/>
      <c r="N1999" s="16"/>
      <c r="O1999" s="16"/>
      <c r="P1999" s="23"/>
      <c r="Q1999" s="17"/>
      <c r="R1999" s="15"/>
      <c r="S1999" s="20"/>
      <c r="T1999" s="68"/>
      <c r="U1999" s="77"/>
      <c r="V1999" s="68"/>
      <c r="W1999" s="71"/>
      <c r="X1999" s="20"/>
    </row>
    <row r="2000">
      <c r="A2000" s="16"/>
      <c r="B2000" s="17"/>
      <c r="E2000" s="17"/>
      <c r="F2000" s="17"/>
      <c r="G2000" s="17"/>
      <c r="H2000" s="10"/>
      <c r="L2000" s="31"/>
      <c r="N2000" s="16"/>
      <c r="O2000" s="16"/>
      <c r="P2000" s="23"/>
      <c r="Q2000" s="17"/>
      <c r="R2000" s="15"/>
      <c r="S2000" s="20"/>
      <c r="T2000" s="68"/>
      <c r="U2000" s="77"/>
      <c r="V2000" s="68"/>
      <c r="W2000" s="71"/>
      <c r="X2000" s="20"/>
    </row>
    <row r="2001">
      <c r="A2001" s="16"/>
      <c r="B2001" s="17"/>
      <c r="E2001" s="17"/>
      <c r="F2001" s="17"/>
      <c r="G2001" s="17"/>
      <c r="H2001" s="10"/>
      <c r="L2001" s="31"/>
      <c r="N2001" s="16"/>
      <c r="O2001" s="16"/>
      <c r="P2001" s="23"/>
      <c r="Q2001" s="17"/>
      <c r="R2001" s="15"/>
      <c r="S2001" s="20"/>
      <c r="T2001" s="68"/>
      <c r="U2001" s="77"/>
      <c r="V2001" s="68"/>
      <c r="W2001" s="71"/>
      <c r="X2001" s="20"/>
    </row>
    <row r="2002">
      <c r="A2002" s="16"/>
      <c r="B2002" s="17"/>
      <c r="E2002" s="17"/>
      <c r="F2002" s="17"/>
      <c r="G2002" s="17"/>
      <c r="H2002" s="10"/>
      <c r="L2002" s="31"/>
      <c r="N2002" s="16"/>
      <c r="O2002" s="16"/>
      <c r="P2002" s="23"/>
      <c r="Q2002" s="17"/>
      <c r="R2002" s="15"/>
      <c r="S2002" s="20"/>
      <c r="T2002" s="68"/>
      <c r="U2002" s="77"/>
      <c r="V2002" s="68"/>
      <c r="W2002" s="71"/>
      <c r="X2002" s="20"/>
    </row>
    <row r="2003">
      <c r="A2003" s="16"/>
      <c r="B2003" s="17"/>
      <c r="E2003" s="17"/>
      <c r="F2003" s="17"/>
      <c r="G2003" s="17"/>
      <c r="H2003" s="10"/>
      <c r="L2003" s="31"/>
      <c r="N2003" s="16"/>
      <c r="O2003" s="16"/>
      <c r="P2003" s="23"/>
      <c r="Q2003" s="17"/>
      <c r="R2003" s="15"/>
      <c r="S2003" s="20"/>
      <c r="T2003" s="68"/>
      <c r="U2003" s="77"/>
      <c r="V2003" s="68"/>
      <c r="W2003" s="71"/>
      <c r="X2003" s="20"/>
    </row>
    <row r="2004">
      <c r="A2004" s="16"/>
      <c r="B2004" s="17"/>
      <c r="E2004" s="17"/>
      <c r="F2004" s="17"/>
      <c r="G2004" s="17"/>
      <c r="H2004" s="10"/>
      <c r="L2004" s="31"/>
      <c r="N2004" s="16"/>
      <c r="O2004" s="16"/>
      <c r="P2004" s="23"/>
      <c r="Q2004" s="17"/>
      <c r="R2004" s="15"/>
      <c r="S2004" s="20"/>
      <c r="T2004" s="68"/>
      <c r="U2004" s="77"/>
      <c r="V2004" s="68"/>
      <c r="W2004" s="71"/>
      <c r="X2004" s="20"/>
    </row>
    <row r="2005">
      <c r="A2005" s="16"/>
      <c r="B2005" s="17"/>
      <c r="E2005" s="17"/>
      <c r="F2005" s="17"/>
      <c r="G2005" s="17"/>
      <c r="H2005" s="10"/>
      <c r="L2005" s="31"/>
      <c r="N2005" s="16"/>
      <c r="O2005" s="16"/>
      <c r="P2005" s="23"/>
      <c r="Q2005" s="17"/>
      <c r="R2005" s="15"/>
      <c r="S2005" s="20"/>
      <c r="T2005" s="68"/>
      <c r="U2005" s="77"/>
      <c r="V2005" s="68"/>
      <c r="W2005" s="71"/>
      <c r="X2005" s="20"/>
    </row>
    <row r="2006">
      <c r="A2006" s="16"/>
      <c r="B2006" s="17"/>
      <c r="E2006" s="17"/>
      <c r="F2006" s="17"/>
      <c r="G2006" s="17"/>
      <c r="H2006" s="10"/>
      <c r="L2006" s="31"/>
      <c r="N2006" s="16"/>
      <c r="O2006" s="16"/>
      <c r="P2006" s="23"/>
      <c r="Q2006" s="17"/>
      <c r="R2006" s="15"/>
      <c r="S2006" s="20"/>
      <c r="T2006" s="68"/>
      <c r="U2006" s="77"/>
      <c r="V2006" s="68"/>
      <c r="W2006" s="71"/>
      <c r="X2006" s="20"/>
    </row>
    <row r="2007">
      <c r="A2007" s="16"/>
      <c r="B2007" s="17"/>
      <c r="E2007" s="17"/>
      <c r="F2007" s="17"/>
      <c r="G2007" s="17"/>
      <c r="H2007" s="10"/>
      <c r="L2007" s="31"/>
      <c r="N2007" s="16"/>
      <c r="O2007" s="16"/>
      <c r="P2007" s="23"/>
      <c r="Q2007" s="17"/>
      <c r="R2007" s="15"/>
      <c r="S2007" s="20"/>
      <c r="T2007" s="68"/>
      <c r="U2007" s="77"/>
      <c r="V2007" s="68"/>
      <c r="W2007" s="71"/>
      <c r="X2007" s="20"/>
    </row>
    <row r="2008">
      <c r="A2008" s="16"/>
      <c r="B2008" s="17"/>
      <c r="E2008" s="17"/>
      <c r="F2008" s="17"/>
      <c r="G2008" s="17"/>
      <c r="H2008" s="10"/>
      <c r="L2008" s="31"/>
      <c r="N2008" s="16"/>
      <c r="O2008" s="16"/>
      <c r="P2008" s="23"/>
      <c r="Q2008" s="17"/>
      <c r="R2008" s="15"/>
      <c r="S2008" s="20"/>
      <c r="T2008" s="68"/>
      <c r="U2008" s="77"/>
      <c r="V2008" s="68"/>
      <c r="W2008" s="71"/>
      <c r="X2008" s="20"/>
    </row>
    <row r="2009">
      <c r="A2009" s="16"/>
      <c r="B2009" s="17"/>
      <c r="E2009" s="17"/>
      <c r="F2009" s="17"/>
      <c r="G2009" s="17"/>
      <c r="H2009" s="10"/>
      <c r="L2009" s="31"/>
      <c r="N2009" s="16"/>
      <c r="O2009" s="16"/>
      <c r="P2009" s="23"/>
      <c r="Q2009" s="17"/>
      <c r="R2009" s="15"/>
      <c r="S2009" s="20"/>
      <c r="T2009" s="68"/>
      <c r="U2009" s="77"/>
      <c r="V2009" s="68"/>
      <c r="W2009" s="71"/>
      <c r="X2009" s="20"/>
    </row>
    <row r="2010">
      <c r="A2010" s="16"/>
      <c r="B2010" s="17"/>
      <c r="E2010" s="17"/>
      <c r="F2010" s="17"/>
      <c r="G2010" s="17"/>
      <c r="H2010" s="10"/>
      <c r="L2010" s="31"/>
      <c r="N2010" s="16"/>
      <c r="O2010" s="16"/>
      <c r="P2010" s="23"/>
      <c r="Q2010" s="17"/>
      <c r="R2010" s="15"/>
      <c r="S2010" s="20"/>
      <c r="T2010" s="68"/>
      <c r="U2010" s="77"/>
      <c r="V2010" s="68"/>
      <c r="W2010" s="71"/>
      <c r="X2010" s="20"/>
    </row>
    <row r="2011">
      <c r="A2011" s="16"/>
      <c r="B2011" s="17"/>
      <c r="E2011" s="17"/>
      <c r="F2011" s="17"/>
      <c r="G2011" s="17"/>
      <c r="H2011" s="10"/>
      <c r="L2011" s="31"/>
      <c r="N2011" s="16"/>
      <c r="O2011" s="16"/>
      <c r="P2011" s="23"/>
      <c r="Q2011" s="17"/>
      <c r="R2011" s="15"/>
      <c r="S2011" s="20"/>
      <c r="T2011" s="68"/>
      <c r="U2011" s="77"/>
      <c r="V2011" s="68"/>
      <c r="W2011" s="71"/>
      <c r="X2011" s="20"/>
    </row>
    <row r="2012">
      <c r="A2012" s="16"/>
      <c r="B2012" s="17"/>
      <c r="E2012" s="17"/>
      <c r="F2012" s="17"/>
      <c r="G2012" s="17"/>
      <c r="H2012" s="10"/>
      <c r="L2012" s="31"/>
      <c r="N2012" s="16"/>
      <c r="O2012" s="16"/>
      <c r="P2012" s="23"/>
      <c r="Q2012" s="17"/>
      <c r="R2012" s="15"/>
      <c r="S2012" s="20"/>
      <c r="T2012" s="68"/>
      <c r="U2012" s="77"/>
      <c r="V2012" s="68"/>
      <c r="W2012" s="71"/>
      <c r="X2012" s="20"/>
    </row>
    <row r="2013">
      <c r="A2013" s="16"/>
      <c r="B2013" s="17"/>
      <c r="E2013" s="17"/>
      <c r="F2013" s="17"/>
      <c r="G2013" s="17"/>
      <c r="H2013" s="10"/>
      <c r="L2013" s="31"/>
      <c r="N2013" s="16"/>
      <c r="O2013" s="16"/>
      <c r="P2013" s="23"/>
      <c r="Q2013" s="17"/>
      <c r="R2013" s="15"/>
      <c r="S2013" s="20"/>
      <c r="T2013" s="68"/>
      <c r="U2013" s="77"/>
      <c r="V2013" s="68"/>
      <c r="W2013" s="71"/>
      <c r="X2013" s="20"/>
    </row>
    <row r="2014">
      <c r="A2014" s="16"/>
      <c r="B2014" s="17"/>
      <c r="E2014" s="17"/>
      <c r="F2014" s="17"/>
      <c r="G2014" s="17"/>
      <c r="H2014" s="10"/>
      <c r="L2014" s="31"/>
      <c r="N2014" s="16"/>
      <c r="O2014" s="16"/>
      <c r="P2014" s="23"/>
      <c r="Q2014" s="17"/>
      <c r="R2014" s="15"/>
      <c r="S2014" s="20"/>
      <c r="T2014" s="68"/>
      <c r="U2014" s="77"/>
      <c r="V2014" s="68"/>
      <c r="W2014" s="71"/>
      <c r="X2014" s="20"/>
    </row>
    <row r="2015">
      <c r="A2015" s="16"/>
      <c r="B2015" s="17"/>
      <c r="E2015" s="17"/>
      <c r="F2015" s="17"/>
      <c r="G2015" s="17"/>
      <c r="H2015" s="10"/>
      <c r="L2015" s="31"/>
      <c r="N2015" s="16"/>
      <c r="O2015" s="16"/>
      <c r="P2015" s="23"/>
      <c r="Q2015" s="17"/>
      <c r="R2015" s="15"/>
      <c r="S2015" s="20"/>
      <c r="T2015" s="68"/>
      <c r="U2015" s="77"/>
      <c r="V2015" s="68"/>
      <c r="W2015" s="71"/>
      <c r="X2015" s="20"/>
    </row>
    <row r="2016">
      <c r="A2016" s="16"/>
      <c r="B2016" s="17"/>
      <c r="E2016" s="17"/>
      <c r="F2016" s="17"/>
      <c r="G2016" s="17"/>
      <c r="H2016" s="10"/>
      <c r="L2016" s="31"/>
      <c r="N2016" s="16"/>
      <c r="O2016" s="16"/>
      <c r="P2016" s="23"/>
      <c r="Q2016" s="17"/>
      <c r="R2016" s="15"/>
      <c r="S2016" s="20"/>
      <c r="T2016" s="68"/>
      <c r="U2016" s="77"/>
      <c r="V2016" s="68"/>
      <c r="W2016" s="71"/>
      <c r="X2016" s="20"/>
    </row>
    <row r="2017">
      <c r="A2017" s="16"/>
      <c r="B2017" s="17"/>
      <c r="E2017" s="17"/>
      <c r="F2017" s="17"/>
      <c r="G2017" s="17"/>
      <c r="H2017" s="10"/>
      <c r="L2017" s="31"/>
      <c r="N2017" s="16"/>
      <c r="O2017" s="16"/>
      <c r="P2017" s="23"/>
      <c r="Q2017" s="17"/>
      <c r="R2017" s="15"/>
      <c r="S2017" s="20"/>
      <c r="T2017" s="68"/>
      <c r="U2017" s="77"/>
      <c r="V2017" s="68"/>
      <c r="W2017" s="71"/>
      <c r="X2017" s="20"/>
    </row>
    <row r="2018">
      <c r="A2018" s="16"/>
      <c r="B2018" s="17"/>
      <c r="E2018" s="17"/>
      <c r="F2018" s="17"/>
      <c r="G2018" s="17"/>
      <c r="H2018" s="10"/>
      <c r="L2018" s="31"/>
      <c r="N2018" s="16"/>
      <c r="O2018" s="16"/>
      <c r="P2018" s="23"/>
      <c r="Q2018" s="17"/>
      <c r="R2018" s="15"/>
      <c r="S2018" s="20"/>
      <c r="T2018" s="68"/>
      <c r="U2018" s="77"/>
      <c r="V2018" s="68"/>
      <c r="W2018" s="71"/>
      <c r="X2018" s="20"/>
    </row>
    <row r="2019">
      <c r="A2019" s="16"/>
      <c r="B2019" s="17"/>
      <c r="E2019" s="17"/>
      <c r="F2019" s="17"/>
      <c r="G2019" s="17"/>
      <c r="H2019" s="10"/>
      <c r="L2019" s="31"/>
      <c r="N2019" s="16"/>
      <c r="O2019" s="16"/>
      <c r="P2019" s="23"/>
      <c r="Q2019" s="17"/>
      <c r="R2019" s="15"/>
      <c r="S2019" s="20"/>
      <c r="T2019" s="68"/>
      <c r="U2019" s="77"/>
      <c r="V2019" s="68"/>
      <c r="W2019" s="71"/>
      <c r="X2019" s="20"/>
    </row>
    <row r="2020">
      <c r="A2020" s="16"/>
      <c r="B2020" s="17"/>
      <c r="E2020" s="17"/>
      <c r="F2020" s="17"/>
      <c r="G2020" s="17"/>
      <c r="H2020" s="10"/>
      <c r="L2020" s="31"/>
      <c r="N2020" s="16"/>
      <c r="O2020" s="16"/>
      <c r="P2020" s="23"/>
      <c r="Q2020" s="17"/>
      <c r="R2020" s="15"/>
      <c r="S2020" s="20"/>
      <c r="T2020" s="68"/>
      <c r="U2020" s="77"/>
      <c r="V2020" s="68"/>
      <c r="W2020" s="71"/>
      <c r="X2020" s="20"/>
    </row>
    <row r="2021">
      <c r="A2021" s="16"/>
      <c r="B2021" s="17"/>
      <c r="E2021" s="17"/>
      <c r="F2021" s="17"/>
      <c r="G2021" s="17"/>
      <c r="H2021" s="10"/>
      <c r="L2021" s="31"/>
      <c r="N2021" s="16"/>
      <c r="O2021" s="16"/>
      <c r="P2021" s="23"/>
      <c r="Q2021" s="17"/>
      <c r="R2021" s="15"/>
      <c r="S2021" s="20"/>
      <c r="T2021" s="68"/>
      <c r="U2021" s="77"/>
      <c r="V2021" s="68"/>
      <c r="W2021" s="71"/>
      <c r="X2021" s="20"/>
    </row>
    <row r="2022">
      <c r="A2022" s="16"/>
      <c r="B2022" s="17"/>
      <c r="E2022" s="17"/>
      <c r="F2022" s="17"/>
      <c r="G2022" s="17"/>
      <c r="H2022" s="10"/>
      <c r="L2022" s="31"/>
      <c r="N2022" s="16"/>
      <c r="O2022" s="16"/>
      <c r="P2022" s="23"/>
      <c r="Q2022" s="17"/>
      <c r="R2022" s="15"/>
      <c r="S2022" s="20"/>
      <c r="T2022" s="68"/>
      <c r="U2022" s="77"/>
      <c r="V2022" s="68"/>
      <c r="W2022" s="71"/>
      <c r="X2022" s="20"/>
    </row>
    <row r="2023">
      <c r="A2023" s="16"/>
      <c r="B2023" s="17"/>
      <c r="E2023" s="17"/>
      <c r="F2023" s="17"/>
      <c r="G2023" s="17"/>
      <c r="H2023" s="10"/>
      <c r="L2023" s="31"/>
      <c r="N2023" s="16"/>
      <c r="O2023" s="16"/>
      <c r="P2023" s="23"/>
      <c r="Q2023" s="17"/>
      <c r="R2023" s="15"/>
      <c r="S2023" s="20"/>
      <c r="T2023" s="68"/>
      <c r="U2023" s="77"/>
      <c r="V2023" s="68"/>
      <c r="W2023" s="71"/>
      <c r="X2023" s="20"/>
    </row>
    <row r="2024">
      <c r="A2024" s="16"/>
      <c r="B2024" s="17"/>
      <c r="E2024" s="17"/>
      <c r="F2024" s="17"/>
      <c r="G2024" s="17"/>
      <c r="H2024" s="10"/>
      <c r="L2024" s="31"/>
      <c r="N2024" s="16"/>
      <c r="O2024" s="16"/>
      <c r="P2024" s="23"/>
      <c r="Q2024" s="17"/>
      <c r="R2024" s="15"/>
      <c r="S2024" s="20"/>
      <c r="T2024" s="68"/>
      <c r="U2024" s="77"/>
      <c r="V2024" s="68"/>
      <c r="W2024" s="71"/>
      <c r="X2024" s="20"/>
    </row>
    <row r="2025">
      <c r="A2025" s="16"/>
      <c r="B2025" s="17"/>
      <c r="E2025" s="17"/>
      <c r="F2025" s="17"/>
      <c r="G2025" s="17"/>
      <c r="H2025" s="10"/>
      <c r="L2025" s="31"/>
      <c r="N2025" s="16"/>
      <c r="O2025" s="16"/>
      <c r="P2025" s="23"/>
      <c r="Q2025" s="17"/>
      <c r="R2025" s="15"/>
      <c r="S2025" s="20"/>
      <c r="T2025" s="68"/>
      <c r="U2025" s="77"/>
      <c r="V2025" s="68"/>
      <c r="W2025" s="71"/>
      <c r="X2025" s="20"/>
    </row>
    <row r="2026">
      <c r="A2026" s="16"/>
      <c r="B2026" s="17"/>
      <c r="E2026" s="17"/>
      <c r="F2026" s="17"/>
      <c r="G2026" s="17"/>
      <c r="H2026" s="10"/>
      <c r="L2026" s="31"/>
      <c r="N2026" s="16"/>
      <c r="O2026" s="16"/>
      <c r="P2026" s="23"/>
      <c r="Q2026" s="17"/>
      <c r="R2026" s="15"/>
      <c r="S2026" s="20"/>
      <c r="T2026" s="68"/>
      <c r="U2026" s="77"/>
      <c r="V2026" s="68"/>
      <c r="W2026" s="71"/>
      <c r="X2026" s="20"/>
    </row>
    <row r="2027">
      <c r="A2027" s="16"/>
      <c r="B2027" s="17"/>
      <c r="E2027" s="17"/>
      <c r="F2027" s="17"/>
      <c r="G2027" s="17"/>
      <c r="H2027" s="10"/>
      <c r="L2027" s="31"/>
      <c r="N2027" s="16"/>
      <c r="O2027" s="16"/>
      <c r="P2027" s="23"/>
      <c r="Q2027" s="17"/>
      <c r="R2027" s="15"/>
      <c r="S2027" s="20"/>
      <c r="T2027" s="68"/>
      <c r="U2027" s="77"/>
      <c r="V2027" s="68"/>
      <c r="W2027" s="71"/>
      <c r="X2027" s="20"/>
    </row>
    <row r="2028">
      <c r="A2028" s="16"/>
      <c r="B2028" s="17"/>
      <c r="E2028" s="17"/>
      <c r="F2028" s="17"/>
      <c r="G2028" s="17"/>
      <c r="H2028" s="10"/>
      <c r="L2028" s="31"/>
      <c r="N2028" s="16"/>
      <c r="O2028" s="16"/>
      <c r="P2028" s="23"/>
      <c r="Q2028" s="17"/>
      <c r="R2028" s="15"/>
      <c r="S2028" s="20"/>
      <c r="T2028" s="68"/>
      <c r="U2028" s="77"/>
      <c r="V2028" s="68"/>
      <c r="W2028" s="71"/>
      <c r="X2028" s="20"/>
    </row>
    <row r="2029">
      <c r="A2029" s="16"/>
      <c r="B2029" s="17"/>
      <c r="E2029" s="17"/>
      <c r="F2029" s="17"/>
      <c r="G2029" s="17"/>
      <c r="H2029" s="10"/>
      <c r="L2029" s="31"/>
      <c r="N2029" s="16"/>
      <c r="O2029" s="16"/>
      <c r="P2029" s="23"/>
      <c r="Q2029" s="17"/>
      <c r="R2029" s="15"/>
      <c r="S2029" s="20"/>
      <c r="T2029" s="68"/>
      <c r="U2029" s="77"/>
      <c r="V2029" s="68"/>
      <c r="W2029" s="71"/>
      <c r="X2029" s="20"/>
    </row>
    <row r="2030">
      <c r="A2030" s="16"/>
      <c r="B2030" s="17"/>
      <c r="E2030" s="17"/>
      <c r="F2030" s="17"/>
      <c r="G2030" s="17"/>
      <c r="H2030" s="10"/>
      <c r="L2030" s="31"/>
      <c r="N2030" s="16"/>
      <c r="O2030" s="16"/>
      <c r="P2030" s="23"/>
      <c r="Q2030" s="17"/>
      <c r="R2030" s="15"/>
      <c r="S2030" s="20"/>
      <c r="T2030" s="68"/>
      <c r="U2030" s="77"/>
      <c r="V2030" s="68"/>
      <c r="W2030" s="71"/>
      <c r="X2030" s="20"/>
    </row>
    <row r="2031">
      <c r="A2031" s="16"/>
      <c r="B2031" s="17"/>
      <c r="E2031" s="17"/>
      <c r="F2031" s="17"/>
      <c r="G2031" s="17"/>
      <c r="H2031" s="10"/>
      <c r="L2031" s="31"/>
      <c r="N2031" s="16"/>
      <c r="O2031" s="16"/>
      <c r="P2031" s="23"/>
      <c r="Q2031" s="17"/>
      <c r="R2031" s="15"/>
      <c r="S2031" s="20"/>
      <c r="T2031" s="68"/>
      <c r="U2031" s="77"/>
      <c r="V2031" s="68"/>
      <c r="W2031" s="71"/>
      <c r="X2031" s="20"/>
    </row>
    <row r="2032">
      <c r="A2032" s="16"/>
      <c r="B2032" s="17"/>
      <c r="E2032" s="17"/>
      <c r="F2032" s="17"/>
      <c r="G2032" s="17"/>
      <c r="H2032" s="10"/>
      <c r="L2032" s="31"/>
      <c r="N2032" s="16"/>
      <c r="O2032" s="16"/>
      <c r="P2032" s="23"/>
      <c r="Q2032" s="17"/>
      <c r="R2032" s="15"/>
      <c r="S2032" s="20"/>
      <c r="T2032" s="68"/>
      <c r="U2032" s="77"/>
      <c r="V2032" s="68"/>
      <c r="W2032" s="71"/>
      <c r="X2032" s="20"/>
    </row>
    <row r="2033">
      <c r="A2033" s="16"/>
      <c r="B2033" s="17"/>
      <c r="E2033" s="17"/>
      <c r="F2033" s="17"/>
      <c r="G2033" s="17"/>
      <c r="H2033" s="10"/>
      <c r="L2033" s="31"/>
      <c r="N2033" s="16"/>
      <c r="O2033" s="16"/>
      <c r="P2033" s="23"/>
      <c r="Q2033" s="17"/>
      <c r="R2033" s="15"/>
      <c r="S2033" s="20"/>
      <c r="T2033" s="68"/>
      <c r="U2033" s="77"/>
      <c r="V2033" s="68"/>
      <c r="W2033" s="71"/>
      <c r="X2033" s="20"/>
    </row>
    <row r="2034">
      <c r="A2034" s="16"/>
      <c r="B2034" s="17"/>
      <c r="E2034" s="17"/>
      <c r="F2034" s="17"/>
      <c r="G2034" s="17"/>
      <c r="H2034" s="10"/>
      <c r="L2034" s="31"/>
      <c r="N2034" s="16"/>
      <c r="O2034" s="16"/>
      <c r="P2034" s="23"/>
      <c r="Q2034" s="17"/>
      <c r="R2034" s="15"/>
      <c r="S2034" s="20"/>
      <c r="T2034" s="68"/>
      <c r="U2034" s="77"/>
      <c r="V2034" s="68"/>
      <c r="W2034" s="71"/>
      <c r="X2034" s="20"/>
    </row>
    <row r="2035">
      <c r="A2035" s="16"/>
      <c r="B2035" s="17"/>
      <c r="E2035" s="17"/>
      <c r="F2035" s="17"/>
      <c r="G2035" s="17"/>
      <c r="H2035" s="10"/>
      <c r="L2035" s="31"/>
      <c r="N2035" s="16"/>
      <c r="O2035" s="16"/>
      <c r="P2035" s="23"/>
      <c r="Q2035" s="17"/>
      <c r="R2035" s="15"/>
      <c r="S2035" s="20"/>
      <c r="T2035" s="68"/>
      <c r="U2035" s="77"/>
      <c r="V2035" s="68"/>
      <c r="W2035" s="71"/>
      <c r="X2035" s="20"/>
    </row>
    <row r="2036">
      <c r="A2036" s="16"/>
      <c r="B2036" s="17"/>
      <c r="E2036" s="17"/>
      <c r="F2036" s="17"/>
      <c r="G2036" s="17"/>
      <c r="H2036" s="10"/>
      <c r="L2036" s="31"/>
      <c r="N2036" s="16"/>
      <c r="O2036" s="16"/>
      <c r="P2036" s="23"/>
      <c r="Q2036" s="17"/>
      <c r="R2036" s="15"/>
      <c r="S2036" s="20"/>
      <c r="T2036" s="68"/>
      <c r="U2036" s="77"/>
      <c r="V2036" s="68"/>
      <c r="W2036" s="71"/>
      <c r="X2036" s="20"/>
    </row>
    <row r="2037">
      <c r="A2037" s="16"/>
      <c r="B2037" s="17"/>
      <c r="E2037" s="17"/>
      <c r="F2037" s="17"/>
      <c r="G2037" s="17"/>
      <c r="H2037" s="10"/>
      <c r="L2037" s="31"/>
      <c r="N2037" s="16"/>
      <c r="O2037" s="16"/>
      <c r="P2037" s="23"/>
      <c r="Q2037" s="17"/>
      <c r="R2037" s="15"/>
      <c r="S2037" s="20"/>
      <c r="T2037" s="68"/>
      <c r="U2037" s="77"/>
      <c r="V2037" s="68"/>
      <c r="W2037" s="71"/>
      <c r="X2037" s="20"/>
    </row>
    <row r="2038">
      <c r="A2038" s="16"/>
      <c r="B2038" s="17"/>
      <c r="E2038" s="17"/>
      <c r="F2038" s="17"/>
      <c r="G2038" s="17"/>
      <c r="H2038" s="10"/>
      <c r="L2038" s="31"/>
      <c r="N2038" s="16"/>
      <c r="O2038" s="16"/>
      <c r="P2038" s="23"/>
      <c r="Q2038" s="17"/>
      <c r="R2038" s="15"/>
      <c r="S2038" s="20"/>
      <c r="T2038" s="68"/>
      <c r="U2038" s="77"/>
      <c r="V2038" s="68"/>
      <c r="W2038" s="71"/>
      <c r="X2038" s="20"/>
    </row>
    <row r="2039">
      <c r="A2039" s="16"/>
      <c r="B2039" s="17"/>
      <c r="E2039" s="17"/>
      <c r="F2039" s="17"/>
      <c r="G2039" s="17"/>
      <c r="H2039" s="10"/>
      <c r="L2039" s="31"/>
      <c r="N2039" s="16"/>
      <c r="O2039" s="16"/>
      <c r="P2039" s="23"/>
      <c r="Q2039" s="17"/>
      <c r="R2039" s="15"/>
      <c r="S2039" s="20"/>
      <c r="T2039" s="68"/>
      <c r="U2039" s="77"/>
      <c r="V2039" s="68"/>
      <c r="W2039" s="71"/>
      <c r="X2039" s="20"/>
    </row>
    <row r="2040">
      <c r="A2040" s="16"/>
      <c r="B2040" s="17"/>
      <c r="E2040" s="17"/>
      <c r="F2040" s="17"/>
      <c r="G2040" s="17"/>
      <c r="H2040" s="10"/>
      <c r="L2040" s="31"/>
      <c r="N2040" s="16"/>
      <c r="O2040" s="16"/>
      <c r="P2040" s="23"/>
      <c r="Q2040" s="17"/>
      <c r="R2040" s="15"/>
      <c r="S2040" s="20"/>
      <c r="T2040" s="68"/>
      <c r="U2040" s="77"/>
      <c r="V2040" s="68"/>
      <c r="W2040" s="71"/>
      <c r="X2040" s="20"/>
    </row>
    <row r="2041">
      <c r="A2041" s="16"/>
      <c r="B2041" s="17"/>
      <c r="E2041" s="17"/>
      <c r="F2041" s="17"/>
      <c r="G2041" s="17"/>
      <c r="H2041" s="10"/>
      <c r="L2041" s="31"/>
      <c r="N2041" s="16"/>
      <c r="O2041" s="16"/>
      <c r="P2041" s="23"/>
      <c r="Q2041" s="17"/>
      <c r="R2041" s="15"/>
      <c r="S2041" s="20"/>
      <c r="T2041" s="68"/>
      <c r="U2041" s="77"/>
      <c r="V2041" s="68"/>
      <c r="W2041" s="71"/>
      <c r="X2041" s="20"/>
    </row>
    <row r="2042">
      <c r="A2042" s="16"/>
      <c r="B2042" s="17"/>
      <c r="E2042" s="17"/>
      <c r="F2042" s="17"/>
      <c r="G2042" s="17"/>
      <c r="H2042" s="10"/>
      <c r="L2042" s="31"/>
      <c r="N2042" s="16"/>
      <c r="O2042" s="16"/>
      <c r="P2042" s="23"/>
      <c r="Q2042" s="17"/>
      <c r="R2042" s="15"/>
      <c r="S2042" s="20"/>
      <c r="T2042" s="68"/>
      <c r="U2042" s="77"/>
      <c r="V2042" s="68"/>
      <c r="W2042" s="71"/>
      <c r="X2042" s="20"/>
    </row>
    <row r="2043">
      <c r="A2043" s="16"/>
      <c r="B2043" s="17"/>
      <c r="E2043" s="17"/>
      <c r="F2043" s="17"/>
      <c r="G2043" s="17"/>
      <c r="H2043" s="10"/>
      <c r="L2043" s="31"/>
      <c r="N2043" s="16"/>
      <c r="O2043" s="16"/>
      <c r="P2043" s="23"/>
      <c r="Q2043" s="17"/>
      <c r="R2043" s="15"/>
      <c r="S2043" s="20"/>
      <c r="T2043" s="68"/>
      <c r="U2043" s="77"/>
      <c r="V2043" s="68"/>
      <c r="W2043" s="71"/>
      <c r="X2043" s="20"/>
    </row>
    <row r="2044">
      <c r="A2044" s="16"/>
      <c r="B2044" s="17"/>
      <c r="E2044" s="17"/>
      <c r="F2044" s="17"/>
      <c r="G2044" s="17"/>
      <c r="H2044" s="10"/>
      <c r="L2044" s="31"/>
      <c r="N2044" s="16"/>
      <c r="O2044" s="16"/>
      <c r="P2044" s="23"/>
      <c r="Q2044" s="17"/>
      <c r="R2044" s="15"/>
      <c r="S2044" s="20"/>
      <c r="T2044" s="68"/>
      <c r="U2044" s="77"/>
      <c r="V2044" s="68"/>
      <c r="W2044" s="71"/>
      <c r="X2044" s="20"/>
    </row>
    <row r="2045">
      <c r="A2045" s="16"/>
      <c r="B2045" s="17"/>
      <c r="E2045" s="17"/>
      <c r="F2045" s="17"/>
      <c r="G2045" s="17"/>
      <c r="H2045" s="10"/>
      <c r="L2045" s="31"/>
      <c r="N2045" s="16"/>
      <c r="O2045" s="16"/>
      <c r="P2045" s="23"/>
      <c r="Q2045" s="17"/>
      <c r="R2045" s="15"/>
      <c r="S2045" s="20"/>
      <c r="T2045" s="68"/>
      <c r="U2045" s="77"/>
      <c r="V2045" s="68"/>
      <c r="W2045" s="71"/>
      <c r="X2045" s="20"/>
    </row>
    <row r="2046">
      <c r="A2046" s="16"/>
      <c r="B2046" s="17"/>
      <c r="E2046" s="17"/>
      <c r="F2046" s="17"/>
      <c r="G2046" s="17"/>
      <c r="H2046" s="10"/>
      <c r="L2046" s="31"/>
      <c r="N2046" s="16"/>
      <c r="O2046" s="16"/>
      <c r="P2046" s="23"/>
      <c r="Q2046" s="17"/>
      <c r="R2046" s="15"/>
      <c r="S2046" s="20"/>
      <c r="T2046" s="68"/>
      <c r="U2046" s="77"/>
      <c r="V2046" s="68"/>
      <c r="W2046" s="71"/>
      <c r="X2046" s="20"/>
    </row>
    <row r="2047">
      <c r="A2047" s="16"/>
      <c r="B2047" s="17"/>
      <c r="E2047" s="17"/>
      <c r="F2047" s="17"/>
      <c r="G2047" s="17"/>
      <c r="H2047" s="10"/>
      <c r="L2047" s="31"/>
      <c r="N2047" s="16"/>
      <c r="O2047" s="16"/>
      <c r="P2047" s="23"/>
      <c r="Q2047" s="17"/>
      <c r="R2047" s="15"/>
      <c r="S2047" s="20"/>
      <c r="T2047" s="68"/>
      <c r="U2047" s="77"/>
      <c r="V2047" s="68"/>
      <c r="W2047" s="71"/>
      <c r="X2047" s="20"/>
    </row>
    <row r="2048">
      <c r="A2048" s="16"/>
      <c r="B2048" s="17"/>
      <c r="E2048" s="17"/>
      <c r="F2048" s="17"/>
      <c r="G2048" s="17"/>
      <c r="H2048" s="10"/>
      <c r="L2048" s="31"/>
      <c r="N2048" s="16"/>
      <c r="O2048" s="16"/>
      <c r="P2048" s="23"/>
      <c r="Q2048" s="17"/>
      <c r="R2048" s="15"/>
      <c r="S2048" s="20"/>
      <c r="T2048" s="68"/>
      <c r="U2048" s="77"/>
      <c r="V2048" s="68"/>
      <c r="W2048" s="71"/>
      <c r="X2048" s="20"/>
    </row>
    <row r="2049">
      <c r="A2049" s="16"/>
      <c r="B2049" s="17"/>
      <c r="E2049" s="17"/>
      <c r="F2049" s="17"/>
      <c r="G2049" s="17"/>
      <c r="H2049" s="10"/>
      <c r="L2049" s="31"/>
      <c r="N2049" s="16"/>
      <c r="O2049" s="16"/>
      <c r="P2049" s="23"/>
      <c r="Q2049" s="17"/>
      <c r="R2049" s="15"/>
      <c r="S2049" s="20"/>
      <c r="T2049" s="68"/>
      <c r="U2049" s="77"/>
      <c r="V2049" s="68"/>
      <c r="W2049" s="71"/>
      <c r="X2049" s="20"/>
    </row>
    <row r="2050">
      <c r="A2050" s="16"/>
      <c r="B2050" s="17"/>
      <c r="E2050" s="17"/>
      <c r="F2050" s="17"/>
      <c r="G2050" s="17"/>
      <c r="H2050" s="10"/>
      <c r="L2050" s="31"/>
      <c r="N2050" s="16"/>
      <c r="O2050" s="16"/>
      <c r="P2050" s="23"/>
      <c r="Q2050" s="17"/>
      <c r="R2050" s="15"/>
      <c r="S2050" s="20"/>
      <c r="T2050" s="68"/>
      <c r="U2050" s="77"/>
      <c r="V2050" s="68"/>
      <c r="W2050" s="71"/>
      <c r="X2050" s="20"/>
    </row>
    <row r="2051">
      <c r="A2051" s="16"/>
      <c r="B2051" s="17"/>
      <c r="E2051" s="17"/>
      <c r="F2051" s="17"/>
      <c r="G2051" s="17"/>
      <c r="H2051" s="10"/>
      <c r="L2051" s="31"/>
      <c r="N2051" s="16"/>
      <c r="O2051" s="16"/>
      <c r="P2051" s="23"/>
      <c r="Q2051" s="17"/>
      <c r="R2051" s="15"/>
      <c r="S2051" s="20"/>
      <c r="T2051" s="68"/>
      <c r="U2051" s="77"/>
      <c r="V2051" s="68"/>
      <c r="W2051" s="71"/>
      <c r="X2051" s="20"/>
    </row>
    <row r="2052">
      <c r="A2052" s="16"/>
      <c r="B2052" s="17"/>
      <c r="E2052" s="17"/>
      <c r="F2052" s="17"/>
      <c r="G2052" s="17"/>
      <c r="H2052" s="10"/>
      <c r="L2052" s="31"/>
      <c r="N2052" s="16"/>
      <c r="O2052" s="16"/>
      <c r="P2052" s="23"/>
      <c r="Q2052" s="17"/>
      <c r="R2052" s="15"/>
      <c r="S2052" s="20"/>
      <c r="T2052" s="68"/>
      <c r="U2052" s="77"/>
      <c r="V2052" s="68"/>
      <c r="W2052" s="71"/>
      <c r="X2052" s="20"/>
    </row>
    <row r="2053">
      <c r="A2053" s="16"/>
      <c r="B2053" s="17"/>
      <c r="E2053" s="17"/>
      <c r="F2053" s="17"/>
      <c r="G2053" s="17"/>
      <c r="H2053" s="10"/>
      <c r="L2053" s="31"/>
      <c r="N2053" s="16"/>
      <c r="O2053" s="16"/>
      <c r="P2053" s="23"/>
      <c r="Q2053" s="17"/>
      <c r="R2053" s="15"/>
      <c r="S2053" s="20"/>
      <c r="T2053" s="68"/>
      <c r="U2053" s="77"/>
      <c r="V2053" s="68"/>
      <c r="W2053" s="71"/>
      <c r="X2053" s="20"/>
    </row>
    <row r="2054">
      <c r="A2054" s="16"/>
      <c r="B2054" s="17"/>
      <c r="E2054" s="17"/>
      <c r="F2054" s="17"/>
      <c r="G2054" s="17"/>
      <c r="H2054" s="10"/>
      <c r="L2054" s="31"/>
      <c r="N2054" s="16"/>
      <c r="O2054" s="16"/>
      <c r="P2054" s="23"/>
      <c r="Q2054" s="17"/>
      <c r="R2054" s="15"/>
      <c r="S2054" s="20"/>
      <c r="T2054" s="68"/>
      <c r="U2054" s="77"/>
      <c r="V2054" s="68"/>
      <c r="W2054" s="71"/>
      <c r="X2054" s="20"/>
    </row>
    <row r="2055">
      <c r="A2055" s="16"/>
      <c r="B2055" s="17"/>
      <c r="E2055" s="17"/>
      <c r="F2055" s="17"/>
      <c r="G2055" s="17"/>
      <c r="H2055" s="10"/>
      <c r="L2055" s="31"/>
      <c r="N2055" s="16"/>
      <c r="O2055" s="16"/>
      <c r="P2055" s="23"/>
      <c r="Q2055" s="17"/>
      <c r="R2055" s="15"/>
      <c r="S2055" s="20"/>
      <c r="T2055" s="68"/>
      <c r="U2055" s="77"/>
      <c r="V2055" s="68"/>
      <c r="W2055" s="71"/>
      <c r="X2055" s="20"/>
    </row>
    <row r="2056">
      <c r="A2056" s="16"/>
      <c r="B2056" s="17"/>
      <c r="E2056" s="17"/>
      <c r="F2056" s="17"/>
      <c r="G2056" s="17"/>
      <c r="H2056" s="10"/>
      <c r="L2056" s="31"/>
      <c r="N2056" s="16"/>
      <c r="O2056" s="16"/>
      <c r="P2056" s="23"/>
      <c r="Q2056" s="17"/>
      <c r="R2056" s="15"/>
      <c r="S2056" s="20"/>
      <c r="T2056" s="68"/>
      <c r="U2056" s="77"/>
      <c r="V2056" s="68"/>
      <c r="W2056" s="71"/>
      <c r="X2056" s="20"/>
    </row>
    <row r="2057">
      <c r="A2057" s="16"/>
      <c r="B2057" s="17"/>
      <c r="E2057" s="17"/>
      <c r="F2057" s="17"/>
      <c r="G2057" s="17"/>
      <c r="H2057" s="10"/>
      <c r="L2057" s="31"/>
      <c r="N2057" s="16"/>
      <c r="O2057" s="16"/>
      <c r="P2057" s="23"/>
      <c r="Q2057" s="17"/>
      <c r="R2057" s="15"/>
      <c r="S2057" s="20"/>
      <c r="T2057" s="68"/>
      <c r="U2057" s="77"/>
      <c r="V2057" s="68"/>
      <c r="W2057" s="71"/>
      <c r="X2057" s="20"/>
    </row>
    <row r="2058">
      <c r="A2058" s="16"/>
      <c r="B2058" s="17"/>
      <c r="E2058" s="17"/>
      <c r="F2058" s="17"/>
      <c r="G2058" s="17"/>
      <c r="H2058" s="10"/>
      <c r="L2058" s="31"/>
      <c r="N2058" s="16"/>
      <c r="O2058" s="16"/>
      <c r="P2058" s="23"/>
      <c r="Q2058" s="17"/>
      <c r="R2058" s="15"/>
      <c r="S2058" s="20"/>
      <c r="T2058" s="68"/>
      <c r="U2058" s="77"/>
      <c r="V2058" s="68"/>
      <c r="W2058" s="71"/>
      <c r="X2058" s="20"/>
    </row>
    <row r="2059">
      <c r="A2059" s="16"/>
      <c r="B2059" s="17"/>
      <c r="E2059" s="17"/>
      <c r="F2059" s="17"/>
      <c r="G2059" s="17"/>
      <c r="H2059" s="10"/>
      <c r="L2059" s="31"/>
      <c r="N2059" s="16"/>
      <c r="O2059" s="16"/>
      <c r="P2059" s="10"/>
      <c r="Q2059" s="17" t="str">
        <f>B2059</f>
        <v/>
      </c>
      <c r="R2059" s="15"/>
      <c r="S2059" s="20"/>
      <c r="T2059" s="68"/>
      <c r="U2059" s="71"/>
      <c r="V2059" s="68"/>
      <c r="W2059" s="71"/>
      <c r="X2059" s="68"/>
    </row>
  </sheetData>
  <autoFilter ref="$A$1:$AC$1358">
    <filterColumn colId="7">
      <filters blank="1">
        <filter val="Colis Reçu?"/>
        <filter val="Script Validée Marque"/>
        <filter val="Script Revision Marque"/>
        <filter val="Facture à envoyer"/>
        <filter val="Video Validée Marque"/>
        <filter val="Video Revision Marque"/>
      </filters>
    </filterColumn>
    <sortState ref="A1:AC1358">
      <sortCondition ref="E1:E1358"/>
      <sortCondition ref="G1:G1358"/>
      <sortCondition ref="H1:H1358"/>
    </sortState>
  </autoFilter>
  <dataValidations>
    <dataValidation type="list" allowBlank="1" showErrorMessage="1" sqref="AA5 AA15 AA21 AA23 AA28:AA31 AA61 AA71 AA78 AA80:AA84 AA87 AA89:AA120 AA122:AA128 AA130:AA131 AA134:AA135 AA144 AA151 AA158 AA163 AA170 AA577 AA582 AA619:AA624 AA645:AA650 AA658 AA683:AA685 AA687 AA690:AA701 AA703 AA716 AA737:AA748 AA757:AA758 AA769:AA773 AA775 AA779:AA780 AA784:AA786 AA791:AA792 AA804:AA811 AA822 AA824 AA842:AA843 AA845:AA851 AA857:AA862 AA869:AA871 AA878:AA880 AA901:AA902 AA905:AA906 AA928:AA933 AA935:AA943 AA950 AA957:AA958 AA960:AA962 AA969:AA971 AA975:AA976 AA987:AA990 AA995 AA1012:AA1014 AA1016 AA1018 AA1021:AA1034 AA1039:AA1040 AA1042 AA1047 AA1050 AA1052 AA1055 AA1057:AA1060 AA1064 AA1078:AA1080 AA1091:AA1099 AA1124:AA1126 AA1140:AA1147 AA1150:AA1156 AA1165 AA1171:AA1172 AA1174:AA1175 AA1188:AA1194 AA1196 AA1203:AA1206 AA1208:AA1215 AA1219:AA1220 AA1234:AA1235 AA1242 AA1245">
      <formula1>"En Attente,Reçu,Pas reçu"</formula1>
    </dataValidation>
    <dataValidation type="list" allowBlank="1" showErrorMessage="1" sqref="H2:H45 H47:H1358">
      <formula1>"Fait,Script Revision Marque,Video Revision Marque,Video Validée Marque,Script Validée Marque,Modifs à faire ,Facture à envoyer,RETARD,Colis Reçu?,⚠️A Partager à la marque"</formula1>
    </dataValidation>
    <dataValidation type="list" allowBlank="1" showErrorMessage="1" sqref="H46">
      <formula1>"Fait,Script Revision Marque,Video Revision Marque,Video Validée Marque,Script Validée Marque,Modifs à faire ,Facture à envoyer"</formula1>
    </dataValidation>
  </dataValidations>
  <hyperlinks>
    <hyperlink r:id="rId1" ref="N42"/>
    <hyperlink r:id="rId2" ref="N45"/>
    <hyperlink r:id="rId3" ref="N49"/>
    <hyperlink r:id="rId4" ref="N64"/>
    <hyperlink r:id="rId5" ref="N65"/>
    <hyperlink r:id="rId6" ref="N66"/>
    <hyperlink r:id="rId7" ref="N67"/>
    <hyperlink r:id="rId8" ref="N68"/>
    <hyperlink r:id="rId9" ref="N70"/>
    <hyperlink r:id="rId10" ref="N71"/>
    <hyperlink r:id="rId11" ref="N72"/>
    <hyperlink r:id="rId12" ref="N73"/>
    <hyperlink r:id="rId13" ref="N74"/>
    <hyperlink r:id="rId14" ref="N75"/>
    <hyperlink r:id="rId15" ref="N76"/>
    <hyperlink r:id="rId16" ref="N77"/>
    <hyperlink r:id="rId17" ref="N80"/>
    <hyperlink r:id="rId18" ref="N81"/>
    <hyperlink r:id="rId19" ref="N85"/>
    <hyperlink r:id="rId20" ref="N86"/>
    <hyperlink r:id="rId21" ref="N88"/>
    <hyperlink r:id="rId22" ref="N89"/>
    <hyperlink r:id="rId23" ref="N90"/>
    <hyperlink r:id="rId24" ref="N94"/>
    <hyperlink r:id="rId25" ref="N95"/>
    <hyperlink r:id="rId26" ref="N96"/>
    <hyperlink r:id="rId27" ref="N98"/>
    <hyperlink r:id="rId28" ref="N99"/>
    <hyperlink r:id="rId29" ref="N100"/>
    <hyperlink r:id="rId30" ref="N107"/>
    <hyperlink r:id="rId31" ref="N108"/>
    <hyperlink r:id="rId32" ref="N109"/>
    <hyperlink r:id="rId33" ref="N110"/>
    <hyperlink r:id="rId34" ref="N112"/>
    <hyperlink r:id="rId35" ref="N113"/>
    <hyperlink r:id="rId36" ref="N122"/>
    <hyperlink r:id="rId37" ref="N124"/>
    <hyperlink r:id="rId38" ref="N125"/>
    <hyperlink r:id="rId39" ref="N130"/>
    <hyperlink r:id="rId40" ref="N131"/>
    <hyperlink r:id="rId41" ref="N133"/>
    <hyperlink r:id="rId42" ref="N134"/>
    <hyperlink r:id="rId43" ref="N135"/>
    <hyperlink r:id="rId44" ref="N136"/>
    <hyperlink r:id="rId45" ref="N140"/>
    <hyperlink r:id="rId46" ref="N143"/>
    <hyperlink r:id="rId47" ref="N146"/>
    <hyperlink r:id="rId48" ref="N149"/>
    <hyperlink r:id="rId49" ref="N152"/>
    <hyperlink r:id="rId50" ref="N153"/>
    <hyperlink r:id="rId51" ref="N155"/>
    <hyperlink r:id="rId52" ref="N156"/>
    <hyperlink r:id="rId53" ref="N158"/>
    <hyperlink r:id="rId54" ref="N159"/>
    <hyperlink r:id="rId55" ref="N160"/>
    <hyperlink r:id="rId56" ref="N161"/>
    <hyperlink r:id="rId57" ref="N162"/>
    <hyperlink r:id="rId58" ref="N165"/>
    <hyperlink r:id="rId59" ref="N170"/>
    <hyperlink r:id="rId60" ref="N171"/>
    <hyperlink r:id="rId61" ref="N172"/>
    <hyperlink r:id="rId62" ref="N173"/>
    <hyperlink r:id="rId63" ref="N174"/>
    <hyperlink r:id="rId64" ref="N179"/>
    <hyperlink r:id="rId65" ref="N180"/>
    <hyperlink r:id="rId66" ref="D182"/>
    <hyperlink r:id="rId67" ref="N182"/>
    <hyperlink r:id="rId68" ref="D185"/>
    <hyperlink r:id="rId69" ref="D186"/>
    <hyperlink r:id="rId70" ref="N186"/>
    <hyperlink r:id="rId71" ref="N195"/>
    <hyperlink r:id="rId72" ref="D196"/>
    <hyperlink r:id="rId73" ref="N199"/>
    <hyperlink r:id="rId74" ref="N200"/>
    <hyperlink r:id="rId75" ref="N203"/>
    <hyperlink r:id="rId76" ref="N208"/>
    <hyperlink r:id="rId77" ref="N213"/>
    <hyperlink r:id="rId78" ref="N214"/>
    <hyperlink r:id="rId79" ref="N215"/>
    <hyperlink r:id="rId80" ref="N223"/>
    <hyperlink r:id="rId81" ref="O223"/>
    <hyperlink r:id="rId82" ref="N225"/>
    <hyperlink r:id="rId83" ref="N233"/>
    <hyperlink r:id="rId84" ref="N239"/>
    <hyperlink r:id="rId85" ref="N240"/>
    <hyperlink r:id="rId86" ref="D244"/>
    <hyperlink r:id="rId87" ref="N245"/>
    <hyperlink r:id="rId88" ref="N256"/>
    <hyperlink r:id="rId89" ref="N258"/>
    <hyperlink r:id="rId90" ref="N260"/>
    <hyperlink r:id="rId91" ref="N261"/>
    <hyperlink r:id="rId92" ref="N262"/>
    <hyperlink r:id="rId93" ref="N263"/>
    <hyperlink r:id="rId94" ref="N264"/>
    <hyperlink r:id="rId95" ref="N268"/>
    <hyperlink r:id="rId96" ref="N269"/>
    <hyperlink r:id="rId97" ref="N270"/>
    <hyperlink r:id="rId98" ref="N276"/>
    <hyperlink r:id="rId99" ref="N292"/>
    <hyperlink r:id="rId100" ref="N293"/>
    <hyperlink r:id="rId101" ref="N302"/>
    <hyperlink r:id="rId102" ref="N314"/>
    <hyperlink r:id="rId103" ref="N326"/>
    <hyperlink r:id="rId104" ref="N333"/>
    <hyperlink r:id="rId105" ref="N334"/>
    <hyperlink r:id="rId106" ref="N335"/>
    <hyperlink r:id="rId107" ref="N337"/>
    <hyperlink r:id="rId108" ref="N338"/>
    <hyperlink r:id="rId109" ref="N339"/>
    <hyperlink r:id="rId110" ref="N343"/>
    <hyperlink r:id="rId111" ref="N357"/>
    <hyperlink r:id="rId112" ref="N368"/>
    <hyperlink r:id="rId113" ref="N373"/>
    <hyperlink r:id="rId114" ref="N374"/>
    <hyperlink r:id="rId115" ref="N375"/>
    <hyperlink r:id="rId116" ref="N380"/>
    <hyperlink r:id="rId117" ref="N385"/>
    <hyperlink r:id="rId118" ref="N393"/>
    <hyperlink r:id="rId119" ref="I396"/>
    <hyperlink r:id="rId120" ref="N398"/>
    <hyperlink r:id="rId121" ref="N407"/>
    <hyperlink r:id="rId122" ref="N409"/>
    <hyperlink r:id="rId123" ref="N415"/>
    <hyperlink r:id="rId124" ref="N425"/>
    <hyperlink r:id="rId125" ref="N426"/>
    <hyperlink r:id="rId126" ref="N435"/>
    <hyperlink r:id="rId127" ref="N443"/>
    <hyperlink r:id="rId128" ref="N445"/>
    <hyperlink r:id="rId129" ref="N449"/>
    <hyperlink r:id="rId130" ref="N453"/>
    <hyperlink r:id="rId131" ref="N455"/>
    <hyperlink r:id="rId132" ref="N471"/>
    <hyperlink r:id="rId133" ref="N475"/>
    <hyperlink r:id="rId134" ref="N476"/>
    <hyperlink r:id="rId135" ref="N477"/>
    <hyperlink r:id="rId136" ref="N478"/>
    <hyperlink r:id="rId137" ref="N479"/>
    <hyperlink r:id="rId138" ref="N486"/>
    <hyperlink r:id="rId139" ref="N487"/>
    <hyperlink r:id="rId140" ref="N491"/>
    <hyperlink r:id="rId141" ref="N492"/>
    <hyperlink r:id="rId142" ref="N494"/>
    <hyperlink r:id="rId143" ref="N499"/>
    <hyperlink r:id="rId144" ref="N501"/>
    <hyperlink r:id="rId145" ref="N502"/>
    <hyperlink r:id="rId146" ref="N503"/>
    <hyperlink r:id="rId147" ref="N508"/>
    <hyperlink r:id="rId148" ref="N528"/>
    <hyperlink r:id="rId149" ref="N531"/>
    <hyperlink r:id="rId150" ref="N533"/>
    <hyperlink r:id="rId151" ref="N535"/>
    <hyperlink r:id="rId152" ref="N537"/>
    <hyperlink r:id="rId153" ref="N555"/>
    <hyperlink r:id="rId154" ref="N556"/>
    <hyperlink r:id="rId155" ref="N557"/>
    <hyperlink r:id="rId156" ref="N558"/>
    <hyperlink r:id="rId157" ref="N560"/>
    <hyperlink r:id="rId158" ref="N561"/>
    <hyperlink r:id="rId159" ref="N562"/>
    <hyperlink r:id="rId160" ref="N563"/>
    <hyperlink r:id="rId161" ref="N564"/>
    <hyperlink r:id="rId162" ref="N568"/>
    <hyperlink r:id="rId163" ref="N571"/>
    <hyperlink r:id="rId164" ref="N573"/>
    <hyperlink r:id="rId165" ref="N578"/>
    <hyperlink r:id="rId166" ref="N579"/>
    <hyperlink r:id="rId167" ref="N581"/>
    <hyperlink r:id="rId168" ref="N598"/>
    <hyperlink r:id="rId169" ref="N599"/>
    <hyperlink r:id="rId170" ref="N600"/>
    <hyperlink r:id="rId171" ref="I606"/>
    <hyperlink r:id="rId172" ref="N606"/>
    <hyperlink r:id="rId173" ref="N609"/>
    <hyperlink r:id="rId174" ref="N610"/>
    <hyperlink r:id="rId175" ref="I616"/>
    <hyperlink r:id="rId176" ref="N617"/>
    <hyperlink r:id="rId177" ref="N618"/>
    <hyperlink r:id="rId178" ref="N620"/>
    <hyperlink r:id="rId179" ref="N621"/>
    <hyperlink r:id="rId180" ref="N622"/>
    <hyperlink r:id="rId181" ref="N623"/>
    <hyperlink r:id="rId182" ref="N624"/>
    <hyperlink r:id="rId183" ref="N628"/>
    <hyperlink r:id="rId184" ref="N629"/>
    <hyperlink r:id="rId185" ref="N630"/>
    <hyperlink r:id="rId186" ref="N631"/>
    <hyperlink r:id="rId187" ref="N632"/>
    <hyperlink r:id="rId188" ref="N633"/>
    <hyperlink r:id="rId189" ref="N634"/>
    <hyperlink r:id="rId190" ref="N637"/>
    <hyperlink r:id="rId191" ref="N639"/>
    <hyperlink r:id="rId192" ref="N641"/>
    <hyperlink r:id="rId193" ref="N643"/>
    <hyperlink r:id="rId194" ref="N644"/>
    <hyperlink r:id="rId195" ref="N646"/>
    <hyperlink r:id="rId196" ref="N647"/>
    <hyperlink r:id="rId197" ref="N648"/>
    <hyperlink r:id="rId198" ref="N649"/>
    <hyperlink r:id="rId199" ref="N650"/>
    <hyperlink r:id="rId200" ref="N680"/>
    <hyperlink r:id="rId201" ref="N681"/>
    <hyperlink r:id="rId202" ref="N683"/>
    <hyperlink r:id="rId203" ref="N684"/>
    <hyperlink r:id="rId204" ref="N685"/>
    <hyperlink r:id="rId205" ref="N687"/>
    <hyperlink r:id="rId206" ref="N688"/>
    <hyperlink r:id="rId207" ref="N689"/>
    <hyperlink r:id="rId208" ref="N705"/>
    <hyperlink r:id="rId209" ref="N707"/>
    <hyperlink r:id="rId210" ref="N711"/>
    <hyperlink r:id="rId211" ref="N712"/>
    <hyperlink r:id="rId212" ref="N713"/>
    <hyperlink r:id="rId213" ref="N714"/>
    <hyperlink r:id="rId214" ref="N715"/>
    <hyperlink r:id="rId215" ref="N719"/>
    <hyperlink r:id="rId216" ref="I724"/>
    <hyperlink r:id="rId217" ref="N724"/>
    <hyperlink r:id="rId218" ref="N725"/>
    <hyperlink r:id="rId219" ref="N726"/>
    <hyperlink r:id="rId220" ref="N728"/>
    <hyperlink r:id="rId221" ref="N729"/>
    <hyperlink r:id="rId222" ref="N737"/>
    <hyperlink r:id="rId223" ref="N739"/>
    <hyperlink r:id="rId224" ref="N740"/>
    <hyperlink r:id="rId225" ref="N741"/>
    <hyperlink r:id="rId226" ref="N742"/>
    <hyperlink r:id="rId227" ref="N750"/>
    <hyperlink r:id="rId228" ref="N751"/>
    <hyperlink r:id="rId229" ref="N752"/>
    <hyperlink r:id="rId230" ref="N755"/>
    <hyperlink r:id="rId231" ref="N756"/>
    <hyperlink r:id="rId232" ref="N757"/>
    <hyperlink r:id="rId233" ref="N758"/>
    <hyperlink r:id="rId234" ref="N759"/>
    <hyperlink r:id="rId235" ref="N762"/>
    <hyperlink r:id="rId236" ref="N764"/>
    <hyperlink r:id="rId237" ref="N765"/>
    <hyperlink r:id="rId238" ref="N768"/>
    <hyperlink r:id="rId239" ref="N770"/>
    <hyperlink r:id="rId240" ref="N772"/>
    <hyperlink r:id="rId241" ref="N773"/>
    <hyperlink r:id="rId242" ref="N774"/>
    <hyperlink r:id="rId243" ref="N775"/>
    <hyperlink r:id="rId244" ref="N776"/>
    <hyperlink r:id="rId245" ref="N777"/>
    <hyperlink r:id="rId246" ref="N778"/>
    <hyperlink r:id="rId247" ref="N779"/>
    <hyperlink r:id="rId248" ref="N781"/>
    <hyperlink r:id="rId249" ref="N785"/>
    <hyperlink r:id="rId250" ref="N786"/>
    <hyperlink r:id="rId251" ref="N790"/>
    <hyperlink r:id="rId252" ref="I800"/>
    <hyperlink r:id="rId253" ref="N800"/>
    <hyperlink r:id="rId254" ref="N801"/>
    <hyperlink r:id="rId255" ref="N802"/>
    <hyperlink r:id="rId256" ref="N803"/>
    <hyperlink r:id="rId257" ref="N804"/>
    <hyperlink r:id="rId258" ref="N805"/>
    <hyperlink r:id="rId259" ref="N806"/>
    <hyperlink r:id="rId260" ref="N809"/>
    <hyperlink r:id="rId261" ref="N811"/>
    <hyperlink r:id="rId262" ref="I818"/>
    <hyperlink r:id="rId263" ref="N819"/>
    <hyperlink r:id="rId264" ref="N821"/>
    <hyperlink r:id="rId265" ref="N823"/>
    <hyperlink r:id="rId266" ref="N825"/>
    <hyperlink r:id="rId267" ref="N826"/>
    <hyperlink r:id="rId268" ref="N827"/>
    <hyperlink r:id="rId269" ref="N828"/>
    <hyperlink r:id="rId270" ref="N836"/>
    <hyperlink r:id="rId271" ref="N837"/>
    <hyperlink r:id="rId272" ref="N838"/>
    <hyperlink r:id="rId273" ref="N841"/>
    <hyperlink r:id="rId274" ref="N845"/>
    <hyperlink r:id="rId275" ref="I852"/>
    <hyperlink r:id="rId276" ref="N852"/>
    <hyperlink r:id="rId277" ref="N853"/>
    <hyperlink r:id="rId278" ref="N854"/>
    <hyperlink r:id="rId279" ref="N857"/>
    <hyperlink r:id="rId280" ref="N861"/>
    <hyperlink r:id="rId281" ref="N890"/>
    <hyperlink r:id="rId282" ref="I891"/>
    <hyperlink r:id="rId283" ref="N892"/>
    <hyperlink r:id="rId284" ref="N893"/>
    <hyperlink r:id="rId285" ref="N894"/>
    <hyperlink r:id="rId286" ref="N897"/>
    <hyperlink r:id="rId287" ref="N899"/>
    <hyperlink r:id="rId288" ref="N900"/>
    <hyperlink r:id="rId289" ref="N901"/>
    <hyperlink r:id="rId290" ref="N904"/>
    <hyperlink r:id="rId291" ref="N906"/>
    <hyperlink r:id="rId292" ref="N907"/>
    <hyperlink r:id="rId293" ref="N908"/>
    <hyperlink r:id="rId294" ref="N910"/>
    <hyperlink r:id="rId295" ref="N919"/>
    <hyperlink r:id="rId296" ref="N920"/>
    <hyperlink r:id="rId297" ref="N922"/>
    <hyperlink r:id="rId298" ref="I931"/>
    <hyperlink r:id="rId299" ref="N935"/>
    <hyperlink r:id="rId300" ref="N938"/>
    <hyperlink r:id="rId301" ref="N939"/>
    <hyperlink r:id="rId302" ref="N940"/>
    <hyperlink r:id="rId303" ref="N941"/>
    <hyperlink r:id="rId304" ref="N955"/>
    <hyperlink r:id="rId305" ref="N959"/>
    <hyperlink r:id="rId306" ref="N960"/>
    <hyperlink r:id="rId307" ref="N961"/>
    <hyperlink r:id="rId308" ref="N962"/>
    <hyperlink r:id="rId309" ref="N964"/>
    <hyperlink r:id="rId310" ref="N965"/>
    <hyperlink r:id="rId311" ref="N966"/>
    <hyperlink r:id="rId312" ref="N968"/>
    <hyperlink r:id="rId313" ref="N970"/>
    <hyperlink r:id="rId314" ref="N971"/>
    <hyperlink r:id="rId315" ref="N972"/>
    <hyperlink r:id="rId316" ref="N974"/>
    <hyperlink r:id="rId317" ref="N976"/>
    <hyperlink r:id="rId318" ref="N977"/>
    <hyperlink r:id="rId319" ref="N979"/>
    <hyperlink r:id="rId320" ref="N981"/>
    <hyperlink r:id="rId321" ref="I1003"/>
    <hyperlink r:id="rId322" ref="N1003"/>
    <hyperlink r:id="rId323" ref="N1004"/>
    <hyperlink r:id="rId324" ref="N1007"/>
    <hyperlink r:id="rId325" ref="I1008"/>
    <hyperlink r:id="rId326" ref="N1008"/>
    <hyperlink r:id="rId327" ref="N1010"/>
    <hyperlink r:id="rId328" ref="N1011"/>
    <hyperlink r:id="rId329" ref="N1013"/>
    <hyperlink r:id="rId330" ref="N1014"/>
    <hyperlink r:id="rId331" ref="N1015"/>
    <hyperlink r:id="rId332" ref="N1016"/>
    <hyperlink r:id="rId333" ref="N1018"/>
    <hyperlink r:id="rId334" ref="N1019"/>
    <hyperlink r:id="rId335" ref="N1020"/>
    <hyperlink r:id="rId336" ref="I1022"/>
    <hyperlink r:id="rId337" ref="N1027"/>
    <hyperlink r:id="rId338" ref="N1028"/>
    <hyperlink r:id="rId339" ref="N1029"/>
    <hyperlink r:id="rId340" ref="N1030"/>
    <hyperlink r:id="rId341" ref="I1045"/>
    <hyperlink r:id="rId342" ref="N1045"/>
    <hyperlink r:id="rId343" ref="N1047"/>
    <hyperlink r:id="rId344" ref="N1048"/>
    <hyperlink r:id="rId345" ref="N1051"/>
    <hyperlink r:id="rId346" ref="N1052"/>
    <hyperlink r:id="rId347" ref="N1053"/>
    <hyperlink r:id="rId348" ref="N1054"/>
    <hyperlink r:id="rId349" ref="N1056"/>
    <hyperlink r:id="rId350" ref="N1057"/>
    <hyperlink r:id="rId351" ref="N1058"/>
    <hyperlink r:id="rId352" ref="N1060"/>
    <hyperlink r:id="rId353" ref="N1062"/>
    <hyperlink r:id="rId354" ref="N1067"/>
    <hyperlink r:id="rId355" ref="N1069"/>
    <hyperlink r:id="rId356" ref="N1072"/>
    <hyperlink r:id="rId357" ref="N1074"/>
    <hyperlink r:id="rId358" ref="N1077"/>
    <hyperlink r:id="rId359" ref="N1079"/>
    <hyperlink r:id="rId360" ref="N1080"/>
    <hyperlink r:id="rId361" ref="N1081"/>
    <hyperlink r:id="rId362" ref="N1082"/>
    <hyperlink r:id="rId363" ref="N1083"/>
    <hyperlink r:id="rId364" ref="N1087"/>
    <hyperlink r:id="rId365" ref="N1090"/>
    <hyperlink r:id="rId366" ref="N1093"/>
    <hyperlink r:id="rId367" ref="N1094"/>
    <hyperlink r:id="rId368" ref="N1118"/>
    <hyperlink r:id="rId369" ref="N1119"/>
    <hyperlink r:id="rId370" ref="N1121"/>
    <hyperlink r:id="rId371" ref="N1122"/>
    <hyperlink r:id="rId372" ref="N1123"/>
    <hyperlink r:id="rId373" ref="N1124"/>
    <hyperlink r:id="rId374" ref="N1125"/>
    <hyperlink r:id="rId375" ref="N1126"/>
    <hyperlink r:id="rId376" ref="N1127"/>
    <hyperlink r:id="rId377" ref="N1129"/>
    <hyperlink r:id="rId378" ref="N1130"/>
    <hyperlink r:id="rId379" ref="N1136"/>
    <hyperlink r:id="rId380" ref="N1137"/>
    <hyperlink r:id="rId381" ref="N1139"/>
    <hyperlink r:id="rId382" ref="N1147"/>
    <hyperlink r:id="rId383" ref="N1151"/>
    <hyperlink r:id="rId384" ref="N1153"/>
    <hyperlink r:id="rId385" ref="N1156"/>
    <hyperlink r:id="rId386" ref="N1159"/>
    <hyperlink r:id="rId387" ref="N1168"/>
    <hyperlink r:id="rId388" ref="N1169"/>
    <hyperlink r:id="rId389" ref="N1170"/>
    <hyperlink r:id="rId390" ref="N1172"/>
    <hyperlink r:id="rId391" ref="N1173"/>
    <hyperlink r:id="rId392" ref="N1176"/>
    <hyperlink r:id="rId393" ref="N1177"/>
    <hyperlink r:id="rId394" ref="N1184"/>
    <hyperlink r:id="rId395" ref="N1201"/>
    <hyperlink r:id="rId396" ref="N1205"/>
    <hyperlink r:id="rId397" ref="N1207"/>
    <hyperlink r:id="rId398" ref="N1211"/>
    <hyperlink r:id="rId399" ref="N1212"/>
    <hyperlink r:id="rId400" ref="N1213"/>
    <hyperlink r:id="rId401" ref="N1214"/>
    <hyperlink r:id="rId402" ref="N1215"/>
    <hyperlink r:id="rId403" ref="N1218"/>
    <hyperlink r:id="rId404" ref="N1219"/>
    <hyperlink r:id="rId405" ref="N1221"/>
    <hyperlink r:id="rId406" ref="N1222"/>
    <hyperlink r:id="rId407" ref="N1224"/>
    <hyperlink r:id="rId408" ref="N1227"/>
    <hyperlink r:id="rId409" ref="N1228"/>
    <hyperlink r:id="rId410" ref="N1229"/>
    <hyperlink r:id="rId411" ref="N1230"/>
    <hyperlink r:id="rId412" ref="N1231"/>
    <hyperlink r:id="rId413" ref="N1255"/>
  </hyperlinks>
  <drawing r:id="rId41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22.0"/>
    <col customWidth="1" min="2" max="2" width="12.75"/>
    <col customWidth="1" min="3" max="3" width="22.5"/>
    <col customWidth="1" min="4" max="4" width="7.25"/>
    <col customWidth="1" min="5" max="5" width="5.75"/>
    <col customWidth="1" min="6" max="6" width="6.75"/>
    <col customWidth="1" min="7" max="7" width="5.75"/>
    <col customWidth="1" min="8" max="8" width="6.5"/>
    <col customWidth="1" min="9" max="9" width="6.75"/>
    <col customWidth="1" min="10" max="10" width="6.0"/>
    <col customWidth="1" min="11" max="11" width="5.38"/>
    <col customWidth="1" min="12" max="13" width="6.13"/>
    <col customWidth="1" min="14" max="14" width="12.75"/>
    <col customWidth="1" min="15" max="15" width="5.63"/>
    <col customWidth="1" min="16" max="16" width="7.25"/>
    <col customWidth="1" min="17" max="17" width="6.25"/>
    <col customWidth="1" min="18" max="18" width="5.25"/>
    <col customWidth="1" min="19" max="19" width="4.75"/>
    <col customWidth="1" min="20" max="20" width="7.38"/>
    <col customWidth="1" min="21" max="21" width="7.63"/>
    <col customWidth="1" min="22" max="22" width="4.75"/>
    <col customWidth="1" min="23" max="23" width="6.5"/>
    <col customWidth="1" min="24" max="24" width="6.38"/>
    <col customWidth="1" min="25" max="26" width="5.88"/>
    <col customWidth="1" min="27" max="27" width="5.25"/>
    <col customWidth="1" min="28" max="28" width="10.5"/>
  </cols>
  <sheetData>
    <row r="1"/>
    <row r="2"/>
    <row r="3"/>
    <row r="4"/>
    <row r="5"/>
    <row r="6"/>
    <row r="7"/>
    <row r="8"/>
    <row r="9"/>
    <row r="10"/>
    <row r="11"/>
    <row r="12"/>
    <row r="13"/>
    <row r="14"/>
    <row r="15"/>
    <row r="16"/>
  </sheetData>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6">
        <v>30.0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3" width="22.5"/>
  </cols>
  <sheetData>
    <row r="1"/>
    <row r="2">
      <c r="N2" s="9"/>
      <c r="O2" s="9"/>
      <c r="P2" s="9"/>
      <c r="AF2" s="9"/>
    </row>
    <row r="3">
      <c r="N3" s="81"/>
      <c r="O3" s="9"/>
      <c r="P3" s="9"/>
      <c r="AF3" s="9"/>
    </row>
    <row r="4">
      <c r="N4" s="81"/>
      <c r="O4" s="9"/>
      <c r="P4" s="9"/>
      <c r="AF4" s="9"/>
    </row>
    <row r="5">
      <c r="N5" s="81"/>
      <c r="O5" s="9"/>
      <c r="P5" s="74"/>
      <c r="AF5" s="74"/>
    </row>
    <row r="6">
      <c r="N6" s="81"/>
      <c r="O6" s="9"/>
      <c r="P6" s="74"/>
      <c r="AF6" s="74"/>
    </row>
    <row r="7">
      <c r="N7" s="81"/>
      <c r="O7" s="9"/>
    </row>
    <row r="8">
      <c r="N8" s="81"/>
      <c r="O8" s="9"/>
    </row>
    <row r="9">
      <c r="N9" s="81"/>
      <c r="O9" s="9"/>
    </row>
    <row r="10">
      <c r="N10" s="81"/>
      <c r="O10" s="9"/>
    </row>
    <row r="11">
      <c r="N11" s="81"/>
      <c r="O11" s="9"/>
    </row>
    <row r="12">
      <c r="N12" s="81"/>
      <c r="O12" s="9"/>
    </row>
    <row r="13">
      <c r="N13" s="81"/>
      <c r="O13" s="9"/>
    </row>
    <row r="14">
      <c r="N14" s="81"/>
    </row>
    <row r="15">
      <c r="N15" s="81"/>
    </row>
    <row r="16">
      <c r="N16" s="81"/>
    </row>
    <row r="17">
      <c r="N17" s="81"/>
    </row>
    <row r="18">
      <c r="N18" s="81"/>
    </row>
    <row r="19">
      <c r="N19" s="81"/>
    </row>
    <row r="20">
      <c r="N20" s="81"/>
    </row>
    <row r="21">
      <c r="N21" s="81"/>
    </row>
    <row r="22">
      <c r="N22" s="81"/>
    </row>
    <row r="23">
      <c r="N23" s="81"/>
    </row>
    <row r="24">
      <c r="N24" s="81"/>
    </row>
    <row r="25">
      <c r="N25" s="81"/>
    </row>
    <row r="26">
      <c r="N26" s="81"/>
    </row>
    <row r="27">
      <c r="N27" s="81"/>
    </row>
    <row r="28">
      <c r="N28" s="81"/>
    </row>
    <row r="29">
      <c r="N29" s="81"/>
    </row>
    <row r="30">
      <c r="N30" s="81"/>
    </row>
    <row r="31">
      <c r="N31" s="81"/>
    </row>
    <row r="32">
      <c r="N32" s="81"/>
    </row>
    <row r="33">
      <c r="N33" s="81"/>
    </row>
    <row r="34">
      <c r="N34" s="81"/>
    </row>
    <row r="35">
      <c r="N35" s="81"/>
    </row>
    <row r="36">
      <c r="N36" s="81"/>
    </row>
    <row r="37">
      <c r="N37" s="81"/>
    </row>
    <row r="38">
      <c r="N38" s="81"/>
    </row>
    <row r="39">
      <c r="N39" s="81"/>
    </row>
    <row r="40">
      <c r="N40" s="81"/>
    </row>
    <row r="41">
      <c r="N41" s="81"/>
    </row>
    <row r="42">
      <c r="N42" s="81"/>
    </row>
    <row r="43">
      <c r="N43" s="81"/>
    </row>
    <row r="44">
      <c r="N44" s="81"/>
    </row>
    <row r="45">
      <c r="N45" s="81"/>
    </row>
    <row r="46">
      <c r="N46" s="81"/>
    </row>
    <row r="47">
      <c r="N47" s="81"/>
    </row>
    <row r="48">
      <c r="N48" s="81"/>
    </row>
    <row r="49">
      <c r="N49" s="81"/>
    </row>
    <row r="50">
      <c r="B50" s="40"/>
      <c r="C50" s="18"/>
      <c r="D50" s="18"/>
      <c r="E50" s="18"/>
      <c r="F50" s="18"/>
      <c r="G50" s="18"/>
      <c r="H50" s="18"/>
      <c r="I50" s="18"/>
      <c r="J50" s="18"/>
      <c r="K50" s="18"/>
      <c r="L50" s="40"/>
      <c r="N50" s="81"/>
    </row>
    <row r="51">
      <c r="B51" s="40"/>
      <c r="C51" s="40"/>
      <c r="D51" s="40"/>
      <c r="E51" s="40"/>
      <c r="F51" s="40"/>
      <c r="G51" s="40"/>
      <c r="H51" s="40"/>
      <c r="I51" s="40"/>
      <c r="J51" s="40"/>
      <c r="K51" s="40"/>
      <c r="L51" s="40"/>
      <c r="N51" s="81"/>
    </row>
    <row r="52">
      <c r="N52" s="81"/>
    </row>
    <row r="53">
      <c r="J53" s="18"/>
      <c r="K53" s="18"/>
      <c r="N53" s="81"/>
    </row>
    <row r="54">
      <c r="N54" s="81"/>
    </row>
    <row r="55">
      <c r="N55" s="81"/>
      <c r="AL55" s="18"/>
    </row>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c r="AR157" s="16">
        <v>765.0</v>
      </c>
      <c r="AS157" s="16" t="s">
        <v>1215</v>
      </c>
    </row>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c r="Z381" s="18"/>
    </row>
    <row r="382">
      <c r="Z382" s="18"/>
    </row>
    <row r="383">
      <c r="Z383" s="18"/>
    </row>
    <row r="384">
      <c r="Z384" s="18"/>
    </row>
    <row r="385">
      <c r="Z385" s="18"/>
    </row>
    <row r="386">
      <c r="Z386" s="18"/>
    </row>
    <row r="387">
      <c r="Z387" s="18"/>
    </row>
    <row r="388">
      <c r="Z388" s="18"/>
    </row>
    <row r="389">
      <c r="Z389" s="18"/>
    </row>
    <row r="390">
      <c r="Z390" s="18"/>
    </row>
    <row r="391">
      <c r="Z391" s="18"/>
    </row>
    <row r="392">
      <c r="Z392" s="18"/>
    </row>
    <row r="393">
      <c r="Z393" s="18"/>
    </row>
    <row r="394">
      <c r="Z394" s="18"/>
    </row>
    <row r="395">
      <c r="Z395" s="18"/>
    </row>
    <row r="396">
      <c r="Z396" s="18"/>
    </row>
    <row r="397">
      <c r="Z397" s="18"/>
    </row>
    <row r="398">
      <c r="Z398" s="18"/>
    </row>
    <row r="399">
      <c r="Z399" s="18"/>
    </row>
    <row r="400">
      <c r="Z400" s="18"/>
    </row>
    <row r="401">
      <c r="Z401" s="18"/>
    </row>
    <row r="402">
      <c r="Z402" s="18"/>
    </row>
    <row r="403">
      <c r="Z403" s="18"/>
    </row>
    <row r="404">
      <c r="Z404" s="18"/>
    </row>
    <row r="405">
      <c r="Z405" s="18"/>
    </row>
    <row r="406">
      <c r="Z406" s="18"/>
    </row>
    <row r="407">
      <c r="Z407" s="18"/>
    </row>
    <row r="408">
      <c r="Z408" s="18"/>
    </row>
    <row r="409">
      <c r="Z409" s="18"/>
    </row>
    <row r="410">
      <c r="Z410" s="18"/>
    </row>
    <row r="411">
      <c r="Z411" s="18"/>
    </row>
    <row r="412">
      <c r="Z412" s="18"/>
    </row>
    <row r="413">
      <c r="Z413" s="18"/>
    </row>
    <row r="414">
      <c r="Z414" s="18"/>
    </row>
    <row r="415">
      <c r="Z415" s="18"/>
    </row>
    <row r="416">
      <c r="Z416" s="18"/>
    </row>
    <row r="417">
      <c r="Z417" s="18"/>
    </row>
    <row r="418">
      <c r="Z418" s="18"/>
    </row>
    <row r="419">
      <c r="Z419" s="18"/>
    </row>
    <row r="420">
      <c r="Z420" s="18"/>
    </row>
    <row r="421">
      <c r="Z421" s="18"/>
    </row>
    <row r="422">
      <c r="Z422" s="18"/>
    </row>
    <row r="423">
      <c r="Z423" s="18"/>
    </row>
    <row r="424">
      <c r="Z424" s="18"/>
    </row>
    <row r="425">
      <c r="Z425" s="18"/>
    </row>
    <row r="426">
      <c r="Z426" s="18"/>
    </row>
    <row r="427">
      <c r="Z427" s="18"/>
    </row>
    <row r="428">
      <c r="Z428" s="18"/>
    </row>
    <row r="429">
      <c r="Z429" s="18"/>
    </row>
    <row r="430">
      <c r="Z430" s="18"/>
    </row>
    <row r="431">
      <c r="Z431" s="18"/>
    </row>
    <row r="432">
      <c r="Z432" s="18"/>
    </row>
    <row r="433">
      <c r="Z433" s="18"/>
    </row>
    <row r="434">
      <c r="Z434" s="18"/>
    </row>
    <row r="435">
      <c r="Z435" s="18"/>
    </row>
    <row r="436">
      <c r="Z436" s="18"/>
    </row>
    <row r="437">
      <c r="Z437" s="18"/>
    </row>
    <row r="438">
      <c r="Z438" s="18"/>
    </row>
    <row r="439">
      <c r="Z439" s="18"/>
    </row>
    <row r="440">
      <c r="Z440" s="18"/>
    </row>
    <row r="441">
      <c r="Z441" s="18"/>
    </row>
    <row r="442">
      <c r="Z442" s="18"/>
    </row>
    <row r="443">
      <c r="Z443" s="18"/>
    </row>
    <row r="444">
      <c r="Z444" s="18"/>
    </row>
    <row r="445">
      <c r="Z445" s="18"/>
    </row>
    <row r="446">
      <c r="Z446" s="18"/>
    </row>
    <row r="447">
      <c r="Z447" s="18"/>
    </row>
    <row r="448">
      <c r="Z448" s="18"/>
    </row>
    <row r="449">
      <c r="Z449" s="18"/>
    </row>
    <row r="450">
      <c r="Z450" s="18"/>
    </row>
    <row r="451">
      <c r="Z451" s="18"/>
    </row>
    <row r="452">
      <c r="Z452" s="18"/>
    </row>
    <row r="453">
      <c r="Z453" s="18"/>
    </row>
    <row r="454">
      <c r="Z454" s="18"/>
    </row>
    <row r="455">
      <c r="Z455" s="18"/>
    </row>
    <row r="456">
      <c r="Z456" s="18"/>
    </row>
    <row r="457">
      <c r="Z457" s="18"/>
    </row>
    <row r="458">
      <c r="Z458" s="18"/>
    </row>
    <row r="459">
      <c r="Z459" s="18"/>
    </row>
    <row r="460">
      <c r="Z460" s="18"/>
    </row>
    <row r="461">
      <c r="Z461" s="18"/>
    </row>
    <row r="462">
      <c r="Z462" s="18"/>
    </row>
    <row r="463">
      <c r="Z463" s="18"/>
    </row>
    <row r="464">
      <c r="Z464" s="18"/>
    </row>
    <row r="465">
      <c r="Z465" s="18"/>
    </row>
    <row r="466">
      <c r="Z466" s="18"/>
    </row>
    <row r="467">
      <c r="Z467" s="18"/>
    </row>
    <row r="468">
      <c r="Z468" s="18"/>
    </row>
    <row r="469">
      <c r="Z469" s="18"/>
    </row>
    <row r="470">
      <c r="Z470" s="18"/>
    </row>
    <row r="471">
      <c r="Z471" s="18"/>
    </row>
    <row r="472">
      <c r="Z472" s="18"/>
    </row>
    <row r="473">
      <c r="Z473" s="18"/>
    </row>
    <row r="474">
      <c r="Z474" s="18"/>
    </row>
    <row r="475">
      <c r="Z475" s="18"/>
    </row>
    <row r="476">
      <c r="Z476" s="18"/>
    </row>
    <row r="477">
      <c r="Z477" s="18"/>
    </row>
    <row r="478">
      <c r="Z478" s="18"/>
    </row>
    <row r="479">
      <c r="Z479" s="18"/>
    </row>
    <row r="480">
      <c r="Z480" s="18"/>
    </row>
    <row r="481">
      <c r="Z481" s="18"/>
    </row>
    <row r="482">
      <c r="Z482" s="18"/>
    </row>
    <row r="483">
      <c r="Z483" s="18"/>
    </row>
    <row r="484">
      <c r="Z484" s="18"/>
    </row>
    <row r="485">
      <c r="Z485" s="18"/>
    </row>
    <row r="486">
      <c r="Z486" s="18"/>
    </row>
    <row r="487">
      <c r="Z487" s="18"/>
    </row>
    <row r="488">
      <c r="Z488" s="18"/>
    </row>
    <row r="489">
      <c r="Z489" s="18"/>
    </row>
    <row r="490">
      <c r="Z490" s="18"/>
    </row>
    <row r="491">
      <c r="Z491" s="18"/>
    </row>
    <row r="492">
      <c r="Z492" s="18"/>
    </row>
    <row r="493">
      <c r="Z493" s="18"/>
    </row>
    <row r="494">
      <c r="Z494" s="18"/>
    </row>
    <row r="495">
      <c r="Z495" s="18"/>
    </row>
    <row r="496">
      <c r="Z496" s="18"/>
    </row>
    <row r="497">
      <c r="Z497" s="18"/>
    </row>
    <row r="498">
      <c r="Z498" s="18"/>
    </row>
    <row r="499">
      <c r="Z499" s="18"/>
    </row>
    <row r="500">
      <c r="Z500" s="18"/>
    </row>
    <row r="501">
      <c r="Z501" s="18"/>
    </row>
    <row r="502">
      <c r="Z502" s="18"/>
    </row>
    <row r="503">
      <c r="Z503" s="18"/>
    </row>
    <row r="504">
      <c r="Z504" s="18"/>
    </row>
    <row r="505">
      <c r="Z505" s="18"/>
    </row>
    <row r="506">
      <c r="Z506" s="18"/>
    </row>
    <row r="507">
      <c r="Z507" s="18"/>
    </row>
    <row r="508">
      <c r="Z508" s="18"/>
    </row>
    <row r="509">
      <c r="Z509" s="18"/>
    </row>
    <row r="510">
      <c r="Z510" s="18"/>
    </row>
    <row r="511">
      <c r="Z511" s="18"/>
    </row>
    <row r="512">
      <c r="Z512" s="18"/>
    </row>
    <row r="513">
      <c r="Z513" s="18"/>
    </row>
    <row r="514">
      <c r="Z514" s="18"/>
    </row>
    <row r="515">
      <c r="Z515" s="18"/>
    </row>
    <row r="516">
      <c r="Z516" s="18"/>
    </row>
    <row r="517">
      <c r="Z517" s="18"/>
    </row>
    <row r="518">
      <c r="Z518" s="18"/>
    </row>
    <row r="519">
      <c r="Z519" s="18"/>
    </row>
    <row r="520">
      <c r="Z520" s="18"/>
    </row>
    <row r="521">
      <c r="Z521" s="18"/>
    </row>
    <row r="522">
      <c r="Z522" s="18"/>
    </row>
    <row r="523">
      <c r="Z523" s="18"/>
    </row>
    <row r="524">
      <c r="Z524" s="18"/>
    </row>
    <row r="525">
      <c r="Z525" s="18"/>
    </row>
    <row r="526">
      <c r="Z526" s="18"/>
    </row>
    <row r="527">
      <c r="Z527" s="18"/>
    </row>
    <row r="528">
      <c r="Z528" s="18"/>
    </row>
    <row r="529">
      <c r="Z529" s="18"/>
    </row>
    <row r="530">
      <c r="Z530" s="18"/>
    </row>
    <row r="531">
      <c r="Z531" s="18"/>
    </row>
    <row r="532">
      <c r="Z532" s="18"/>
    </row>
    <row r="533">
      <c r="Z533" s="18"/>
    </row>
    <row r="534">
      <c r="Z534" s="18"/>
    </row>
    <row r="535">
      <c r="Z535" s="18"/>
    </row>
    <row r="536">
      <c r="Z536" s="18"/>
    </row>
    <row r="537">
      <c r="Z537" s="18"/>
    </row>
    <row r="538">
      <c r="Z538" s="18"/>
    </row>
    <row r="539">
      <c r="Z539" s="18"/>
    </row>
    <row r="540">
      <c r="Z540" s="18"/>
    </row>
    <row r="541">
      <c r="Z541" s="18"/>
    </row>
    <row r="542">
      <c r="Z542" s="18"/>
    </row>
    <row r="543">
      <c r="Z543" s="18"/>
    </row>
    <row r="544">
      <c r="Z544" s="18"/>
    </row>
    <row r="545">
      <c r="Z545" s="18"/>
    </row>
    <row r="546">
      <c r="Z546" s="18"/>
    </row>
    <row r="547">
      <c r="Z547" s="18"/>
    </row>
    <row r="548">
      <c r="Z548" s="18"/>
    </row>
    <row r="549">
      <c r="Z549" s="18"/>
    </row>
    <row r="550">
      <c r="Z550" s="18"/>
    </row>
    <row r="551">
      <c r="Z551" s="18"/>
    </row>
    <row r="552">
      <c r="Z552" s="18"/>
    </row>
    <row r="553">
      <c r="Z553" s="18"/>
    </row>
    <row r="554">
      <c r="Z554" s="18"/>
    </row>
    <row r="555">
      <c r="Z555" s="18"/>
    </row>
    <row r="556">
      <c r="Z556" s="18"/>
    </row>
    <row r="557">
      <c r="Z557" s="18"/>
    </row>
    <row r="558">
      <c r="Z558" s="18"/>
    </row>
    <row r="559">
      <c r="Z559" s="18"/>
    </row>
    <row r="560">
      <c r="Z560" s="18"/>
    </row>
    <row r="561">
      <c r="Z561" s="18"/>
    </row>
    <row r="562">
      <c r="Z562" s="18"/>
    </row>
    <row r="563">
      <c r="Z563" s="18"/>
    </row>
    <row r="564">
      <c r="Z564" s="18"/>
    </row>
    <row r="565">
      <c r="Z565" s="18"/>
    </row>
    <row r="566">
      <c r="Z566" s="18"/>
    </row>
    <row r="567">
      <c r="Z567" s="18"/>
    </row>
    <row r="568">
      <c r="Z568" s="18"/>
    </row>
    <row r="569">
      <c r="Z569" s="18"/>
    </row>
    <row r="570">
      <c r="Z570" s="18"/>
    </row>
    <row r="571">
      <c r="Z571" s="18"/>
    </row>
    <row r="572">
      <c r="Z572" s="18"/>
    </row>
    <row r="573">
      <c r="Z573" s="18"/>
    </row>
    <row r="574">
      <c r="Z574" s="18"/>
    </row>
    <row r="575">
      <c r="Z575" s="18"/>
    </row>
    <row r="576">
      <c r="Z576" s="18"/>
    </row>
    <row r="577">
      <c r="Z577" s="18"/>
    </row>
    <row r="578">
      <c r="Z578" s="18"/>
    </row>
    <row r="579">
      <c r="Z579" s="18"/>
    </row>
    <row r="580">
      <c r="Z580" s="18"/>
    </row>
    <row r="581">
      <c r="Z581" s="18"/>
    </row>
    <row r="582">
      <c r="Z582" s="18"/>
    </row>
    <row r="583">
      <c r="Z583" s="18"/>
    </row>
    <row r="584">
      <c r="Z584" s="18"/>
    </row>
    <row r="585">
      <c r="Z585" s="18"/>
    </row>
    <row r="586">
      <c r="Z586" s="18"/>
    </row>
    <row r="587">
      <c r="Z587" s="18"/>
    </row>
    <row r="588">
      <c r="Z588" s="18"/>
    </row>
    <row r="589">
      <c r="Z589" s="18"/>
    </row>
    <row r="590">
      <c r="Z590" s="18"/>
    </row>
    <row r="591">
      <c r="Z591" s="18"/>
    </row>
    <row r="592">
      <c r="Z592" s="18"/>
    </row>
    <row r="593">
      <c r="Z593" s="18"/>
    </row>
    <row r="594">
      <c r="Z594" s="18"/>
    </row>
    <row r="595">
      <c r="Z595" s="18"/>
    </row>
    <row r="596">
      <c r="Z596" s="18"/>
    </row>
    <row r="597">
      <c r="Z597" s="18"/>
    </row>
    <row r="598">
      <c r="Z598" s="18"/>
    </row>
    <row r="599">
      <c r="Z599" s="18"/>
    </row>
    <row r="600">
      <c r="Z600" s="18"/>
    </row>
    <row r="601">
      <c r="Z601" s="18"/>
    </row>
    <row r="602">
      <c r="Z602" s="18"/>
    </row>
    <row r="603">
      <c r="Z603" s="18"/>
    </row>
    <row r="604">
      <c r="Z604" s="18"/>
    </row>
    <row r="605">
      <c r="Z605" s="18"/>
    </row>
    <row r="606">
      <c r="Z606" s="18"/>
    </row>
    <row r="607">
      <c r="Z607" s="18"/>
    </row>
    <row r="608">
      <c r="Z608" s="18"/>
    </row>
    <row r="609">
      <c r="Z609" s="18"/>
    </row>
    <row r="610">
      <c r="Z610" s="18"/>
    </row>
    <row r="611">
      <c r="Z611" s="18"/>
    </row>
    <row r="612">
      <c r="Z612" s="18"/>
    </row>
    <row r="613">
      <c r="Z613" s="18"/>
    </row>
    <row r="614">
      <c r="Z614" s="18"/>
    </row>
    <row r="615">
      <c r="Z615" s="18"/>
    </row>
    <row r="616">
      <c r="Z616" s="18"/>
    </row>
    <row r="617">
      <c r="Z617" s="18"/>
    </row>
    <row r="618">
      <c r="Z618" s="18"/>
    </row>
    <row r="619">
      <c r="Z619" s="18"/>
    </row>
    <row r="620">
      <c r="Z620" s="18"/>
    </row>
    <row r="621">
      <c r="Z621" s="18"/>
    </row>
    <row r="622">
      <c r="Z622" s="18"/>
    </row>
    <row r="623">
      <c r="Z623" s="18"/>
    </row>
    <row r="624">
      <c r="Z624" s="18"/>
    </row>
    <row r="625">
      <c r="Z625" s="18"/>
    </row>
    <row r="626">
      <c r="Z626" s="18"/>
    </row>
    <row r="627">
      <c r="Z627" s="18"/>
    </row>
    <row r="628">
      <c r="Z628" s="18"/>
    </row>
    <row r="629">
      <c r="Z629" s="18"/>
    </row>
    <row r="630">
      <c r="Z630" s="18"/>
    </row>
    <row r="631">
      <c r="Z631" s="18"/>
    </row>
    <row r="632">
      <c r="Z632" s="18"/>
    </row>
    <row r="633">
      <c r="Z633" s="18"/>
    </row>
    <row r="634">
      <c r="Z634" s="18"/>
    </row>
    <row r="635">
      <c r="Z635" s="18"/>
    </row>
    <row r="636">
      <c r="Z636" s="18"/>
    </row>
    <row r="637">
      <c r="Z637" s="18"/>
    </row>
    <row r="638">
      <c r="Z638" s="18"/>
    </row>
    <row r="639">
      <c r="Z639" s="18"/>
    </row>
    <row r="640">
      <c r="Z640" s="18"/>
    </row>
    <row r="641">
      <c r="Z641" s="18"/>
    </row>
    <row r="642">
      <c r="Z642" s="18"/>
    </row>
    <row r="643">
      <c r="Z643" s="18"/>
    </row>
    <row r="644">
      <c r="Z644" s="18"/>
    </row>
    <row r="645">
      <c r="Z645" s="18"/>
    </row>
    <row r="646">
      <c r="Z646" s="18"/>
    </row>
    <row r="647">
      <c r="Z647" s="18"/>
    </row>
    <row r="648">
      <c r="Z648" s="18"/>
    </row>
    <row r="649">
      <c r="Z649" s="18"/>
    </row>
    <row r="650">
      <c r="Z650" s="18"/>
    </row>
    <row r="651">
      <c r="Z651" s="18"/>
    </row>
    <row r="652">
      <c r="Z652" s="18"/>
    </row>
    <row r="653">
      <c r="Z653" s="18"/>
    </row>
    <row r="654">
      <c r="Z654" s="18"/>
    </row>
    <row r="655">
      <c r="Z655" s="18"/>
    </row>
    <row r="656">
      <c r="Z656" s="18"/>
    </row>
    <row r="657">
      <c r="Z657" s="18"/>
    </row>
    <row r="658">
      <c r="Z658" s="18"/>
    </row>
    <row r="659">
      <c r="Z659" s="18"/>
    </row>
    <row r="660">
      <c r="Z660" s="18"/>
    </row>
    <row r="661">
      <c r="Z661" s="18"/>
    </row>
    <row r="662">
      <c r="Z662" s="18"/>
    </row>
    <row r="663">
      <c r="Z663" s="18"/>
    </row>
    <row r="664">
      <c r="Z664" s="18"/>
    </row>
    <row r="665">
      <c r="Z665" s="18"/>
    </row>
    <row r="666">
      <c r="Z666" s="18"/>
    </row>
    <row r="667">
      <c r="Z667" s="18"/>
    </row>
    <row r="668">
      <c r="Z668" s="18"/>
    </row>
    <row r="669">
      <c r="Z669" s="18"/>
    </row>
    <row r="670">
      <c r="Z670" s="18"/>
    </row>
    <row r="671">
      <c r="Z671" s="18"/>
    </row>
    <row r="672">
      <c r="Z672" s="18"/>
    </row>
    <row r="673">
      <c r="Z673" s="18"/>
    </row>
    <row r="674">
      <c r="Z674" s="18"/>
    </row>
    <row r="675">
      <c r="Z675" s="18"/>
    </row>
    <row r="676">
      <c r="Z676" s="18"/>
    </row>
    <row r="677">
      <c r="Z677" s="18"/>
    </row>
    <row r="678">
      <c r="Z678" s="18"/>
    </row>
    <row r="679">
      <c r="Z679" s="18"/>
    </row>
    <row r="680">
      <c r="Z680" s="18"/>
    </row>
    <row r="681">
      <c r="Z681" s="18"/>
    </row>
    <row r="682">
      <c r="Z682" s="18"/>
    </row>
    <row r="683">
      <c r="Z683" s="18"/>
    </row>
    <row r="684">
      <c r="Z684" s="18"/>
    </row>
    <row r="685">
      <c r="Z685" s="18"/>
    </row>
    <row r="686">
      <c r="Z686" s="18"/>
    </row>
    <row r="687">
      <c r="Z687" s="18"/>
    </row>
    <row r="688">
      <c r="Z688" s="18"/>
    </row>
    <row r="689">
      <c r="Z689" s="18"/>
    </row>
    <row r="690">
      <c r="Z690" s="18"/>
    </row>
    <row r="691">
      <c r="Z691" s="18"/>
    </row>
    <row r="692">
      <c r="Z692" s="18"/>
    </row>
    <row r="693">
      <c r="Z693" s="18"/>
    </row>
    <row r="694">
      <c r="Z694" s="18"/>
    </row>
    <row r="695">
      <c r="Z695" s="18"/>
    </row>
    <row r="696">
      <c r="Z696" s="18"/>
    </row>
    <row r="697">
      <c r="Z697" s="18"/>
    </row>
    <row r="698">
      <c r="Z698" s="18"/>
    </row>
    <row r="699">
      <c r="Z699" s="18"/>
    </row>
    <row r="700">
      <c r="Z700" s="18"/>
    </row>
    <row r="701">
      <c r="Z701" s="18"/>
    </row>
    <row r="702">
      <c r="Z702" s="18"/>
    </row>
    <row r="703">
      <c r="Z703" s="18"/>
    </row>
    <row r="704">
      <c r="Z704" s="18"/>
    </row>
    <row r="705">
      <c r="Z705" s="18"/>
    </row>
    <row r="706">
      <c r="Z706" s="18"/>
    </row>
    <row r="707">
      <c r="Z707" s="18"/>
    </row>
    <row r="708">
      <c r="Z708" s="18"/>
    </row>
    <row r="709">
      <c r="Z709" s="18"/>
    </row>
    <row r="710">
      <c r="Z710" s="18"/>
    </row>
    <row r="711">
      <c r="Z711" s="18"/>
    </row>
    <row r="712">
      <c r="Z712" s="18"/>
    </row>
    <row r="713">
      <c r="Z713" s="18"/>
    </row>
    <row r="714">
      <c r="Z714" s="18"/>
    </row>
    <row r="715">
      <c r="Z715" s="18"/>
    </row>
    <row r="716">
      <c r="Z716" s="18"/>
    </row>
    <row r="717">
      <c r="Z717" s="18"/>
    </row>
    <row r="718">
      <c r="Z718" s="18"/>
    </row>
    <row r="719">
      <c r="Z719" s="18"/>
    </row>
    <row r="720">
      <c r="Z720" s="18"/>
    </row>
    <row r="721">
      <c r="Z721" s="18"/>
    </row>
    <row r="722">
      <c r="Z722" s="18"/>
    </row>
    <row r="723">
      <c r="Z723" s="18"/>
    </row>
    <row r="724">
      <c r="Z724" s="18"/>
    </row>
    <row r="725">
      <c r="Z725" s="18"/>
    </row>
    <row r="726">
      <c r="Z726" s="18"/>
    </row>
    <row r="727">
      <c r="Z727" s="18"/>
    </row>
    <row r="728">
      <c r="Z728" s="18"/>
    </row>
    <row r="729">
      <c r="Z729" s="18"/>
    </row>
    <row r="730">
      <c r="Z730" s="18"/>
    </row>
    <row r="731">
      <c r="Z731" s="18"/>
    </row>
    <row r="732">
      <c r="Z732" s="18"/>
    </row>
    <row r="733">
      <c r="Z733" s="18"/>
    </row>
    <row r="734">
      <c r="Z734" s="18"/>
    </row>
    <row r="735">
      <c r="Z735" s="18"/>
    </row>
    <row r="736">
      <c r="Z736" s="18"/>
    </row>
    <row r="737">
      <c r="Z737" s="18"/>
    </row>
    <row r="738">
      <c r="Z738" s="18"/>
    </row>
    <row r="739">
      <c r="Z739" s="18"/>
    </row>
    <row r="740">
      <c r="Z740" s="18"/>
    </row>
    <row r="741">
      <c r="Z741" s="18"/>
    </row>
    <row r="742">
      <c r="Z742" s="18"/>
    </row>
    <row r="743">
      <c r="Z743" s="18"/>
    </row>
    <row r="744">
      <c r="Z744" s="18"/>
    </row>
    <row r="745">
      <c r="Z745" s="18"/>
    </row>
    <row r="746">
      <c r="Z746" s="18"/>
    </row>
    <row r="747">
      <c r="Z747" s="18"/>
    </row>
    <row r="748">
      <c r="Z748" s="18"/>
    </row>
    <row r="749">
      <c r="Z749" s="18"/>
    </row>
    <row r="750">
      <c r="Z750" s="18"/>
    </row>
    <row r="751">
      <c r="Z751" s="18"/>
    </row>
    <row r="752">
      <c r="Z752" s="18"/>
    </row>
    <row r="753">
      <c r="Z753" s="18"/>
    </row>
    <row r="754">
      <c r="Z754" s="18"/>
    </row>
    <row r="755">
      <c r="Z755" s="18"/>
    </row>
    <row r="756">
      <c r="Z756" s="18"/>
    </row>
    <row r="757">
      <c r="Z757" s="18"/>
    </row>
    <row r="758">
      <c r="Z758" s="18"/>
    </row>
    <row r="759">
      <c r="Z759" s="18"/>
    </row>
    <row r="760">
      <c r="Z760" s="18"/>
    </row>
    <row r="761">
      <c r="Z761" s="18"/>
    </row>
    <row r="762">
      <c r="Z762" s="18"/>
    </row>
    <row r="763">
      <c r="Z763" s="18"/>
    </row>
    <row r="764">
      <c r="Z764" s="18"/>
    </row>
    <row r="765">
      <c r="Z765" s="18"/>
    </row>
    <row r="766">
      <c r="Z766" s="18"/>
    </row>
    <row r="767">
      <c r="Z767" s="18"/>
    </row>
    <row r="768">
      <c r="Z768" s="18"/>
    </row>
    <row r="769">
      <c r="Z769" s="18"/>
    </row>
    <row r="770">
      <c r="Z770" s="18"/>
    </row>
    <row r="771">
      <c r="Z771" s="18"/>
    </row>
    <row r="772">
      <c r="Z772" s="18"/>
    </row>
    <row r="773">
      <c r="Z773" s="18"/>
    </row>
    <row r="774">
      <c r="Z774" s="18"/>
    </row>
    <row r="775">
      <c r="Z775" s="18"/>
    </row>
    <row r="776">
      <c r="Z776" s="18"/>
    </row>
    <row r="777">
      <c r="Z777" s="18"/>
    </row>
    <row r="778">
      <c r="Z778" s="18"/>
    </row>
    <row r="779">
      <c r="Z779" s="18"/>
    </row>
    <row r="780">
      <c r="Z780" s="18"/>
    </row>
    <row r="781">
      <c r="Z781" s="18"/>
    </row>
    <row r="782">
      <c r="Z782" s="18"/>
    </row>
    <row r="783">
      <c r="Z783" s="18"/>
    </row>
    <row r="784">
      <c r="Z784" s="18"/>
    </row>
    <row r="785">
      <c r="Z785" s="18"/>
    </row>
    <row r="786">
      <c r="Z786" s="18"/>
    </row>
    <row r="787">
      <c r="Z787" s="18"/>
    </row>
    <row r="788">
      <c r="Z788" s="18"/>
    </row>
    <row r="789">
      <c r="Z789" s="18"/>
    </row>
    <row r="790">
      <c r="Z790" s="18"/>
    </row>
    <row r="791">
      <c r="Z791" s="18"/>
    </row>
    <row r="792">
      <c r="Z792" s="18"/>
    </row>
    <row r="793">
      <c r="Z793" s="18"/>
    </row>
    <row r="794">
      <c r="Z794" s="18"/>
    </row>
    <row r="795">
      <c r="Z795" s="18"/>
    </row>
    <row r="796">
      <c r="Z796" s="18"/>
    </row>
    <row r="797">
      <c r="Z797" s="18"/>
    </row>
    <row r="798">
      <c r="Z798" s="18"/>
    </row>
    <row r="799">
      <c r="Z799" s="18"/>
    </row>
    <row r="800">
      <c r="Z800" s="18"/>
    </row>
    <row r="801">
      <c r="Z801" s="18"/>
    </row>
    <row r="802">
      <c r="Z802" s="18"/>
    </row>
    <row r="803">
      <c r="Z803" s="18"/>
    </row>
    <row r="804">
      <c r="Z804" s="18"/>
    </row>
    <row r="805">
      <c r="Z805" s="18"/>
    </row>
    <row r="806">
      <c r="Z806" s="18"/>
    </row>
    <row r="807">
      <c r="Z807" s="18"/>
    </row>
    <row r="808">
      <c r="Z808" s="18"/>
    </row>
    <row r="809">
      <c r="Z809" s="18"/>
    </row>
    <row r="810">
      <c r="Z810" s="18"/>
    </row>
    <row r="811">
      <c r="Z811" s="18"/>
    </row>
    <row r="812">
      <c r="Z812" s="18"/>
    </row>
    <row r="813">
      <c r="Z813" s="18"/>
    </row>
    <row r="814">
      <c r="Z814" s="18"/>
    </row>
    <row r="815">
      <c r="Z815" s="18"/>
    </row>
    <row r="816">
      <c r="Z816" s="18"/>
    </row>
    <row r="817">
      <c r="Z817" s="18"/>
    </row>
    <row r="818">
      <c r="Z818" s="18"/>
    </row>
    <row r="819">
      <c r="Z819" s="18"/>
    </row>
    <row r="820">
      <c r="Z820" s="18"/>
    </row>
    <row r="821">
      <c r="Z821" s="18"/>
    </row>
    <row r="822">
      <c r="Z822" s="18"/>
    </row>
    <row r="823">
      <c r="Z823" s="18"/>
    </row>
    <row r="824">
      <c r="Z824" s="18"/>
    </row>
    <row r="825">
      <c r="Z825" s="18"/>
    </row>
    <row r="826">
      <c r="Z826" s="18"/>
    </row>
    <row r="827">
      <c r="Z827" s="18"/>
    </row>
    <row r="828">
      <c r="Z828" s="18"/>
    </row>
    <row r="829">
      <c r="Z829" s="18"/>
    </row>
    <row r="830">
      <c r="Z830" s="18"/>
    </row>
    <row r="831">
      <c r="Z831" s="18"/>
    </row>
    <row r="832">
      <c r="Z832" s="18"/>
    </row>
    <row r="833">
      <c r="Z833" s="18"/>
    </row>
    <row r="834">
      <c r="Z834" s="18"/>
    </row>
    <row r="835">
      <c r="Z835" s="18"/>
    </row>
    <row r="836">
      <c r="Z836" s="18"/>
    </row>
    <row r="837">
      <c r="Z837" s="18"/>
    </row>
    <row r="838">
      <c r="Z838" s="18"/>
    </row>
    <row r="839">
      <c r="Z839" s="18"/>
    </row>
    <row r="840">
      <c r="Z840" s="18"/>
    </row>
    <row r="841">
      <c r="Z841" s="18"/>
    </row>
    <row r="842">
      <c r="Z842" s="18"/>
    </row>
    <row r="843">
      <c r="Z843" s="18"/>
    </row>
    <row r="844">
      <c r="Z844" s="18"/>
    </row>
    <row r="845">
      <c r="Z845" s="18"/>
    </row>
    <row r="846">
      <c r="Z846" s="18"/>
    </row>
    <row r="847">
      <c r="Z847" s="18"/>
    </row>
    <row r="848">
      <c r="Z848" s="18"/>
    </row>
    <row r="849">
      <c r="Z849" s="18"/>
    </row>
    <row r="850">
      <c r="Z850" s="18"/>
    </row>
    <row r="851">
      <c r="Z851" s="18"/>
    </row>
    <row r="852">
      <c r="Z852" s="18"/>
    </row>
    <row r="853">
      <c r="Z853" s="18"/>
    </row>
    <row r="854">
      <c r="Z854" s="18"/>
    </row>
    <row r="855">
      <c r="Z855" s="18"/>
    </row>
    <row r="856">
      <c r="Z856" s="18"/>
    </row>
    <row r="857">
      <c r="Z857" s="18"/>
    </row>
    <row r="858">
      <c r="Z858" s="18"/>
    </row>
    <row r="859">
      <c r="Z859" s="18"/>
    </row>
    <row r="860">
      <c r="Z860" s="18"/>
    </row>
    <row r="861">
      <c r="Z861" s="18"/>
    </row>
    <row r="862">
      <c r="Z862" s="18"/>
    </row>
    <row r="863">
      <c r="Z863" s="18"/>
    </row>
    <row r="864">
      <c r="Z864" s="18"/>
    </row>
    <row r="865">
      <c r="Z865" s="18"/>
    </row>
    <row r="866">
      <c r="Z866" s="18"/>
    </row>
    <row r="867">
      <c r="Z867" s="18"/>
    </row>
    <row r="868">
      <c r="Z868" s="18"/>
    </row>
    <row r="869">
      <c r="Z869" s="18"/>
    </row>
    <row r="870">
      <c r="Z870" s="18"/>
    </row>
    <row r="871">
      <c r="Z871" s="18"/>
    </row>
    <row r="872">
      <c r="Z872" s="18"/>
    </row>
    <row r="873">
      <c r="Z873" s="18"/>
    </row>
    <row r="874">
      <c r="Z874" s="18"/>
    </row>
    <row r="875">
      <c r="Z875" s="18"/>
    </row>
    <row r="876">
      <c r="Z876" s="18"/>
    </row>
    <row r="877">
      <c r="Z877" s="18"/>
    </row>
    <row r="878">
      <c r="Z878" s="18"/>
    </row>
    <row r="879">
      <c r="Z879" s="18"/>
    </row>
    <row r="880">
      <c r="Z880" s="18"/>
    </row>
    <row r="881">
      <c r="Z881" s="18"/>
    </row>
    <row r="882">
      <c r="Z882" s="18"/>
    </row>
    <row r="883">
      <c r="Z883" s="18"/>
    </row>
    <row r="884">
      <c r="Z884" s="18"/>
    </row>
    <row r="885">
      <c r="Z885" s="18"/>
    </row>
    <row r="886">
      <c r="Z886" s="18"/>
    </row>
    <row r="887">
      <c r="Z887" s="18"/>
    </row>
    <row r="888">
      <c r="Z888" s="18"/>
    </row>
    <row r="889">
      <c r="Z889" s="18"/>
    </row>
    <row r="890">
      <c r="Z890" s="18"/>
    </row>
    <row r="891">
      <c r="Z891" s="18"/>
    </row>
  </sheetData>
  <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23.13"/>
    <col customWidth="1" min="2" max="3" width="22.5"/>
    <col customWidth="1" min="6" max="6" width="21.38"/>
    <col customWidth="1" min="18" max="18" width="15.0"/>
  </cols>
  <sheetData>
    <row r="1"/>
    <row r="2">
      <c r="N2" s="9"/>
      <c r="O2" s="9"/>
      <c r="P2" s="9"/>
      <c r="AE2" s="9"/>
      <c r="AF2" s="9"/>
      <c r="AG2" s="9"/>
    </row>
    <row r="3">
      <c r="N3" s="81"/>
      <c r="O3" s="9"/>
      <c r="P3" s="9"/>
      <c r="AE3" s="40"/>
      <c r="AF3" s="40"/>
      <c r="AG3" s="9"/>
    </row>
    <row r="4">
      <c r="N4" s="81"/>
      <c r="O4" s="9"/>
      <c r="P4" s="9"/>
      <c r="AE4" s="40"/>
      <c r="AF4" s="40"/>
      <c r="AG4" s="9"/>
    </row>
    <row r="5">
      <c r="N5" s="81"/>
      <c r="O5" s="9"/>
      <c r="P5" s="74"/>
      <c r="AE5" s="40"/>
      <c r="AF5" s="40"/>
      <c r="AG5" s="74"/>
    </row>
    <row r="6">
      <c r="N6" s="81"/>
      <c r="O6" s="9"/>
      <c r="P6" s="74"/>
      <c r="AE6" s="40"/>
      <c r="AF6" s="40"/>
      <c r="AG6" s="74"/>
    </row>
    <row r="7">
      <c r="N7" s="81"/>
      <c r="O7" s="9"/>
      <c r="AE7" s="40"/>
      <c r="AF7" s="40"/>
    </row>
    <row r="8">
      <c r="N8" s="81"/>
      <c r="O8" s="9"/>
      <c r="AE8" s="40"/>
      <c r="AF8" s="40"/>
    </row>
    <row r="9">
      <c r="N9" s="81"/>
      <c r="O9" s="9"/>
      <c r="AE9" s="40"/>
      <c r="AF9" s="40"/>
    </row>
    <row r="10">
      <c r="N10" s="81"/>
      <c r="O10" s="9"/>
      <c r="AE10" s="40"/>
      <c r="AF10" s="40"/>
    </row>
    <row r="11">
      <c r="N11" s="81"/>
      <c r="O11" s="9"/>
      <c r="AE11" s="40"/>
      <c r="AF11" s="40"/>
    </row>
    <row r="12">
      <c r="N12" s="81"/>
      <c r="O12" s="9"/>
      <c r="AE12" s="40"/>
      <c r="AF12" s="40"/>
    </row>
    <row r="13">
      <c r="N13" s="81"/>
      <c r="O13" s="9"/>
      <c r="AE13" s="40"/>
      <c r="AF13" s="40"/>
    </row>
    <row r="14">
      <c r="J14" s="18"/>
      <c r="N14" s="81"/>
      <c r="AE14" s="40"/>
      <c r="AF14" s="40"/>
    </row>
    <row r="15">
      <c r="N15" s="81"/>
      <c r="AE15" s="40"/>
      <c r="AF15" s="40"/>
    </row>
    <row r="16">
      <c r="N16" s="81"/>
      <c r="AE16" s="40"/>
      <c r="AF16" s="40"/>
    </row>
    <row r="17">
      <c r="N17" s="81"/>
      <c r="AE17" s="40"/>
      <c r="AF17" s="40"/>
    </row>
    <row r="18">
      <c r="N18" s="81"/>
      <c r="AE18" s="40"/>
      <c r="AF18" s="40"/>
    </row>
    <row r="19">
      <c r="N19" s="81"/>
      <c r="AE19" s="40"/>
      <c r="AF19" s="40"/>
    </row>
    <row r="20">
      <c r="N20" s="81"/>
      <c r="AE20" s="40"/>
      <c r="AF20" s="40"/>
    </row>
    <row r="21">
      <c r="N21" s="81"/>
      <c r="AE21" s="40"/>
      <c r="AF21" s="40"/>
    </row>
    <row r="22">
      <c r="N22" s="81"/>
      <c r="AE22" s="40"/>
      <c r="AF22" s="40"/>
    </row>
    <row r="23">
      <c r="N23" s="81"/>
      <c r="AE23" s="40"/>
      <c r="AF23" s="40"/>
    </row>
    <row r="24">
      <c r="N24" s="81"/>
    </row>
    <row r="25">
      <c r="N25" s="81"/>
    </row>
    <row r="26">
      <c r="J26" s="40"/>
      <c r="N26" s="81"/>
    </row>
    <row r="27">
      <c r="J27" s="40"/>
      <c r="N27" s="81"/>
    </row>
    <row r="28">
      <c r="J28" s="40"/>
      <c r="N28" s="81"/>
    </row>
    <row r="29">
      <c r="J29" s="40"/>
      <c r="N29" s="81"/>
    </row>
    <row r="30">
      <c r="N30" s="81"/>
    </row>
    <row r="31">
      <c r="N31" s="81"/>
    </row>
    <row r="32">
      <c r="N32" s="81"/>
    </row>
    <row r="33">
      <c r="N33" s="81"/>
    </row>
    <row r="34">
      <c r="N34" s="81"/>
    </row>
    <row r="35">
      <c r="N35" s="81"/>
    </row>
    <row r="36">
      <c r="N36" s="81"/>
    </row>
    <row r="37">
      <c r="N37" s="81"/>
    </row>
    <row r="38">
      <c r="N38" s="81"/>
    </row>
    <row r="39">
      <c r="N39" s="81"/>
    </row>
    <row r="40">
      <c r="N40" s="81"/>
    </row>
    <row r="41">
      <c r="N41" s="81"/>
    </row>
    <row r="42">
      <c r="N42" s="81"/>
    </row>
    <row r="43">
      <c r="N43" s="81"/>
    </row>
    <row r="44">
      <c r="N44" s="81"/>
    </row>
    <row r="45">
      <c r="N45" s="81"/>
    </row>
    <row r="46">
      <c r="N46" s="81"/>
    </row>
    <row r="47">
      <c r="N47" s="81"/>
      <c r="AJ47" s="18"/>
      <c r="AK47" s="18"/>
      <c r="AL47" s="18"/>
      <c r="AM47" s="18"/>
      <c r="AN47" s="18"/>
      <c r="AO47" s="18"/>
    </row>
    <row r="48">
      <c r="N48" s="81"/>
      <c r="AJ48" s="18"/>
      <c r="AK48" s="18"/>
      <c r="AL48" s="18"/>
      <c r="AM48" s="18"/>
      <c r="AN48" s="18"/>
      <c r="AO48" s="18"/>
    </row>
    <row r="49">
      <c r="N49" s="81"/>
      <c r="AJ49" s="18"/>
      <c r="AK49" s="18"/>
      <c r="AL49" s="18"/>
      <c r="AM49" s="18"/>
      <c r="AN49" s="18"/>
      <c r="AO49" s="18"/>
    </row>
    <row r="50">
      <c r="N50" s="81"/>
      <c r="AJ50" s="18"/>
      <c r="AK50" s="18"/>
      <c r="AL50" s="18"/>
      <c r="AM50" s="18"/>
      <c r="AN50" s="18"/>
      <c r="AO50" s="18"/>
    </row>
    <row r="51">
      <c r="N51" s="81"/>
      <c r="AJ51" s="18"/>
      <c r="AK51" s="18"/>
      <c r="AL51" s="18"/>
      <c r="AM51" s="18"/>
      <c r="AN51" s="18"/>
      <c r="AO51" s="18"/>
    </row>
    <row r="52">
      <c r="N52" s="81"/>
      <c r="AJ52" s="18"/>
      <c r="AK52" s="18"/>
      <c r="AL52" s="18"/>
      <c r="AM52" s="18"/>
      <c r="AN52" s="18"/>
      <c r="AO52" s="18"/>
    </row>
    <row r="53">
      <c r="N53" s="81"/>
      <c r="AJ53" s="18"/>
      <c r="AK53" s="18"/>
      <c r="AL53" s="18"/>
      <c r="AM53" s="18"/>
      <c r="AN53" s="18"/>
      <c r="AO53" s="18"/>
    </row>
    <row r="54">
      <c r="N54" s="81"/>
      <c r="AJ54" s="18"/>
      <c r="AK54" s="18"/>
      <c r="AL54" s="18"/>
      <c r="AM54" s="18"/>
      <c r="AN54" s="18"/>
      <c r="AO54" s="18"/>
    </row>
    <row r="55">
      <c r="N55" s="81"/>
      <c r="AJ55" s="18"/>
      <c r="AK55" s="18"/>
      <c r="AL55" s="18"/>
      <c r="AM55" s="18"/>
      <c r="AN55" s="18"/>
      <c r="AO55" s="18"/>
    </row>
    <row r="56">
      <c r="N56" s="81"/>
      <c r="AJ56" s="18"/>
      <c r="AK56" s="18"/>
      <c r="AL56" s="18"/>
      <c r="AM56" s="18"/>
      <c r="AN56" s="18"/>
      <c r="AO56" s="18"/>
    </row>
    <row r="57">
      <c r="N57" s="81"/>
      <c r="AJ57" s="18"/>
      <c r="AK57" s="18"/>
      <c r="AL57" s="18"/>
      <c r="AM57" s="18"/>
      <c r="AN57" s="18"/>
      <c r="AO57" s="18"/>
    </row>
    <row r="58">
      <c r="N58" s="81"/>
      <c r="AJ58" s="18"/>
      <c r="AK58" s="18"/>
      <c r="AL58" s="18"/>
      <c r="AM58" s="18"/>
      <c r="AN58" s="18"/>
      <c r="AO58" s="18"/>
    </row>
    <row r="59">
      <c r="N59" s="81"/>
      <c r="AJ59" s="18"/>
      <c r="AK59" s="18"/>
      <c r="AL59" s="18"/>
      <c r="AM59" s="18"/>
      <c r="AN59" s="18"/>
      <c r="AO59" s="18"/>
    </row>
    <row r="60">
      <c r="N60" s="81"/>
      <c r="AJ60" s="18"/>
      <c r="AK60" s="18"/>
      <c r="AL60" s="18"/>
      <c r="AM60" s="18"/>
      <c r="AN60" s="18"/>
      <c r="AO60" s="18"/>
    </row>
    <row r="61">
      <c r="N61" s="81"/>
      <c r="AJ61" s="18"/>
      <c r="AK61" s="18"/>
      <c r="AL61" s="18"/>
      <c r="AM61" s="18"/>
      <c r="AN61" s="18"/>
      <c r="AO61" s="18"/>
    </row>
    <row r="62">
      <c r="N62" s="81"/>
      <c r="AJ62" s="18"/>
      <c r="AK62" s="18"/>
      <c r="AL62" s="18"/>
      <c r="AM62" s="18"/>
      <c r="AN62" s="18"/>
      <c r="AO62" s="18"/>
    </row>
    <row r="63">
      <c r="N63" s="81"/>
      <c r="AJ63" s="18"/>
      <c r="AK63" s="18"/>
      <c r="AL63" s="18"/>
      <c r="AM63" s="18"/>
      <c r="AN63" s="18"/>
      <c r="AO63" s="18"/>
    </row>
    <row r="64"/>
    <row r="65"/>
    <row r="66"/>
    <row r="67"/>
    <row r="68"/>
    <row r="69"/>
    <row r="70"/>
    <row r="71"/>
    <row r="72"/>
    <row r="73"/>
    <row r="74"/>
    <row r="75"/>
    <row r="76"/>
    <row r="77"/>
    <row r="78"/>
    <row r="79"/>
    <row r="80"/>
    <row r="81"/>
    <row r="82"/>
    <row r="83"/>
    <row r="84"/>
    <row r="85"/>
    <row r="86"/>
    <row r="87">
      <c r="F87" s="7"/>
      <c r="G87" s="214"/>
    </row>
    <row r="88">
      <c r="F88" s="7"/>
      <c r="G88" s="214"/>
    </row>
    <row r="89">
      <c r="F89" s="7"/>
      <c r="G89" s="214"/>
    </row>
    <row r="90">
      <c r="F90" s="7"/>
    </row>
    <row r="91">
      <c r="F91" s="7" t="s">
        <v>1246</v>
      </c>
      <c r="G91" s="214">
        <v>2000.0</v>
      </c>
    </row>
    <row r="92">
      <c r="F92" s="10" t="s">
        <v>1247</v>
      </c>
      <c r="G92" s="166">
        <v>1500.0</v>
      </c>
    </row>
    <row r="93">
      <c r="F93" s="16" t="s">
        <v>1248</v>
      </c>
    </row>
    <row r="94">
      <c r="F94" s="16" t="s">
        <v>1249</v>
      </c>
    </row>
    <row r="95">
      <c r="F95" s="16" t="s">
        <v>1250</v>
      </c>
    </row>
    <row r="96">
      <c r="F96" s="16" t="s">
        <v>1156</v>
      </c>
    </row>
    <row r="97">
      <c r="F97" s="16" t="s">
        <v>1251</v>
      </c>
      <c r="G97" s="16">
        <v>3000.0</v>
      </c>
    </row>
    <row r="98">
      <c r="F98" s="16" t="s">
        <v>1252</v>
      </c>
      <c r="G98" s="16">
        <v>2000.0</v>
      </c>
    </row>
    <row r="99">
      <c r="F99" s="16" t="s">
        <v>1253</v>
      </c>
      <c r="G99" s="16">
        <v>2000.0</v>
      </c>
      <c r="H99" s="16" t="s">
        <v>1254</v>
      </c>
    </row>
    <row r="100">
      <c r="F100" s="16" t="s">
        <v>1255</v>
      </c>
      <c r="G100" s="16">
        <v>1250.0</v>
      </c>
    </row>
    <row r="101">
      <c r="F101" s="16" t="s">
        <v>1256</v>
      </c>
      <c r="G101" s="16">
        <v>2500.0</v>
      </c>
    </row>
    <row r="102">
      <c r="F102" s="16" t="s">
        <v>1257</v>
      </c>
      <c r="H102" s="16" t="s">
        <v>1258</v>
      </c>
    </row>
    <row r="103">
      <c r="F103" s="16" t="s">
        <v>1259</v>
      </c>
    </row>
    <row r="104">
      <c r="F104" s="16" t="s">
        <v>1260</v>
      </c>
      <c r="G104" s="16">
        <v>2000.0</v>
      </c>
    </row>
    <row r="105">
      <c r="F105" s="16" t="s">
        <v>1261</v>
      </c>
    </row>
    <row r="106">
      <c r="F106" s="16" t="s">
        <v>1262</v>
      </c>
    </row>
    <row r="107">
      <c r="F107" s="16" t="s">
        <v>37</v>
      </c>
    </row>
    <row r="108">
      <c r="F108" s="16" t="s">
        <v>1263</v>
      </c>
      <c r="G108" s="16">
        <v>1500.0</v>
      </c>
    </row>
    <row r="109">
      <c r="F109" s="16" t="s">
        <v>1264</v>
      </c>
      <c r="G109" s="16">
        <v>600.0</v>
      </c>
    </row>
    <row r="110">
      <c r="F110" s="16" t="s">
        <v>1265</v>
      </c>
    </row>
    <row r="111">
      <c r="F111" s="16" t="s">
        <v>1266</v>
      </c>
    </row>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c r="Z266" s="18"/>
    </row>
    <row r="267">
      <c r="Z267" s="18"/>
    </row>
    <row r="268">
      <c r="Z268" s="18"/>
    </row>
    <row r="269">
      <c r="Z269" s="18"/>
    </row>
    <row r="270">
      <c r="Z270" s="18"/>
    </row>
    <row r="271">
      <c r="Z271" s="18"/>
    </row>
    <row r="272">
      <c r="Z272" s="18"/>
    </row>
    <row r="273">
      <c r="Z273" s="18"/>
    </row>
    <row r="274">
      <c r="Z274" s="18"/>
    </row>
    <row r="275">
      <c r="Z275" s="18"/>
    </row>
    <row r="276">
      <c r="Z276" s="18"/>
    </row>
    <row r="277">
      <c r="Z277" s="18"/>
    </row>
    <row r="278">
      <c r="Z278" s="18"/>
    </row>
    <row r="279">
      <c r="Z279" s="18"/>
    </row>
    <row r="280">
      <c r="Z280" s="18"/>
    </row>
    <row r="281">
      <c r="Z281" s="18"/>
    </row>
    <row r="282">
      <c r="Z282" s="18"/>
    </row>
    <row r="283">
      <c r="Z283" s="18"/>
    </row>
    <row r="284">
      <c r="Z284" s="18"/>
    </row>
    <row r="285">
      <c r="Z285" s="18"/>
    </row>
    <row r="286">
      <c r="Z286" s="18"/>
    </row>
    <row r="287">
      <c r="Z287" s="18"/>
    </row>
    <row r="288">
      <c r="Z288" s="18"/>
    </row>
    <row r="289">
      <c r="Z289" s="18"/>
    </row>
    <row r="290">
      <c r="Z290" s="18"/>
    </row>
    <row r="291">
      <c r="Z291" s="18"/>
    </row>
    <row r="292">
      <c r="Z292" s="18"/>
    </row>
    <row r="293">
      <c r="Z293" s="18"/>
    </row>
    <row r="294">
      <c r="Z294" s="18"/>
    </row>
    <row r="295">
      <c r="Z295" s="18"/>
    </row>
    <row r="296">
      <c r="Z296" s="18"/>
    </row>
    <row r="297">
      <c r="Z297" s="18"/>
    </row>
    <row r="298">
      <c r="Z298" s="18"/>
    </row>
    <row r="299">
      <c r="Z299" s="18"/>
    </row>
    <row r="300">
      <c r="Z300" s="18"/>
    </row>
    <row r="301">
      <c r="Z301" s="18"/>
    </row>
    <row r="302">
      <c r="Z302" s="18"/>
    </row>
    <row r="303">
      <c r="Z303" s="18"/>
    </row>
    <row r="304">
      <c r="Z304" s="18"/>
    </row>
    <row r="305">
      <c r="Z305" s="18"/>
    </row>
    <row r="306">
      <c r="Z306" s="18"/>
    </row>
    <row r="307">
      <c r="Z307" s="18"/>
    </row>
    <row r="308">
      <c r="Z308" s="18"/>
    </row>
    <row r="309">
      <c r="Z309" s="18"/>
    </row>
    <row r="310">
      <c r="Z310" s="18"/>
    </row>
    <row r="311">
      <c r="Z311" s="18"/>
    </row>
    <row r="312">
      <c r="Z312" s="18"/>
    </row>
    <row r="313">
      <c r="Z313" s="18"/>
    </row>
    <row r="314">
      <c r="Z314" s="18"/>
    </row>
    <row r="315">
      <c r="Z315" s="18"/>
    </row>
    <row r="316">
      <c r="Z316" s="18"/>
    </row>
    <row r="317">
      <c r="Z317" s="18"/>
    </row>
    <row r="318">
      <c r="Z318" s="18"/>
    </row>
    <row r="319">
      <c r="Z319" s="18"/>
    </row>
    <row r="320">
      <c r="Z320" s="18"/>
    </row>
    <row r="321">
      <c r="Z321" s="18"/>
    </row>
    <row r="322">
      <c r="Z322" s="18"/>
    </row>
    <row r="323">
      <c r="Z323" s="18"/>
    </row>
    <row r="324">
      <c r="Z324" s="18"/>
    </row>
    <row r="325">
      <c r="Z325" s="18"/>
    </row>
    <row r="326">
      <c r="Z326" s="18"/>
    </row>
    <row r="327">
      <c r="Z327" s="18"/>
    </row>
    <row r="328">
      <c r="Z328" s="18"/>
    </row>
    <row r="329">
      <c r="Z329" s="18"/>
    </row>
    <row r="330">
      <c r="Z330" s="18"/>
    </row>
    <row r="331">
      <c r="Z331" s="18"/>
    </row>
    <row r="332">
      <c r="Z332" s="18"/>
    </row>
    <row r="333">
      <c r="Z333" s="18"/>
    </row>
    <row r="334">
      <c r="Z334" s="18"/>
    </row>
    <row r="335">
      <c r="Z335" s="18"/>
    </row>
    <row r="336">
      <c r="Z336" s="18"/>
    </row>
    <row r="337">
      <c r="Z337" s="18"/>
    </row>
    <row r="338">
      <c r="Z338" s="18"/>
    </row>
    <row r="339">
      <c r="Z339" s="18"/>
    </row>
    <row r="340">
      <c r="Z340" s="18"/>
    </row>
    <row r="341">
      <c r="Z341" s="18"/>
    </row>
    <row r="342">
      <c r="Z342" s="18"/>
    </row>
    <row r="343">
      <c r="Z343" s="18"/>
    </row>
    <row r="344">
      <c r="Z344" s="18"/>
    </row>
    <row r="345">
      <c r="Z345" s="18"/>
    </row>
    <row r="346">
      <c r="Z346" s="18"/>
    </row>
    <row r="347">
      <c r="Z347" s="18"/>
    </row>
    <row r="348">
      <c r="Z348" s="18"/>
    </row>
    <row r="349">
      <c r="Z349" s="18"/>
    </row>
    <row r="350">
      <c r="Z350" s="18"/>
    </row>
    <row r="351">
      <c r="Z351" s="18"/>
    </row>
    <row r="352">
      <c r="Z352" s="18"/>
    </row>
    <row r="353">
      <c r="Z353" s="18"/>
    </row>
    <row r="354">
      <c r="Z354" s="18"/>
    </row>
    <row r="355">
      <c r="Z355" s="18"/>
    </row>
    <row r="356">
      <c r="Z356" s="18"/>
    </row>
    <row r="357">
      <c r="Z357" s="18"/>
    </row>
    <row r="358">
      <c r="Z358" s="18"/>
    </row>
    <row r="359">
      <c r="Z359" s="18"/>
    </row>
    <row r="360">
      <c r="Z360" s="18"/>
    </row>
    <row r="361">
      <c r="Z361" s="18"/>
    </row>
    <row r="362">
      <c r="Z362" s="18"/>
    </row>
    <row r="363">
      <c r="Z363" s="18"/>
    </row>
    <row r="364">
      <c r="Z364" s="18"/>
    </row>
    <row r="365">
      <c r="Z365" s="18"/>
    </row>
    <row r="366">
      <c r="Z366" s="18"/>
    </row>
    <row r="367">
      <c r="Z367" s="18"/>
    </row>
    <row r="368">
      <c r="Z368" s="18"/>
    </row>
    <row r="369">
      <c r="Z369" s="18"/>
    </row>
    <row r="370">
      <c r="Z370" s="18"/>
    </row>
    <row r="371">
      <c r="Z371" s="18"/>
    </row>
    <row r="372">
      <c r="Z372" s="18"/>
    </row>
    <row r="373">
      <c r="Z373" s="18"/>
    </row>
    <row r="374">
      <c r="Z374" s="18"/>
    </row>
    <row r="375">
      <c r="Z375" s="18"/>
    </row>
    <row r="376">
      <c r="Z376" s="18"/>
    </row>
    <row r="377">
      <c r="Z377" s="18"/>
    </row>
    <row r="378">
      <c r="Z378" s="18"/>
    </row>
    <row r="379">
      <c r="Z379" s="18"/>
    </row>
    <row r="380">
      <c r="Z380" s="18"/>
    </row>
    <row r="381">
      <c r="Z381" s="18"/>
    </row>
    <row r="382">
      <c r="Z382" s="18"/>
    </row>
    <row r="383">
      <c r="Z383" s="18"/>
    </row>
    <row r="384">
      <c r="Z384" s="18"/>
    </row>
    <row r="385">
      <c r="Z385" s="18"/>
    </row>
    <row r="386">
      <c r="Z386" s="18"/>
    </row>
    <row r="387">
      <c r="Z387" s="18"/>
    </row>
    <row r="388">
      <c r="Z388" s="18"/>
    </row>
    <row r="389">
      <c r="Z389" s="18"/>
    </row>
    <row r="390">
      <c r="Z390" s="18"/>
    </row>
    <row r="391">
      <c r="Z391" s="18"/>
    </row>
    <row r="392">
      <c r="Z392" s="18"/>
    </row>
    <row r="393">
      <c r="Z393" s="18"/>
    </row>
    <row r="394">
      <c r="Z394" s="18"/>
    </row>
    <row r="395">
      <c r="Z395" s="18"/>
    </row>
    <row r="396">
      <c r="Z396" s="18"/>
    </row>
    <row r="397">
      <c r="Z397" s="18"/>
    </row>
    <row r="398">
      <c r="Z398" s="18"/>
    </row>
    <row r="399">
      <c r="Z399" s="18"/>
    </row>
    <row r="400">
      <c r="Z400" s="18"/>
    </row>
    <row r="401">
      <c r="Z401" s="18"/>
    </row>
    <row r="402">
      <c r="Z402" s="18"/>
    </row>
    <row r="403">
      <c r="Z403" s="18"/>
    </row>
    <row r="404">
      <c r="Z404" s="18"/>
    </row>
    <row r="405">
      <c r="Z405" s="18"/>
    </row>
    <row r="406">
      <c r="Z406" s="18"/>
    </row>
    <row r="407">
      <c r="Z407" s="18"/>
    </row>
    <row r="408">
      <c r="Z408" s="18"/>
    </row>
    <row r="409">
      <c r="Z409" s="18"/>
    </row>
    <row r="410">
      <c r="Z410" s="18"/>
    </row>
    <row r="411">
      <c r="Z411" s="18"/>
    </row>
    <row r="412">
      <c r="Z412" s="18"/>
    </row>
    <row r="413">
      <c r="Z413" s="18"/>
    </row>
    <row r="414">
      <c r="Z414" s="18"/>
    </row>
    <row r="415">
      <c r="Z415" s="18"/>
    </row>
    <row r="416">
      <c r="Z416" s="18"/>
    </row>
    <row r="417">
      <c r="Z417" s="18"/>
    </row>
    <row r="418">
      <c r="Z418" s="18"/>
    </row>
    <row r="419">
      <c r="Z419" s="18"/>
    </row>
    <row r="420">
      <c r="Z420" s="18"/>
    </row>
    <row r="421">
      <c r="Z421" s="18"/>
    </row>
    <row r="422">
      <c r="Z422" s="18"/>
    </row>
    <row r="423">
      <c r="Z423" s="18"/>
    </row>
    <row r="424">
      <c r="Z424" s="18"/>
    </row>
    <row r="425">
      <c r="Z425" s="18"/>
    </row>
    <row r="426">
      <c r="Z426" s="18"/>
    </row>
    <row r="427">
      <c r="Z427" s="18"/>
    </row>
    <row r="428">
      <c r="Z428" s="18"/>
    </row>
    <row r="429">
      <c r="Z429" s="18"/>
    </row>
    <row r="430">
      <c r="Z430" s="18"/>
    </row>
    <row r="431">
      <c r="Z431" s="18"/>
    </row>
    <row r="432">
      <c r="Z432" s="18"/>
    </row>
    <row r="433">
      <c r="Z433" s="18"/>
    </row>
    <row r="434">
      <c r="Z434" s="18"/>
    </row>
    <row r="435">
      <c r="Z435" s="18"/>
    </row>
    <row r="436">
      <c r="Z436" s="18"/>
    </row>
    <row r="437">
      <c r="Z437" s="18"/>
    </row>
    <row r="438">
      <c r="Z438" s="18"/>
    </row>
    <row r="439">
      <c r="Z439" s="18"/>
    </row>
    <row r="440">
      <c r="Z440" s="18"/>
    </row>
    <row r="441">
      <c r="Z441" s="18"/>
    </row>
    <row r="442">
      <c r="Z442" s="18"/>
    </row>
    <row r="443">
      <c r="Z443" s="18"/>
    </row>
    <row r="444">
      <c r="Z444" s="18"/>
    </row>
    <row r="445">
      <c r="Z445" s="18"/>
    </row>
    <row r="446">
      <c r="Z446" s="18"/>
    </row>
    <row r="447">
      <c r="Z447" s="18"/>
    </row>
    <row r="448">
      <c r="Z448" s="18"/>
    </row>
    <row r="449">
      <c r="Z449" s="18"/>
    </row>
    <row r="450">
      <c r="Z450" s="18"/>
    </row>
    <row r="451">
      <c r="Z451" s="18"/>
    </row>
    <row r="452">
      <c r="Z452" s="18"/>
    </row>
    <row r="453">
      <c r="Z453" s="18"/>
    </row>
    <row r="454">
      <c r="Z454" s="18"/>
    </row>
    <row r="455">
      <c r="Z455" s="18"/>
    </row>
    <row r="456">
      <c r="Z456" s="18"/>
    </row>
    <row r="457">
      <c r="Z457" s="18"/>
    </row>
    <row r="458">
      <c r="Z458" s="18"/>
    </row>
    <row r="459">
      <c r="Z459" s="18"/>
    </row>
    <row r="460">
      <c r="Z460" s="18"/>
    </row>
    <row r="461">
      <c r="Z461" s="18"/>
    </row>
    <row r="462">
      <c r="Z462" s="18"/>
    </row>
    <row r="463">
      <c r="Z463" s="18"/>
    </row>
    <row r="464">
      <c r="Z464" s="18"/>
    </row>
    <row r="465">
      <c r="Z465" s="18"/>
    </row>
    <row r="466">
      <c r="Z466" s="18"/>
    </row>
    <row r="467">
      <c r="Z467" s="18"/>
    </row>
    <row r="468">
      <c r="Z468" s="18"/>
    </row>
    <row r="469">
      <c r="Z469" s="18"/>
    </row>
    <row r="470">
      <c r="Z470" s="18"/>
    </row>
    <row r="471">
      <c r="Z471" s="18"/>
    </row>
    <row r="472">
      <c r="Z472" s="18"/>
    </row>
    <row r="473">
      <c r="Z473" s="18"/>
    </row>
    <row r="474">
      <c r="Z474" s="18"/>
    </row>
    <row r="475">
      <c r="Z475" s="18"/>
    </row>
    <row r="476">
      <c r="Z476" s="18"/>
    </row>
    <row r="477">
      <c r="Z477" s="18"/>
    </row>
    <row r="478">
      <c r="Z478" s="18"/>
    </row>
    <row r="479">
      <c r="Z479" s="18"/>
    </row>
    <row r="480">
      <c r="Z480" s="18"/>
    </row>
    <row r="481">
      <c r="Z481" s="18"/>
    </row>
    <row r="482">
      <c r="Z482" s="18"/>
    </row>
    <row r="483">
      <c r="Z483" s="18"/>
    </row>
    <row r="484">
      <c r="Z484" s="18"/>
    </row>
    <row r="485">
      <c r="Z485" s="18"/>
    </row>
    <row r="486">
      <c r="Z486" s="18"/>
    </row>
    <row r="487">
      <c r="Z487" s="18"/>
    </row>
    <row r="488">
      <c r="Z488" s="18"/>
    </row>
    <row r="489">
      <c r="Z489" s="18"/>
    </row>
    <row r="490">
      <c r="Z490" s="18"/>
    </row>
    <row r="491">
      <c r="Z491" s="18"/>
    </row>
    <row r="492">
      <c r="Z492" s="18"/>
    </row>
    <row r="493">
      <c r="Z493" s="18"/>
    </row>
    <row r="494">
      <c r="Z494" s="18"/>
    </row>
    <row r="495">
      <c r="Z495" s="18"/>
    </row>
    <row r="496">
      <c r="Z496" s="18"/>
    </row>
    <row r="497">
      <c r="Z497" s="18"/>
    </row>
    <row r="498">
      <c r="Z498" s="18"/>
    </row>
    <row r="499">
      <c r="Z499" s="18"/>
    </row>
    <row r="500">
      <c r="Z500" s="18"/>
    </row>
    <row r="501">
      <c r="Z501" s="18"/>
    </row>
    <row r="502">
      <c r="Z502" s="18"/>
    </row>
    <row r="503">
      <c r="Z503" s="18"/>
    </row>
    <row r="504">
      <c r="Z504" s="18"/>
    </row>
    <row r="505">
      <c r="Z505" s="18"/>
    </row>
    <row r="506">
      <c r="Z506" s="18"/>
    </row>
    <row r="507">
      <c r="Z507" s="18"/>
    </row>
    <row r="508">
      <c r="Z508" s="18"/>
    </row>
    <row r="509">
      <c r="Z509" s="18"/>
    </row>
    <row r="510">
      <c r="Z510" s="18"/>
    </row>
    <row r="511">
      <c r="Z511" s="18"/>
    </row>
    <row r="512">
      <c r="Z512" s="18"/>
    </row>
    <row r="513">
      <c r="Z513" s="18"/>
    </row>
    <row r="514">
      <c r="Z514" s="18"/>
    </row>
    <row r="515">
      <c r="Z515" s="18"/>
    </row>
    <row r="516">
      <c r="Z516" s="18"/>
    </row>
    <row r="517">
      <c r="Z517" s="18"/>
    </row>
    <row r="518">
      <c r="Z518" s="18"/>
    </row>
    <row r="519">
      <c r="Z519" s="18"/>
    </row>
    <row r="520">
      <c r="Z520" s="18"/>
    </row>
    <row r="521">
      <c r="Z521" s="18"/>
    </row>
    <row r="522">
      <c r="Z522" s="18"/>
    </row>
    <row r="523">
      <c r="Z523" s="18"/>
    </row>
    <row r="524">
      <c r="Z524" s="18"/>
    </row>
    <row r="525">
      <c r="Z525" s="18"/>
    </row>
    <row r="526">
      <c r="Z526" s="18"/>
    </row>
    <row r="527">
      <c r="Z527" s="18"/>
    </row>
    <row r="528">
      <c r="Z528" s="18"/>
    </row>
    <row r="529">
      <c r="Z529" s="18"/>
    </row>
    <row r="530">
      <c r="Z530" s="18"/>
    </row>
    <row r="531">
      <c r="Z531" s="18"/>
    </row>
    <row r="532">
      <c r="Z532" s="18"/>
    </row>
    <row r="533">
      <c r="Z533" s="18"/>
    </row>
    <row r="534">
      <c r="Z534" s="18"/>
    </row>
    <row r="535">
      <c r="Z535" s="18"/>
    </row>
    <row r="536">
      <c r="Z536" s="18"/>
    </row>
    <row r="537">
      <c r="Z537" s="18"/>
    </row>
    <row r="538">
      <c r="Z538" s="18"/>
    </row>
    <row r="539">
      <c r="Z539" s="18"/>
    </row>
    <row r="540">
      <c r="Z540" s="18"/>
    </row>
    <row r="541">
      <c r="Z541" s="18"/>
    </row>
    <row r="542">
      <c r="Z542" s="18"/>
    </row>
    <row r="543">
      <c r="Z543" s="18"/>
    </row>
    <row r="544">
      <c r="Z544" s="18"/>
    </row>
    <row r="545">
      <c r="Z545" s="18"/>
    </row>
    <row r="546">
      <c r="Z546" s="18"/>
    </row>
    <row r="547">
      <c r="Z547" s="18"/>
    </row>
    <row r="548">
      <c r="Z548" s="18"/>
    </row>
    <row r="549">
      <c r="Z549" s="18"/>
    </row>
    <row r="550">
      <c r="Z550" s="18"/>
    </row>
    <row r="551">
      <c r="Z551" s="18"/>
    </row>
    <row r="552">
      <c r="Z552" s="18"/>
    </row>
    <row r="553">
      <c r="Z553" s="18"/>
    </row>
    <row r="554">
      <c r="Z554" s="18"/>
    </row>
    <row r="555">
      <c r="Z555" s="18"/>
    </row>
    <row r="556">
      <c r="Z556" s="18"/>
    </row>
    <row r="557">
      <c r="Z557" s="18"/>
    </row>
    <row r="558">
      <c r="Z558" s="18"/>
    </row>
    <row r="559">
      <c r="Z559" s="18"/>
    </row>
    <row r="560">
      <c r="Z560" s="18"/>
    </row>
    <row r="561">
      <c r="Z561" s="18"/>
    </row>
    <row r="562">
      <c r="Z562" s="18"/>
    </row>
    <row r="563">
      <c r="Z563" s="18"/>
    </row>
    <row r="564">
      <c r="Z564" s="18"/>
    </row>
    <row r="565">
      <c r="Z565" s="18"/>
    </row>
    <row r="566">
      <c r="Z566" s="18"/>
    </row>
    <row r="567">
      <c r="Z567" s="18"/>
    </row>
    <row r="568">
      <c r="Z568" s="18"/>
    </row>
    <row r="569">
      <c r="Z569" s="18"/>
    </row>
    <row r="570">
      <c r="Z570" s="18"/>
    </row>
    <row r="571">
      <c r="Z571" s="18"/>
    </row>
    <row r="572">
      <c r="Z572" s="18"/>
    </row>
    <row r="573">
      <c r="Z573" s="18"/>
    </row>
    <row r="574">
      <c r="Z574" s="18"/>
    </row>
    <row r="575">
      <c r="Z575" s="18"/>
    </row>
    <row r="576">
      <c r="Z576" s="18"/>
    </row>
    <row r="577">
      <c r="Z577" s="18"/>
    </row>
    <row r="578">
      <c r="Z578" s="18"/>
    </row>
    <row r="579">
      <c r="Z579" s="18"/>
    </row>
    <row r="580">
      <c r="Z580" s="18"/>
    </row>
    <row r="581">
      <c r="Z581" s="18"/>
    </row>
    <row r="582">
      <c r="Z582" s="18"/>
    </row>
    <row r="583">
      <c r="Z583" s="18"/>
    </row>
    <row r="584">
      <c r="Z584" s="18"/>
    </row>
    <row r="585">
      <c r="Z585" s="18"/>
    </row>
    <row r="586">
      <c r="Z586" s="18"/>
    </row>
    <row r="587">
      <c r="Z587" s="18"/>
    </row>
    <row r="588">
      <c r="Z588" s="18"/>
    </row>
    <row r="589">
      <c r="Z589" s="18"/>
    </row>
    <row r="590">
      <c r="Z590" s="18"/>
    </row>
    <row r="591">
      <c r="Z591" s="18"/>
    </row>
    <row r="592">
      <c r="Z592" s="18"/>
    </row>
    <row r="593">
      <c r="Z593" s="18"/>
    </row>
    <row r="594">
      <c r="Z594" s="18"/>
    </row>
    <row r="595">
      <c r="Z595" s="18"/>
    </row>
    <row r="596">
      <c r="Z596" s="18"/>
    </row>
    <row r="597">
      <c r="Z597" s="18"/>
    </row>
    <row r="598">
      <c r="Z598" s="18"/>
    </row>
    <row r="599">
      <c r="Z599" s="18"/>
    </row>
    <row r="600">
      <c r="Z600" s="18"/>
    </row>
    <row r="601">
      <c r="Z601" s="18"/>
    </row>
    <row r="602">
      <c r="Z602" s="18"/>
    </row>
    <row r="603">
      <c r="Z603" s="18"/>
    </row>
    <row r="604">
      <c r="Z604" s="18"/>
    </row>
    <row r="605">
      <c r="Z605" s="18"/>
    </row>
    <row r="606">
      <c r="Z606" s="18"/>
    </row>
    <row r="607">
      <c r="Z607" s="18"/>
    </row>
    <row r="608">
      <c r="Z608" s="18"/>
    </row>
    <row r="609">
      <c r="Z609" s="18"/>
    </row>
    <row r="610">
      <c r="Z610" s="18"/>
    </row>
    <row r="611">
      <c r="Z611" s="18"/>
    </row>
    <row r="612">
      <c r="Z612" s="18"/>
    </row>
    <row r="613">
      <c r="Z613" s="18"/>
    </row>
    <row r="614">
      <c r="Z614" s="18"/>
    </row>
    <row r="615">
      <c r="Z615" s="18"/>
    </row>
    <row r="616">
      <c r="Z616" s="18"/>
    </row>
    <row r="617">
      <c r="Z617" s="18"/>
    </row>
    <row r="618">
      <c r="Z618" s="18"/>
    </row>
    <row r="619">
      <c r="Z619" s="18"/>
    </row>
    <row r="620">
      <c r="Z620" s="18"/>
    </row>
    <row r="621">
      <c r="Z621" s="18"/>
    </row>
    <row r="622">
      <c r="Z622" s="18"/>
    </row>
    <row r="623">
      <c r="Z623" s="18"/>
    </row>
    <row r="624">
      <c r="Z624" s="18"/>
    </row>
    <row r="625">
      <c r="Z625" s="18"/>
    </row>
    <row r="626">
      <c r="Z626" s="18"/>
    </row>
    <row r="627">
      <c r="Z627" s="18"/>
    </row>
    <row r="628">
      <c r="Z628" s="18"/>
    </row>
    <row r="629">
      <c r="Z629" s="18"/>
    </row>
    <row r="630">
      <c r="Z630" s="18"/>
    </row>
    <row r="631">
      <c r="Z631" s="18"/>
    </row>
    <row r="632">
      <c r="Z632" s="18"/>
    </row>
    <row r="633">
      <c r="Z633" s="18"/>
    </row>
    <row r="634">
      <c r="Z634" s="18"/>
    </row>
    <row r="635">
      <c r="Z635" s="18"/>
    </row>
    <row r="636">
      <c r="Z636" s="18"/>
    </row>
    <row r="637">
      <c r="Z637" s="18"/>
    </row>
    <row r="638">
      <c r="Z638" s="18"/>
    </row>
    <row r="639">
      <c r="Z639" s="18"/>
    </row>
    <row r="640">
      <c r="Z640" s="18"/>
    </row>
    <row r="641">
      <c r="Z641" s="18"/>
    </row>
    <row r="642">
      <c r="Z642" s="18"/>
    </row>
    <row r="643">
      <c r="Z643" s="18"/>
    </row>
    <row r="644">
      <c r="Z644" s="18"/>
    </row>
    <row r="645">
      <c r="Z645" s="18"/>
    </row>
    <row r="646">
      <c r="Z646" s="18"/>
    </row>
    <row r="647">
      <c r="Z647" s="18"/>
    </row>
    <row r="648">
      <c r="Z648" s="18"/>
    </row>
    <row r="649">
      <c r="Z649" s="18"/>
    </row>
    <row r="650">
      <c r="Z650" s="18"/>
    </row>
    <row r="651">
      <c r="Z651" s="18"/>
    </row>
    <row r="652">
      <c r="Z652" s="18"/>
    </row>
    <row r="653">
      <c r="Z653" s="18"/>
    </row>
    <row r="654">
      <c r="Z654" s="18"/>
    </row>
    <row r="655">
      <c r="Z655" s="18"/>
    </row>
    <row r="656">
      <c r="Z656" s="18"/>
    </row>
    <row r="657">
      <c r="Z657" s="18"/>
    </row>
    <row r="658">
      <c r="Z658" s="18"/>
    </row>
    <row r="659">
      <c r="Z659" s="18"/>
    </row>
    <row r="660">
      <c r="Z660" s="18"/>
    </row>
    <row r="661">
      <c r="Z661" s="18"/>
    </row>
    <row r="662">
      <c r="Z662" s="18"/>
    </row>
    <row r="663">
      <c r="Z663" s="18"/>
    </row>
    <row r="664">
      <c r="Z664" s="18"/>
    </row>
    <row r="665">
      <c r="Z665" s="18"/>
    </row>
    <row r="666">
      <c r="Z666" s="18"/>
    </row>
    <row r="667">
      <c r="Z667" s="18"/>
    </row>
    <row r="668">
      <c r="Z668" s="18"/>
    </row>
    <row r="669">
      <c r="Z669" s="18"/>
    </row>
    <row r="670">
      <c r="Z670" s="18"/>
    </row>
    <row r="671">
      <c r="Z671" s="18"/>
    </row>
    <row r="672">
      <c r="Z672" s="18"/>
    </row>
    <row r="673">
      <c r="Z673" s="18"/>
    </row>
    <row r="674">
      <c r="Z674" s="18"/>
    </row>
    <row r="675">
      <c r="Z675" s="18"/>
    </row>
    <row r="676">
      <c r="Z676" s="18"/>
    </row>
    <row r="677">
      <c r="Z677" s="18"/>
    </row>
    <row r="678">
      <c r="Z678" s="18"/>
    </row>
    <row r="679">
      <c r="Z679" s="18"/>
    </row>
    <row r="680">
      <c r="Z680" s="18"/>
    </row>
    <row r="681">
      <c r="Z681" s="18"/>
    </row>
    <row r="682">
      <c r="Z682" s="18"/>
    </row>
    <row r="683">
      <c r="Z683" s="18"/>
    </row>
    <row r="684">
      <c r="Z684" s="18"/>
    </row>
    <row r="685">
      <c r="Z685" s="18"/>
    </row>
    <row r="686">
      <c r="Z686" s="18"/>
    </row>
    <row r="687">
      <c r="Z687" s="18"/>
    </row>
    <row r="688">
      <c r="Z688" s="18"/>
    </row>
    <row r="689">
      <c r="Z689" s="18"/>
    </row>
    <row r="690">
      <c r="Z690" s="18"/>
    </row>
    <row r="691">
      <c r="Z691" s="18"/>
    </row>
    <row r="692">
      <c r="Z692" s="18"/>
    </row>
    <row r="693">
      <c r="Z693" s="18"/>
    </row>
    <row r="694">
      <c r="Z694" s="18"/>
    </row>
    <row r="695">
      <c r="Z695" s="18"/>
    </row>
    <row r="696">
      <c r="Z696" s="18"/>
    </row>
    <row r="697">
      <c r="Z697" s="18"/>
    </row>
    <row r="698">
      <c r="Z698" s="18"/>
    </row>
    <row r="699">
      <c r="Z699" s="18"/>
    </row>
    <row r="700">
      <c r="Z700" s="18"/>
    </row>
    <row r="701">
      <c r="Z701" s="18"/>
    </row>
    <row r="702">
      <c r="Z702" s="18"/>
    </row>
    <row r="703">
      <c r="Z703" s="18"/>
    </row>
    <row r="704">
      <c r="Z704" s="18"/>
    </row>
    <row r="705">
      <c r="Z705" s="18"/>
    </row>
    <row r="706">
      <c r="Z706" s="18"/>
    </row>
    <row r="707">
      <c r="Z707" s="18"/>
    </row>
    <row r="708">
      <c r="Z708" s="18"/>
    </row>
    <row r="709">
      <c r="Z709" s="18"/>
    </row>
    <row r="710">
      <c r="Z710" s="18"/>
    </row>
    <row r="711">
      <c r="Z711" s="18"/>
    </row>
    <row r="712">
      <c r="Z712" s="18"/>
    </row>
    <row r="713">
      <c r="Z713" s="18"/>
    </row>
    <row r="714">
      <c r="Z714" s="18"/>
    </row>
    <row r="715">
      <c r="Z715" s="18"/>
    </row>
    <row r="716">
      <c r="Z716" s="18"/>
    </row>
    <row r="717">
      <c r="Z717" s="18"/>
    </row>
    <row r="718">
      <c r="Z718" s="18"/>
    </row>
    <row r="719">
      <c r="Z719" s="18"/>
    </row>
    <row r="720">
      <c r="Z720" s="18"/>
    </row>
    <row r="721">
      <c r="Z721" s="18"/>
    </row>
    <row r="722">
      <c r="Z722" s="18"/>
    </row>
    <row r="723">
      <c r="Z723" s="18"/>
    </row>
    <row r="724">
      <c r="Z724" s="18"/>
    </row>
    <row r="725">
      <c r="Z725" s="18"/>
    </row>
    <row r="726">
      <c r="Z726" s="18"/>
    </row>
    <row r="727">
      <c r="Z727" s="18"/>
    </row>
    <row r="728">
      <c r="Z728" s="18"/>
    </row>
    <row r="729">
      <c r="Z729" s="18"/>
    </row>
    <row r="730">
      <c r="Z730" s="18"/>
    </row>
    <row r="731">
      <c r="Z731" s="18"/>
    </row>
    <row r="732">
      <c r="Z732" s="18"/>
    </row>
    <row r="733">
      <c r="Z733" s="18"/>
    </row>
    <row r="734">
      <c r="Z734" s="18"/>
    </row>
    <row r="735">
      <c r="Z735" s="18"/>
    </row>
    <row r="736">
      <c r="Z736" s="18"/>
    </row>
    <row r="737">
      <c r="Z737" s="18"/>
    </row>
    <row r="738">
      <c r="Z738" s="18"/>
    </row>
    <row r="739">
      <c r="Z739" s="18"/>
    </row>
    <row r="740">
      <c r="Z740" s="18"/>
    </row>
    <row r="741">
      <c r="Z741" s="18"/>
    </row>
    <row r="742">
      <c r="Z742" s="18"/>
    </row>
    <row r="743">
      <c r="Z743" s="18"/>
    </row>
    <row r="744">
      <c r="Z744" s="18"/>
    </row>
    <row r="745">
      <c r="Z745" s="18"/>
    </row>
    <row r="746">
      <c r="Z746" s="18"/>
    </row>
    <row r="747">
      <c r="Z747" s="18"/>
    </row>
    <row r="748">
      <c r="Z748" s="18"/>
    </row>
    <row r="749">
      <c r="Z749" s="18"/>
    </row>
    <row r="750">
      <c r="Z750" s="18"/>
    </row>
    <row r="751">
      <c r="Z751" s="18"/>
    </row>
    <row r="752">
      <c r="Z752" s="18"/>
    </row>
    <row r="753">
      <c r="Z753" s="18"/>
    </row>
    <row r="754">
      <c r="Z754" s="18"/>
    </row>
    <row r="755">
      <c r="Z755" s="18"/>
    </row>
    <row r="756">
      <c r="Z756" s="18"/>
    </row>
    <row r="757">
      <c r="Z757" s="18"/>
    </row>
    <row r="758">
      <c r="Z758" s="18"/>
    </row>
    <row r="759">
      <c r="Z759" s="18"/>
    </row>
    <row r="760">
      <c r="Z760" s="18"/>
    </row>
    <row r="761">
      <c r="Z761" s="18"/>
    </row>
    <row r="762">
      <c r="Z762" s="18"/>
    </row>
    <row r="763">
      <c r="Z763" s="18"/>
    </row>
    <row r="764">
      <c r="Z764" s="18"/>
    </row>
    <row r="765">
      <c r="Z765" s="18"/>
    </row>
    <row r="766">
      <c r="Z766" s="18"/>
    </row>
    <row r="767">
      <c r="Z767" s="18"/>
    </row>
    <row r="768">
      <c r="Z768" s="18"/>
    </row>
    <row r="769">
      <c r="Z769" s="18"/>
    </row>
    <row r="770">
      <c r="Z770" s="18"/>
    </row>
    <row r="771">
      <c r="Z771" s="18"/>
    </row>
    <row r="772">
      <c r="Z772" s="18"/>
    </row>
    <row r="773">
      <c r="Z773" s="18"/>
    </row>
    <row r="774">
      <c r="Z774" s="18"/>
    </row>
    <row r="775">
      <c r="Z775" s="18"/>
    </row>
    <row r="776">
      <c r="Z776" s="18"/>
    </row>
    <row r="777">
      <c r="Z777" s="18"/>
    </row>
    <row r="778">
      <c r="Z778" s="18"/>
    </row>
    <row r="779">
      <c r="Z779" s="18"/>
    </row>
    <row r="780">
      <c r="Z780" s="18"/>
    </row>
    <row r="781">
      <c r="Z781" s="18"/>
    </row>
    <row r="782">
      <c r="Z782" s="18"/>
    </row>
    <row r="783">
      <c r="Z783" s="18"/>
    </row>
    <row r="784">
      <c r="Z784" s="18"/>
    </row>
    <row r="785">
      <c r="Z785" s="18"/>
    </row>
    <row r="786">
      <c r="Z786" s="18"/>
    </row>
    <row r="787">
      <c r="Z787" s="18"/>
    </row>
    <row r="788">
      <c r="Z788" s="18"/>
    </row>
    <row r="789">
      <c r="Z789" s="18"/>
    </row>
    <row r="790">
      <c r="Z790" s="18"/>
    </row>
    <row r="791">
      <c r="Z791" s="18"/>
    </row>
    <row r="792">
      <c r="Z792" s="18"/>
    </row>
    <row r="793">
      <c r="Z793" s="18"/>
    </row>
    <row r="794">
      <c r="Z794" s="18"/>
    </row>
    <row r="795">
      <c r="Z795" s="18"/>
    </row>
    <row r="796">
      <c r="Z796" s="18"/>
    </row>
    <row r="797">
      <c r="Z797" s="18"/>
    </row>
    <row r="798">
      <c r="Z798" s="18"/>
    </row>
    <row r="799">
      <c r="Z799" s="18"/>
    </row>
    <row r="800">
      <c r="Z800" s="18"/>
    </row>
    <row r="801">
      <c r="Z801" s="18"/>
    </row>
    <row r="802">
      <c r="Z802" s="18"/>
    </row>
    <row r="803">
      <c r="Z803" s="18"/>
    </row>
    <row r="804">
      <c r="Z804" s="18"/>
    </row>
    <row r="805">
      <c r="Z805" s="18"/>
    </row>
    <row r="806">
      <c r="Z806" s="18"/>
    </row>
    <row r="807">
      <c r="Z807" s="18"/>
    </row>
    <row r="808">
      <c r="Z808" s="18"/>
    </row>
    <row r="809">
      <c r="Z809" s="18"/>
    </row>
    <row r="810">
      <c r="Z810" s="18"/>
    </row>
    <row r="811">
      <c r="Z811" s="18"/>
    </row>
    <row r="812">
      <c r="Z812" s="18"/>
    </row>
    <row r="813">
      <c r="Z813" s="18"/>
    </row>
    <row r="814">
      <c r="Z814" s="18"/>
    </row>
    <row r="815">
      <c r="Z815" s="18"/>
    </row>
    <row r="816">
      <c r="Z816" s="18"/>
    </row>
    <row r="817">
      <c r="Z817" s="18"/>
    </row>
    <row r="818">
      <c r="Z818" s="18"/>
    </row>
    <row r="819">
      <c r="Z819" s="18"/>
    </row>
    <row r="820">
      <c r="Z820" s="18"/>
    </row>
    <row r="821">
      <c r="Z821" s="18"/>
    </row>
    <row r="822">
      <c r="Z822" s="18"/>
    </row>
    <row r="823">
      <c r="Z823" s="18"/>
    </row>
    <row r="824">
      <c r="Z824" s="18"/>
    </row>
    <row r="825">
      <c r="Z825" s="18"/>
    </row>
    <row r="826">
      <c r="Z826" s="18"/>
    </row>
    <row r="827">
      <c r="Z827" s="18"/>
    </row>
    <row r="828">
      <c r="Z828" s="18"/>
    </row>
    <row r="829">
      <c r="Z829" s="18"/>
    </row>
    <row r="830">
      <c r="Z830" s="18"/>
    </row>
    <row r="831">
      <c r="Z831" s="18"/>
    </row>
    <row r="832">
      <c r="Z832" s="18"/>
    </row>
    <row r="833">
      <c r="Z833" s="18"/>
    </row>
    <row r="834">
      <c r="Z834" s="18"/>
    </row>
    <row r="835">
      <c r="Z835" s="18"/>
    </row>
    <row r="836">
      <c r="Z836" s="18"/>
    </row>
    <row r="837">
      <c r="Z837" s="18"/>
    </row>
    <row r="838">
      <c r="Z838" s="18"/>
    </row>
    <row r="839">
      <c r="Z839" s="18"/>
    </row>
    <row r="840">
      <c r="Z840" s="18"/>
    </row>
    <row r="841">
      <c r="Z841" s="18"/>
    </row>
    <row r="842">
      <c r="Z842" s="18"/>
    </row>
    <row r="843">
      <c r="Z843" s="18"/>
    </row>
    <row r="844">
      <c r="Z844" s="18"/>
    </row>
    <row r="845">
      <c r="Z845" s="18"/>
    </row>
    <row r="846">
      <c r="Z846" s="18"/>
    </row>
    <row r="847">
      <c r="Z847" s="18"/>
    </row>
    <row r="848">
      <c r="Z848" s="18"/>
    </row>
    <row r="849">
      <c r="Z849" s="18"/>
    </row>
    <row r="850">
      <c r="Z850" s="18"/>
    </row>
    <row r="851">
      <c r="Z851" s="18"/>
    </row>
    <row r="852">
      <c r="Z852" s="18"/>
    </row>
    <row r="853">
      <c r="Z853" s="18"/>
    </row>
    <row r="854">
      <c r="Z854" s="18"/>
    </row>
    <row r="855">
      <c r="Z855" s="18"/>
    </row>
    <row r="856">
      <c r="Z856" s="18"/>
    </row>
    <row r="857">
      <c r="Z857" s="18"/>
    </row>
    <row r="858">
      <c r="Z858" s="18"/>
    </row>
    <row r="859">
      <c r="Z859" s="18"/>
    </row>
    <row r="860">
      <c r="Z860" s="18"/>
    </row>
    <row r="861">
      <c r="Z861" s="18"/>
    </row>
    <row r="862">
      <c r="Z862" s="18"/>
    </row>
    <row r="863">
      <c r="Z863" s="18"/>
    </row>
    <row r="864">
      <c r="Z864" s="18"/>
    </row>
    <row r="865">
      <c r="Z865" s="18"/>
    </row>
    <row r="866">
      <c r="Z866" s="18"/>
    </row>
    <row r="867">
      <c r="Z867" s="18"/>
    </row>
    <row r="868">
      <c r="Z868" s="18"/>
    </row>
    <row r="869">
      <c r="Z869" s="18"/>
    </row>
    <row r="870">
      <c r="Z870" s="18"/>
    </row>
    <row r="871">
      <c r="Z871" s="18"/>
    </row>
  </sheetData>
  <drawing r:id="rId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75"/>
    <col customWidth="1" min="2" max="3" width="11.13"/>
    <col customWidth="1" min="9" max="9" width="22.75"/>
    <col customWidth="1" min="10" max="11" width="9.63"/>
  </cols>
  <sheetData>
    <row r="1">
      <c r="A1" s="215"/>
      <c r="B1" s="216"/>
    </row>
    <row r="3">
      <c r="A3" s="215" t="s">
        <v>1267</v>
      </c>
      <c r="B3" s="217">
        <v>100000.0</v>
      </c>
      <c r="D3" s="217"/>
    </row>
    <row r="4">
      <c r="A4" s="16" t="s">
        <v>1268</v>
      </c>
      <c r="B4" s="18">
        <v>75545.68000000001</v>
      </c>
    </row>
    <row r="5">
      <c r="A5" s="16" t="s">
        <v>1269</v>
      </c>
      <c r="B5" s="18">
        <f>B3-B4</f>
        <v>24454.32</v>
      </c>
    </row>
    <row r="6">
      <c r="A6" s="218" t="s">
        <v>1270</v>
      </c>
      <c r="B6" s="18">
        <f>B5/2</f>
        <v>12227.16</v>
      </c>
    </row>
    <row r="7">
      <c r="A7" s="218"/>
    </row>
    <row r="8">
      <c r="A8" s="219"/>
    </row>
    <row r="9">
      <c r="A9" s="218" t="s">
        <v>1271</v>
      </c>
      <c r="B9" s="215" t="s">
        <v>1272</v>
      </c>
      <c r="C9" s="215" t="s">
        <v>1273</v>
      </c>
      <c r="D9" s="215" t="s">
        <v>1274</v>
      </c>
    </row>
    <row r="10">
      <c r="A10" s="208" t="s">
        <v>1191</v>
      </c>
      <c r="B10" s="211">
        <v>250.0</v>
      </c>
      <c r="C10" s="18">
        <v>1800.0</v>
      </c>
      <c r="D10" s="40">
        <v>502.5</v>
      </c>
    </row>
    <row r="11">
      <c r="A11" s="208" t="s">
        <v>1182</v>
      </c>
      <c r="B11" s="212">
        <v>1170.0</v>
      </c>
      <c r="C11" s="18">
        <v>1170.0</v>
      </c>
      <c r="D11" s="18">
        <v>114.0</v>
      </c>
    </row>
    <row r="12">
      <c r="A12" s="208" t="s">
        <v>382</v>
      </c>
      <c r="B12" s="212">
        <v>330.0</v>
      </c>
      <c r="C12" s="18">
        <v>330.0</v>
      </c>
      <c r="D12" s="18">
        <v>66.0</v>
      </c>
    </row>
    <row r="13">
      <c r="A13" s="208" t="s">
        <v>1183</v>
      </c>
      <c r="B13" s="212">
        <v>5883.92</v>
      </c>
      <c r="C13" s="18">
        <v>5883.92</v>
      </c>
      <c r="D13" s="18">
        <v>1375.78</v>
      </c>
    </row>
    <row r="14">
      <c r="A14" s="16" t="s">
        <v>480</v>
      </c>
      <c r="B14" s="212">
        <v>10057.279999999999</v>
      </c>
      <c r="C14" s="18">
        <v>9857.279999999999</v>
      </c>
      <c r="D14" s="18">
        <v>2707.12</v>
      </c>
    </row>
    <row r="15">
      <c r="A15" s="16" t="s">
        <v>1184</v>
      </c>
      <c r="B15" s="212">
        <v>3575.0</v>
      </c>
      <c r="C15" s="18">
        <v>3575.0</v>
      </c>
      <c r="D15" s="18">
        <v>972.5</v>
      </c>
    </row>
    <row r="16">
      <c r="A16" s="16" t="s">
        <v>1275</v>
      </c>
      <c r="B16" s="211">
        <v>14275.0</v>
      </c>
      <c r="C16" s="18">
        <v>14325.0</v>
      </c>
      <c r="D16" s="18">
        <v>3742.5</v>
      </c>
      <c r="I16" s="31"/>
    </row>
    <row r="17">
      <c r="A17" s="16" t="s">
        <v>1276</v>
      </c>
      <c r="B17" s="211">
        <v>10417.400000000001</v>
      </c>
      <c r="C17" s="18">
        <v>11148.35</v>
      </c>
      <c r="D17" s="18">
        <v>3110.8179999999998</v>
      </c>
      <c r="I17" s="19"/>
    </row>
    <row r="18">
      <c r="A18" s="16" t="s">
        <v>1277</v>
      </c>
      <c r="B18" s="212">
        <v>20000.0</v>
      </c>
      <c r="C18" s="18">
        <v>22240.0</v>
      </c>
      <c r="D18" s="18">
        <v>6063.25</v>
      </c>
      <c r="I18" s="213"/>
    </row>
    <row r="19">
      <c r="A19" s="16" t="s">
        <v>1278</v>
      </c>
      <c r="B19" s="212">
        <v>25000.0</v>
      </c>
      <c r="C19" s="18">
        <v>20270.0</v>
      </c>
      <c r="D19" s="18">
        <v>5871.5</v>
      </c>
    </row>
    <row r="20">
      <c r="A20" s="16" t="s">
        <v>1279</v>
      </c>
      <c r="B20" s="212">
        <v>15000.0</v>
      </c>
      <c r="C20" s="18">
        <v>16980.0</v>
      </c>
      <c r="D20" s="18">
        <v>4814.5</v>
      </c>
    </row>
    <row r="21">
      <c r="A21" s="16" t="s">
        <v>1280</v>
      </c>
      <c r="B21" s="212">
        <v>15000.0</v>
      </c>
      <c r="C21" s="18">
        <v>3150.0</v>
      </c>
      <c r="D21" s="18">
        <v>922.5</v>
      </c>
    </row>
    <row r="22">
      <c r="A22" s="16" t="s">
        <v>1281</v>
      </c>
      <c r="B22" s="212">
        <f t="shared" ref="B22:D22" si="1">SUM(B10:B21)</f>
        <v>120958.6</v>
      </c>
      <c r="C22" s="211">
        <f t="shared" si="1"/>
        <v>110729.55</v>
      </c>
      <c r="D22" s="18">
        <f t="shared" si="1"/>
        <v>30262.968</v>
      </c>
    </row>
    <row r="23">
      <c r="C23" s="211"/>
      <c r="D23" s="18"/>
    </row>
    <row r="24">
      <c r="C24" s="211"/>
    </row>
    <row r="25">
      <c r="J25" s="34"/>
      <c r="K25" s="34"/>
    </row>
    <row r="26">
      <c r="J26" s="81"/>
      <c r="K26" s="81"/>
    </row>
    <row r="27">
      <c r="J27" s="81"/>
      <c r="K27" s="81"/>
    </row>
    <row r="28">
      <c r="J28" s="81"/>
      <c r="K28" s="81"/>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75"/>
    <col customWidth="1" min="2" max="2" width="20.13"/>
    <col customWidth="1" min="3" max="4" width="11.13"/>
    <col customWidth="1" min="5" max="5" width="14.0"/>
    <col customWidth="1" min="6" max="7" width="9.13"/>
    <col customWidth="1" min="8" max="8" width="9.88"/>
    <col customWidth="1" min="9" max="9" width="10.5"/>
    <col customWidth="1" min="10" max="11" width="7.25"/>
    <col customWidth="1" min="12" max="12" width="9.75"/>
    <col customWidth="1" min="13" max="14" width="10.0"/>
  </cols>
  <sheetData>
    <row r="1">
      <c r="A1" s="220" t="s">
        <v>1282</v>
      </c>
    </row>
    <row r="3">
      <c r="A3" s="215" t="s">
        <v>1283</v>
      </c>
      <c r="B3" s="212">
        <f>B22</f>
        <v>360000</v>
      </c>
      <c r="E3" s="217"/>
      <c r="F3" s="217"/>
      <c r="G3" s="217"/>
    </row>
    <row r="4">
      <c r="A4" s="16" t="s">
        <v>1268</v>
      </c>
      <c r="B4" s="18">
        <f>D22</f>
        <v>217999.88</v>
      </c>
      <c r="C4" s="213"/>
      <c r="D4" s="213">
        <f>B4/B3</f>
        <v>0.6055552222</v>
      </c>
    </row>
    <row r="5">
      <c r="A5" s="16" t="s">
        <v>1269</v>
      </c>
      <c r="B5" s="18">
        <f>B3-B4</f>
        <v>142000.12</v>
      </c>
    </row>
    <row r="6">
      <c r="A6" s="218"/>
    </row>
    <row r="7">
      <c r="A7" s="218"/>
    </row>
    <row r="8">
      <c r="A8" s="219"/>
      <c r="D8" s="18">
        <v>1650.0</v>
      </c>
    </row>
    <row r="9">
      <c r="A9" s="218" t="s">
        <v>1271</v>
      </c>
      <c r="B9" s="215" t="s">
        <v>1284</v>
      </c>
      <c r="C9" s="215" t="s">
        <v>1285</v>
      </c>
      <c r="D9" s="215" t="s">
        <v>1165</v>
      </c>
      <c r="E9" s="215" t="s">
        <v>1286</v>
      </c>
      <c r="F9" s="215" t="s">
        <v>1287</v>
      </c>
      <c r="G9" s="215" t="s">
        <v>1274</v>
      </c>
      <c r="H9" s="215" t="s">
        <v>1288</v>
      </c>
      <c r="I9" s="16" t="s">
        <v>1289</v>
      </c>
      <c r="J9" s="16" t="s">
        <v>1290</v>
      </c>
      <c r="K9" s="16" t="s">
        <v>1291</v>
      </c>
      <c r="L9" s="16" t="s">
        <v>1292</v>
      </c>
      <c r="M9" s="16" t="s">
        <v>1293</v>
      </c>
      <c r="N9" s="16" t="s">
        <v>1294</v>
      </c>
    </row>
    <row r="10">
      <c r="A10" s="221" t="s">
        <v>1191</v>
      </c>
      <c r="B10" s="211">
        <v>30000.0</v>
      </c>
      <c r="C10" s="18">
        <f t="shared" ref="C10:C22" si="1">B10*0.29</f>
        <v>8700</v>
      </c>
      <c r="D10" s="18">
        <v>30390.93</v>
      </c>
      <c r="E10" s="213">
        <f t="shared" ref="E10:E21" si="2">D10/B10</f>
        <v>1.013031</v>
      </c>
      <c r="F10" s="18">
        <f t="shared" ref="F10:F22" si="3">D10-B10</f>
        <v>390.93</v>
      </c>
      <c r="G10" s="18">
        <v>8620.054</v>
      </c>
      <c r="H10" s="222">
        <f t="shared" ref="H10:H16" si="4">G10/D10</f>
        <v>0.2836390331</v>
      </c>
      <c r="I10" s="223">
        <v>242.0</v>
      </c>
      <c r="J10" s="40">
        <f t="shared" ref="J10:J21" si="5">G10-I10</f>
        <v>8378.054</v>
      </c>
      <c r="K10" s="224"/>
      <c r="L10" s="40">
        <f t="shared" ref="L10:L21" si="6">J10-K10</f>
        <v>8378.054</v>
      </c>
      <c r="M10" s="225">
        <f t="shared" ref="M10:M21" si="7">L10*0.15</f>
        <v>1256.7081</v>
      </c>
      <c r="N10" s="225">
        <f t="shared" ref="N10:N16" si="8">J10-K10-M10</f>
        <v>7121.3459</v>
      </c>
    </row>
    <row r="11">
      <c r="A11" s="221" t="s">
        <v>1182</v>
      </c>
      <c r="B11" s="211">
        <v>30000.0</v>
      </c>
      <c r="C11" s="18">
        <f t="shared" si="1"/>
        <v>8700</v>
      </c>
      <c r="D11" s="18">
        <v>31140.0</v>
      </c>
      <c r="E11" s="213">
        <f t="shared" si="2"/>
        <v>1.038</v>
      </c>
      <c r="F11" s="18">
        <f t="shared" si="3"/>
        <v>1140</v>
      </c>
      <c r="G11" s="18">
        <v>9349.5</v>
      </c>
      <c r="H11" s="222">
        <f t="shared" si="4"/>
        <v>0.3002408478</v>
      </c>
      <c r="I11" s="223">
        <f>170.91+140+30.25+48+99.99+242+126.43</f>
        <v>857.58</v>
      </c>
      <c r="J11" s="40">
        <f t="shared" si="5"/>
        <v>8491.92</v>
      </c>
      <c r="K11" s="224"/>
      <c r="L11" s="40">
        <f t="shared" si="6"/>
        <v>8491.92</v>
      </c>
      <c r="M11" s="225">
        <f t="shared" si="7"/>
        <v>1273.788</v>
      </c>
      <c r="N11" s="225">
        <f t="shared" si="8"/>
        <v>7218.132</v>
      </c>
    </row>
    <row r="12">
      <c r="A12" s="221" t="s">
        <v>382</v>
      </c>
      <c r="B12" s="211">
        <v>30000.0</v>
      </c>
      <c r="C12" s="18">
        <f t="shared" si="1"/>
        <v>8700</v>
      </c>
      <c r="D12" s="18">
        <v>30489.079999999998</v>
      </c>
      <c r="E12" s="213">
        <f t="shared" si="2"/>
        <v>1.016302667</v>
      </c>
      <c r="F12" s="18">
        <f t="shared" si="3"/>
        <v>489.08</v>
      </c>
      <c r="G12" s="18">
        <v>10883.6605</v>
      </c>
      <c r="H12" s="222">
        <f t="shared" si="4"/>
        <v>0.3569691345</v>
      </c>
      <c r="I12" s="226">
        <v>693.7</v>
      </c>
      <c r="J12" s="40">
        <f t="shared" si="5"/>
        <v>10189.9605</v>
      </c>
      <c r="K12" s="217">
        <v>2800.0</v>
      </c>
      <c r="L12" s="40">
        <f t="shared" si="6"/>
        <v>7389.9605</v>
      </c>
      <c r="M12" s="225">
        <f t="shared" si="7"/>
        <v>1108.494075</v>
      </c>
      <c r="N12" s="225">
        <f t="shared" si="8"/>
        <v>6281.466425</v>
      </c>
    </row>
    <row r="13">
      <c r="A13" s="227" t="s">
        <v>1183</v>
      </c>
      <c r="B13" s="211">
        <v>25000.0</v>
      </c>
      <c r="C13" s="18">
        <f t="shared" si="1"/>
        <v>7250</v>
      </c>
      <c r="D13" s="18">
        <v>21198.870000000003</v>
      </c>
      <c r="E13" s="213">
        <f t="shared" si="2"/>
        <v>0.8479548</v>
      </c>
      <c r="F13" s="18">
        <f t="shared" si="3"/>
        <v>-3801.13</v>
      </c>
      <c r="G13" s="18">
        <v>6145.910999999999</v>
      </c>
      <c r="H13" s="222">
        <f t="shared" si="4"/>
        <v>0.2899169154</v>
      </c>
      <c r="I13" s="228">
        <v>1121.51</v>
      </c>
      <c r="J13" s="40">
        <f t="shared" si="5"/>
        <v>5024.401</v>
      </c>
      <c r="K13" s="217">
        <v>2800.0</v>
      </c>
      <c r="L13" s="40">
        <f t="shared" si="6"/>
        <v>2224.401</v>
      </c>
      <c r="M13" s="225">
        <f t="shared" si="7"/>
        <v>333.66015</v>
      </c>
      <c r="N13" s="225">
        <f t="shared" si="8"/>
        <v>1890.74085</v>
      </c>
    </row>
    <row r="14">
      <c r="A14" s="229" t="s">
        <v>480</v>
      </c>
      <c r="B14" s="211">
        <v>25000.0</v>
      </c>
      <c r="C14" s="18">
        <f t="shared" si="1"/>
        <v>7250</v>
      </c>
      <c r="D14" s="14">
        <v>18904.0</v>
      </c>
      <c r="E14" s="213">
        <f t="shared" si="2"/>
        <v>0.75616</v>
      </c>
      <c r="F14" s="18">
        <f t="shared" si="3"/>
        <v>-6096</v>
      </c>
      <c r="G14" s="18">
        <v>5581.2</v>
      </c>
      <c r="H14" s="222">
        <f t="shared" si="4"/>
        <v>0.2952391028</v>
      </c>
      <c r="I14" s="230">
        <v>2000.0</v>
      </c>
      <c r="J14" s="40">
        <f t="shared" si="5"/>
        <v>3581.2</v>
      </c>
      <c r="K14" s="217">
        <v>2800.0</v>
      </c>
      <c r="L14" s="40">
        <f t="shared" si="6"/>
        <v>781.2</v>
      </c>
      <c r="M14" s="225">
        <f t="shared" si="7"/>
        <v>117.18</v>
      </c>
      <c r="N14" s="225">
        <f t="shared" si="8"/>
        <v>664.02</v>
      </c>
    </row>
    <row r="15">
      <c r="A15" s="229" t="s">
        <v>1184</v>
      </c>
      <c r="B15" s="211">
        <v>30000.0</v>
      </c>
      <c r="C15" s="18">
        <f t="shared" si="1"/>
        <v>8700</v>
      </c>
      <c r="D15" s="15">
        <v>49642.0</v>
      </c>
      <c r="E15" s="213">
        <f t="shared" si="2"/>
        <v>1.654733333</v>
      </c>
      <c r="F15" s="18">
        <f t="shared" si="3"/>
        <v>19642</v>
      </c>
      <c r="G15" s="18">
        <v>14872.6</v>
      </c>
      <c r="H15" s="222">
        <f t="shared" si="4"/>
        <v>0.2995971153</v>
      </c>
      <c r="I15" s="230">
        <v>5000.0</v>
      </c>
      <c r="J15" s="40">
        <f t="shared" si="5"/>
        <v>9872.6</v>
      </c>
      <c r="K15" s="217">
        <v>2800.0</v>
      </c>
      <c r="L15" s="40">
        <f t="shared" si="6"/>
        <v>7072.6</v>
      </c>
      <c r="M15" s="225">
        <f t="shared" si="7"/>
        <v>1060.89</v>
      </c>
      <c r="N15" s="225">
        <f t="shared" si="8"/>
        <v>6011.71</v>
      </c>
    </row>
    <row r="16">
      <c r="A16" s="231" t="s">
        <v>1275</v>
      </c>
      <c r="B16" s="211">
        <v>30000.0</v>
      </c>
      <c r="C16" s="18">
        <f t="shared" si="1"/>
        <v>8700</v>
      </c>
      <c r="D16" s="18">
        <v>36235.0</v>
      </c>
      <c r="E16" s="213">
        <f t="shared" si="2"/>
        <v>1.207833333</v>
      </c>
      <c r="F16" s="18">
        <f t="shared" si="3"/>
        <v>6235</v>
      </c>
      <c r="G16" s="18">
        <v>10715.5</v>
      </c>
      <c r="H16" s="222">
        <f t="shared" si="4"/>
        <v>0.2957223679</v>
      </c>
      <c r="I16" s="230">
        <v>734.0</v>
      </c>
      <c r="J16" s="40">
        <f t="shared" si="5"/>
        <v>9981.5</v>
      </c>
      <c r="K16" s="217">
        <v>2800.0</v>
      </c>
      <c r="L16" s="40">
        <f t="shared" si="6"/>
        <v>7181.5</v>
      </c>
      <c r="M16" s="225">
        <f t="shared" si="7"/>
        <v>1077.225</v>
      </c>
      <c r="N16" s="225">
        <f t="shared" si="8"/>
        <v>6104.275</v>
      </c>
    </row>
    <row r="17">
      <c r="A17" s="231" t="s">
        <v>1276</v>
      </c>
      <c r="B17" s="211">
        <v>30000.0</v>
      </c>
      <c r="C17" s="18">
        <f t="shared" si="1"/>
        <v>8700</v>
      </c>
      <c r="D17" s="31"/>
      <c r="E17" s="213">
        <f t="shared" si="2"/>
        <v>0</v>
      </c>
      <c r="F17" s="18">
        <f t="shared" si="3"/>
        <v>-30000</v>
      </c>
      <c r="G17" s="18">
        <f t="shared" ref="G17:G21" si="9">D17*0.3</f>
        <v>0</v>
      </c>
      <c r="H17" s="230"/>
      <c r="I17" s="230">
        <v>734.0</v>
      </c>
      <c r="J17" s="40">
        <f t="shared" si="5"/>
        <v>-734</v>
      </c>
      <c r="K17" s="217">
        <v>2800.0</v>
      </c>
      <c r="L17" s="40">
        <f t="shared" si="6"/>
        <v>-3534</v>
      </c>
      <c r="M17" s="225">
        <f t="shared" si="7"/>
        <v>-530.1</v>
      </c>
      <c r="N17" s="232"/>
    </row>
    <row r="18">
      <c r="A18" s="231" t="s">
        <v>1277</v>
      </c>
      <c r="B18" s="211">
        <v>30000.0</v>
      </c>
      <c r="C18" s="18">
        <f t="shared" si="1"/>
        <v>8700</v>
      </c>
      <c r="D18" s="31"/>
      <c r="E18" s="213">
        <f t="shared" si="2"/>
        <v>0</v>
      </c>
      <c r="F18" s="18">
        <f t="shared" si="3"/>
        <v>-30000</v>
      </c>
      <c r="G18" s="18">
        <f t="shared" si="9"/>
        <v>0</v>
      </c>
      <c r="H18" s="230"/>
      <c r="I18" s="230">
        <v>734.0</v>
      </c>
      <c r="J18" s="40">
        <f t="shared" si="5"/>
        <v>-734</v>
      </c>
      <c r="K18" s="217">
        <v>2800.0</v>
      </c>
      <c r="L18" s="40">
        <f t="shared" si="6"/>
        <v>-3534</v>
      </c>
      <c r="M18" s="225">
        <f t="shared" si="7"/>
        <v>-530.1</v>
      </c>
      <c r="N18" s="232"/>
    </row>
    <row r="19">
      <c r="A19" s="233" t="s">
        <v>1278</v>
      </c>
      <c r="B19" s="211">
        <v>40000.0</v>
      </c>
      <c r="C19" s="18">
        <f t="shared" si="1"/>
        <v>11600</v>
      </c>
      <c r="D19" s="31"/>
      <c r="E19" s="213">
        <f t="shared" si="2"/>
        <v>0</v>
      </c>
      <c r="F19" s="18">
        <f t="shared" si="3"/>
        <v>-40000</v>
      </c>
      <c r="G19" s="18">
        <f t="shared" si="9"/>
        <v>0</v>
      </c>
      <c r="H19" s="230"/>
      <c r="I19" s="230">
        <v>734.0</v>
      </c>
      <c r="J19" s="40">
        <f t="shared" si="5"/>
        <v>-734</v>
      </c>
      <c r="K19" s="217">
        <v>2800.0</v>
      </c>
      <c r="L19" s="40">
        <f t="shared" si="6"/>
        <v>-3534</v>
      </c>
      <c r="M19" s="225">
        <f t="shared" si="7"/>
        <v>-530.1</v>
      </c>
      <c r="N19" s="232"/>
    </row>
    <row r="20">
      <c r="A20" s="233" t="s">
        <v>1279</v>
      </c>
      <c r="B20" s="211">
        <v>40000.0</v>
      </c>
      <c r="C20" s="18">
        <f t="shared" si="1"/>
        <v>11600</v>
      </c>
      <c r="D20" s="31"/>
      <c r="E20" s="213">
        <f t="shared" si="2"/>
        <v>0</v>
      </c>
      <c r="F20" s="18">
        <f t="shared" si="3"/>
        <v>-40000</v>
      </c>
      <c r="G20" s="18">
        <f t="shared" si="9"/>
        <v>0</v>
      </c>
      <c r="H20" s="230"/>
      <c r="I20" s="230">
        <v>734.0</v>
      </c>
      <c r="J20" s="40">
        <f t="shared" si="5"/>
        <v>-734</v>
      </c>
      <c r="K20" s="217">
        <v>2800.0</v>
      </c>
      <c r="L20" s="40">
        <f t="shared" si="6"/>
        <v>-3534</v>
      </c>
      <c r="M20" s="225">
        <f t="shared" si="7"/>
        <v>-530.1</v>
      </c>
      <c r="N20" s="232"/>
    </row>
    <row r="21">
      <c r="A21" s="233" t="s">
        <v>1280</v>
      </c>
      <c r="B21" s="211">
        <v>20000.0</v>
      </c>
      <c r="C21" s="18">
        <f t="shared" si="1"/>
        <v>5800</v>
      </c>
      <c r="D21" s="18"/>
      <c r="E21" s="213">
        <f t="shared" si="2"/>
        <v>0</v>
      </c>
      <c r="F21" s="18">
        <f t="shared" si="3"/>
        <v>-20000</v>
      </c>
      <c r="G21" s="18">
        <f t="shared" si="9"/>
        <v>0</v>
      </c>
      <c r="H21" s="230"/>
      <c r="I21" s="230">
        <v>734.0</v>
      </c>
      <c r="J21" s="40">
        <f t="shared" si="5"/>
        <v>-734</v>
      </c>
      <c r="K21" s="217">
        <v>2800.0</v>
      </c>
      <c r="L21" s="40">
        <f t="shared" si="6"/>
        <v>-3534</v>
      </c>
      <c r="M21" s="225">
        <f t="shared" si="7"/>
        <v>-530.1</v>
      </c>
      <c r="N21" s="232"/>
    </row>
    <row r="22">
      <c r="A22" s="234" t="s">
        <v>1281</v>
      </c>
      <c r="B22" s="235">
        <f>SUM(B10:B21)</f>
        <v>360000</v>
      </c>
      <c r="C22" s="236">
        <f t="shared" si="1"/>
        <v>104400</v>
      </c>
      <c r="D22" s="237">
        <f>SUM(D10:D21)</f>
        <v>217999.88</v>
      </c>
      <c r="E22" s="238">
        <f>D4</f>
        <v>0.6055552222</v>
      </c>
      <c r="F22" s="236">
        <f t="shared" si="3"/>
        <v>-142000.12</v>
      </c>
      <c r="G22" s="236">
        <f>SUM(G10:G21)</f>
        <v>66168.4255</v>
      </c>
      <c r="H22" s="239"/>
      <c r="I22" s="239"/>
      <c r="J22" s="239"/>
      <c r="K22" s="239"/>
      <c r="L22" s="239"/>
      <c r="M22" s="239"/>
      <c r="N22" s="240">
        <f>SUM(N10:N21)</f>
        <v>35291.69018</v>
      </c>
    </row>
    <row r="23">
      <c r="C23" s="211"/>
      <c r="D23" s="211"/>
      <c r="E23" s="18"/>
      <c r="F23" s="18"/>
      <c r="G23" s="18"/>
    </row>
    <row r="24">
      <c r="C24" s="211"/>
      <c r="D24" s="211"/>
      <c r="E24" s="18"/>
      <c r="F24" s="18"/>
    </row>
    <row r="25">
      <c r="M25" s="34"/>
      <c r="N25" s="34"/>
    </row>
    <row r="26">
      <c r="M26" s="81"/>
      <c r="N26" s="81"/>
    </row>
    <row r="27"/>
    <row r="28"/>
    <row r="29"/>
    <row r="30">
      <c r="S30" s="242"/>
    </row>
    <row r="31">
      <c r="E31" s="243" t="s">
        <v>1297</v>
      </c>
    </row>
    <row r="32" ht="48.0" customHeight="1">
      <c r="G32" s="244"/>
      <c r="H32" s="245"/>
    </row>
    <row r="33"/>
    <row r="34"/>
    <row r="35">
      <c r="E35" s="243" t="s">
        <v>1281</v>
      </c>
    </row>
    <row r="36">
      <c r="E36" s="215" t="s">
        <v>1300</v>
      </c>
      <c r="F36" s="246">
        <f>F33+E33+G29+H29</f>
        <v>72140.4705</v>
      </c>
      <c r="G36" s="247">
        <v>1.0</v>
      </c>
    </row>
    <row r="37">
      <c r="E37" s="16" t="s">
        <v>1301</v>
      </c>
      <c r="F37" s="241">
        <f>H29</f>
        <v>37301.4205</v>
      </c>
      <c r="G37" s="248">
        <f t="shared" ref="G37:G38" si="10">F37*G36/F36</f>
        <v>0.5170664988</v>
      </c>
      <c r="H37" s="249">
        <f>G37+G38</f>
        <v>0.6600770714</v>
      </c>
      <c r="I37" s="250">
        <f>F37+F38</f>
        <v>47618.2705</v>
      </c>
    </row>
    <row r="38">
      <c r="E38" s="16" t="s">
        <v>1302</v>
      </c>
      <c r="F38" s="241">
        <f>G29</f>
        <v>10316.85</v>
      </c>
      <c r="G38" s="251">
        <f t="shared" si="10"/>
        <v>0.1430105727</v>
      </c>
    </row>
    <row r="39">
      <c r="E39" s="16" t="s">
        <v>1303</v>
      </c>
      <c r="F39" s="18">
        <f>F33+E33</f>
        <v>24522.2</v>
      </c>
      <c r="G39" s="252">
        <f>F39*G36/F36</f>
        <v>0.3399229286</v>
      </c>
      <c r="H39" s="253">
        <f>G39</f>
        <v>0.3399229286</v>
      </c>
      <c r="I39" s="254">
        <f>F39</f>
        <v>24522.2</v>
      </c>
    </row>
    <row r="40"/>
    <row r="41"/>
    <row r="42">
      <c r="F42" s="60"/>
    </row>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sheetData>
  <autoFilter ref="$A$27:$B$132"/>
  <mergeCells count="5">
    <mergeCell ref="A1:J2"/>
    <mergeCell ref="E31:G31"/>
    <mergeCell ref="E35:G35"/>
    <mergeCell ref="H37:H38"/>
    <mergeCell ref="I37:I38"/>
  </mergeCells>
  <drawing r:id="rId5"/>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row r="4"/>
    <row r="5"/>
    <row r="6"/>
    <row r="7"/>
    <row r="8"/>
    <row r="9"/>
    <row r="10"/>
    <row r="11"/>
    <row r="12"/>
    <row r="13"/>
    <row r="14"/>
    <row r="15"/>
    <row r="16"/>
    <row r="17"/>
    <row r="18"/>
    <row r="19"/>
    <row r="20"/>
    <row r="21"/>
    <row r="22"/>
  </sheetData>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83.13"/>
    <col customWidth="1" min="3" max="3" width="23.88"/>
    <col customWidth="1" min="4" max="4" width="71.88"/>
  </cols>
  <sheetData>
    <row r="1">
      <c r="A1" s="16" t="s">
        <v>0</v>
      </c>
      <c r="B1" s="16" t="s">
        <v>1324</v>
      </c>
      <c r="C1" s="16" t="s">
        <v>19</v>
      </c>
      <c r="D1" s="16" t="s">
        <v>1325</v>
      </c>
    </row>
    <row r="2">
      <c r="A2" s="16" t="s">
        <v>99</v>
      </c>
      <c r="B2" s="16" t="s">
        <v>1326</v>
      </c>
      <c r="C2" s="16" t="s">
        <v>1327</v>
      </c>
    </row>
    <row r="3">
      <c r="A3" s="16" t="s">
        <v>42</v>
      </c>
      <c r="B3" s="16" t="s">
        <v>1328</v>
      </c>
      <c r="C3" s="16" t="s">
        <v>1329</v>
      </c>
    </row>
    <row r="4">
      <c r="A4" s="16" t="s">
        <v>36</v>
      </c>
      <c r="B4" s="16" t="s">
        <v>1330</v>
      </c>
      <c r="C4" s="16" t="s">
        <v>1331</v>
      </c>
    </row>
    <row r="5">
      <c r="A5" s="16" t="s">
        <v>57</v>
      </c>
      <c r="B5" s="16" t="s">
        <v>1332</v>
      </c>
      <c r="C5" s="16" t="s">
        <v>1333</v>
      </c>
    </row>
    <row r="6">
      <c r="A6" s="16" t="s">
        <v>65</v>
      </c>
      <c r="B6" s="16" t="s">
        <v>1334</v>
      </c>
      <c r="C6" s="16" t="s">
        <v>1335</v>
      </c>
    </row>
    <row r="7">
      <c r="A7" s="16" t="s">
        <v>91</v>
      </c>
      <c r="B7" s="16" t="s">
        <v>1336</v>
      </c>
      <c r="C7" s="16" t="s">
        <v>1337</v>
      </c>
    </row>
    <row r="8">
      <c r="A8" s="16" t="s">
        <v>103</v>
      </c>
      <c r="B8" s="16" t="s">
        <v>1338</v>
      </c>
      <c r="C8" s="16" t="s">
        <v>1339</v>
      </c>
    </row>
    <row r="9">
      <c r="A9" s="16" t="s">
        <v>588</v>
      </c>
      <c r="B9" s="16" t="s">
        <v>1340</v>
      </c>
      <c r="C9" s="16" t="s">
        <v>1341</v>
      </c>
    </row>
    <row r="10">
      <c r="A10" s="16" t="s">
        <v>45</v>
      </c>
      <c r="B10" s="16" t="s">
        <v>1342</v>
      </c>
      <c r="C10" s="84" t="s">
        <v>1343</v>
      </c>
    </row>
    <row r="11">
      <c r="A11" s="16" t="s">
        <v>136</v>
      </c>
      <c r="B11" s="16" t="s">
        <v>1344</v>
      </c>
      <c r="C11" s="16" t="s">
        <v>1345</v>
      </c>
    </row>
    <row r="12">
      <c r="A12" s="16" t="s">
        <v>89</v>
      </c>
      <c r="B12" s="16" t="s">
        <v>1346</v>
      </c>
      <c r="C12" s="16" t="s">
        <v>1347</v>
      </c>
    </row>
    <row r="13">
      <c r="A13" s="16" t="s">
        <v>76</v>
      </c>
      <c r="B13" s="16" t="s">
        <v>1348</v>
      </c>
      <c r="C13" s="16" t="s">
        <v>1349</v>
      </c>
    </row>
    <row r="14">
      <c r="A14" s="16" t="s">
        <v>29</v>
      </c>
      <c r="B14" s="16" t="s">
        <v>1350</v>
      </c>
      <c r="C14" s="16" t="s">
        <v>1351</v>
      </c>
    </row>
    <row r="15">
      <c r="A15" s="16" t="s">
        <v>110</v>
      </c>
      <c r="B15" s="16" t="s">
        <v>1352</v>
      </c>
      <c r="C15" s="16" t="s">
        <v>1353</v>
      </c>
    </row>
    <row r="16">
      <c r="A16" s="16" t="s">
        <v>53</v>
      </c>
      <c r="B16" s="16" t="s">
        <v>1354</v>
      </c>
      <c r="C16" s="16" t="s">
        <v>1355</v>
      </c>
    </row>
    <row r="17">
      <c r="A17" s="16" t="s">
        <v>215</v>
      </c>
      <c r="B17" s="16" t="s">
        <v>1356</v>
      </c>
      <c r="C17" s="16" t="s">
        <v>1357</v>
      </c>
    </row>
    <row r="18">
      <c r="A18" s="16" t="s">
        <v>280</v>
      </c>
      <c r="B18" s="16" t="s">
        <v>1358</v>
      </c>
      <c r="C18" s="16" t="s">
        <v>1359</v>
      </c>
    </row>
    <row r="19">
      <c r="A19" s="16" t="s">
        <v>157</v>
      </c>
      <c r="B19" s="16" t="s">
        <v>1360</v>
      </c>
      <c r="C19" s="16" t="s">
        <v>1361</v>
      </c>
      <c r="D19" s="108" t="s">
        <v>1362</v>
      </c>
    </row>
    <row r="20">
      <c r="A20" s="16" t="s">
        <v>244</v>
      </c>
      <c r="B20" s="16" t="s">
        <v>1363</v>
      </c>
      <c r="C20" s="16" t="s">
        <v>1364</v>
      </c>
    </row>
    <row r="21">
      <c r="A21" s="16" t="s">
        <v>204</v>
      </c>
      <c r="B21" s="16" t="s">
        <v>1365</v>
      </c>
      <c r="C21" s="16" t="s">
        <v>1366</v>
      </c>
    </row>
    <row r="22">
      <c r="A22" s="16" t="s">
        <v>213</v>
      </c>
      <c r="B22" s="16" t="s">
        <v>1367</v>
      </c>
      <c r="C22" s="16" t="s">
        <v>1368</v>
      </c>
    </row>
    <row r="23">
      <c r="A23" s="16" t="s">
        <v>237</v>
      </c>
      <c r="B23" s="16" t="s">
        <v>1369</v>
      </c>
      <c r="C23" s="16" t="s">
        <v>1370</v>
      </c>
    </row>
    <row r="24">
      <c r="A24" s="16" t="s">
        <v>276</v>
      </c>
      <c r="B24" s="16" t="s">
        <v>1371</v>
      </c>
      <c r="C24" s="16" t="s">
        <v>1372</v>
      </c>
    </row>
    <row r="25">
      <c r="A25" s="16" t="s">
        <v>272</v>
      </c>
      <c r="B25" s="16" t="s">
        <v>1373</v>
      </c>
      <c r="C25" s="16" t="s">
        <v>1374</v>
      </c>
    </row>
    <row r="26">
      <c r="A26" s="16" t="s">
        <v>284</v>
      </c>
      <c r="B26" s="104" t="s">
        <v>1375</v>
      </c>
      <c r="C26" s="16" t="s">
        <v>1376</v>
      </c>
    </row>
    <row r="27">
      <c r="A27" s="16" t="s">
        <v>283</v>
      </c>
      <c r="B27" s="16" t="s">
        <v>1377</v>
      </c>
      <c r="C27" s="16" t="s">
        <v>1378</v>
      </c>
    </row>
    <row r="28">
      <c r="A28" s="16" t="s">
        <v>290</v>
      </c>
      <c r="B28" s="16" t="s">
        <v>1379</v>
      </c>
      <c r="C28" s="16" t="s">
        <v>1380</v>
      </c>
    </row>
    <row r="29">
      <c r="A29" s="16" t="s">
        <v>353</v>
      </c>
      <c r="B29" s="16" t="s">
        <v>1381</v>
      </c>
      <c r="C29" s="16" t="s">
        <v>1382</v>
      </c>
    </row>
    <row r="30">
      <c r="A30" s="160" t="s">
        <v>443</v>
      </c>
      <c r="B30" s="16" t="s">
        <v>1383</v>
      </c>
      <c r="C30" s="16" t="s">
        <v>1384</v>
      </c>
    </row>
    <row r="31">
      <c r="A31" s="160" t="s">
        <v>364</v>
      </c>
      <c r="B31" s="16" t="s">
        <v>1385</v>
      </c>
      <c r="C31" s="16" t="s">
        <v>1386</v>
      </c>
    </row>
    <row r="32">
      <c r="A32" s="160" t="s">
        <v>260</v>
      </c>
      <c r="B32" s="16" t="s">
        <v>1387</v>
      </c>
      <c r="C32" s="16" t="s">
        <v>1388</v>
      </c>
    </row>
    <row r="33">
      <c r="A33" s="16" t="s">
        <v>368</v>
      </c>
      <c r="B33" s="16" t="s">
        <v>1389</v>
      </c>
      <c r="C33" s="16" t="s">
        <v>1390</v>
      </c>
    </row>
    <row r="34">
      <c r="A34" s="16" t="s">
        <v>601</v>
      </c>
      <c r="B34" s="16" t="s">
        <v>1391</v>
      </c>
      <c r="C34" s="16" t="s">
        <v>1392</v>
      </c>
    </row>
    <row r="35">
      <c r="A35" s="16" t="s">
        <v>348</v>
      </c>
      <c r="B35" s="16" t="s">
        <v>1393</v>
      </c>
      <c r="C35" s="16" t="s">
        <v>1394</v>
      </c>
    </row>
    <row r="36">
      <c r="A36" s="16" t="s">
        <v>468</v>
      </c>
      <c r="B36" s="16" t="s">
        <v>1395</v>
      </c>
      <c r="C36" s="16" t="s">
        <v>1396</v>
      </c>
    </row>
    <row r="37">
      <c r="A37" s="16" t="s">
        <v>448</v>
      </c>
      <c r="B37" s="16" t="s">
        <v>1397</v>
      </c>
      <c r="C37" s="16" t="s">
        <v>1398</v>
      </c>
    </row>
    <row r="38">
      <c r="A38" s="16" t="s">
        <v>402</v>
      </c>
      <c r="B38" s="16" t="s">
        <v>1399</v>
      </c>
      <c r="C38" s="16" t="s">
        <v>1400</v>
      </c>
    </row>
    <row r="39">
      <c r="A39" s="16" t="s">
        <v>113</v>
      </c>
      <c r="B39" s="16" t="s">
        <v>1401</v>
      </c>
      <c r="C39" s="16" t="s">
        <v>1402</v>
      </c>
    </row>
  </sheetData>
  <autoFilter ref="$A$1:$D$39"/>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9" t="str">
        <f>IFERROR(__xludf.DUMMYFUNCTION("query(importrange(""https://docs.google.com/spreadsheets/d/1pQ2gx6Ge83l-DaxshSzSGGJ9OhBT3k_7v5yzHlxiP94/edit?gid=1738476307#gid=1738476307"", ""SL!A1:N""))"),"Date")</f>
        <v>Date</v>
      </c>
      <c r="B1" s="29" t="str">
        <f>IFERROR(__xludf.DUMMYFUNCTION("""COMPUTED_VALUE"""),"Talent")</f>
        <v>Talent</v>
      </c>
      <c r="C1" s="29" t="str">
        <f>IFERROR(__xludf.DUMMYFUNCTION("""COMPUTED_VALUE"""),"Marque")</f>
        <v>Marque</v>
      </c>
      <c r="D1" s="29" t="str">
        <f>IFERROR(__xludf.DUMMYFUNCTION("""COMPUTED_VALUE"""),"N° Facture")</f>
        <v>N° Facture</v>
      </c>
      <c r="E1" s="29" t="str">
        <f>IFERROR(__xludf.DUMMYFUNCTION("""COMPUTED_VALUE"""),"Montant")</f>
        <v>Montant</v>
      </c>
      <c r="F1" s="29" t="str">
        <f>IFERROR(__xludf.DUMMYFUNCTION("""COMPUTED_VALUE"""),"Bénéfice")</f>
        <v>Bénéfice</v>
      </c>
      <c r="G1" s="29" t="str">
        <f>IFERROR(__xludf.DUMMYFUNCTION("""COMPUTED_VALUE"""),"Rémunération Talent")</f>
        <v>Rémunération Talent</v>
      </c>
      <c r="H1" s="29" t="str">
        <f>IFERROR(__xludf.DUMMYFUNCTION("""COMPUTED_VALUE"""),"Payé")</f>
        <v>Payé</v>
      </c>
      <c r="I1" s="29" t="str">
        <f>IFERROR(__xludf.DUMMYFUNCTION("""COMPUTED_VALUE"""),"VAT")</f>
        <v>VAT</v>
      </c>
      <c r="J1" s="29" t="str">
        <f>IFERROR(__xludf.DUMMYFUNCTION("""COMPUTED_VALUE"""),"Virement")</f>
        <v>Virement</v>
      </c>
      <c r="K1" s="29" t="str">
        <f>IFERROR(__xludf.DUMMYFUNCTION("""COMPUTED_VALUE"""),"Date")</f>
        <v>Date</v>
      </c>
      <c r="L1" s="29" t="str">
        <f>IFERROR(__xludf.DUMMYFUNCTION("""COMPUTED_VALUE"""),"Status")</f>
        <v>Status</v>
      </c>
      <c r="M1" s="29" t="str">
        <f>IFERROR(__xludf.DUMMYFUNCTION("""COMPUTED_VALUE"""),"Commentaire")</f>
        <v>Commentaire</v>
      </c>
      <c r="N1" s="29" t="str">
        <f>IFERROR(__xludf.DUMMYFUNCTION("""COMPUTED_VALUE"""),"")</f>
        <v/>
      </c>
    </row>
    <row r="2">
      <c r="A2" s="32">
        <f>IFERROR(__xludf.DUMMYFUNCTION("""COMPUTED_VALUE"""),45677.0)</f>
        <v>45677</v>
      </c>
      <c r="B2" s="29" t="str">
        <f>IFERROR(__xludf.DUMMYFUNCTION("""COMPUTED_VALUE"""),"Lola")</f>
        <v>Lola</v>
      </c>
      <c r="C2" s="29" t="str">
        <f>IFERROR(__xludf.DUMMYFUNCTION("""COMPUTED_VALUE"""),"Musc Intime")</f>
        <v>Musc Intime</v>
      </c>
      <c r="D2" s="29" t="str">
        <f>IFERROR(__xludf.DUMMYFUNCTION("""COMPUTED_VALUE"""),"F250001")</f>
        <v>F250001</v>
      </c>
      <c r="E2" s="241">
        <f>IFERROR(__xludf.DUMMYFUNCTION("""COMPUTED_VALUE"""),300.0)</f>
        <v>300</v>
      </c>
      <c r="F2" s="241">
        <f>IFERROR(__xludf.DUMMYFUNCTION("""COMPUTED_VALUE"""),90.0)</f>
        <v>90</v>
      </c>
      <c r="G2" s="241">
        <f>IFERROR(__xludf.DUMMYFUNCTION("""COMPUTED_VALUE"""),210.0)</f>
        <v>210</v>
      </c>
      <c r="H2" s="29" t="b">
        <f>IFERROR(__xludf.DUMMYFUNCTION("""COMPUTED_VALUE"""),TRUE)</f>
        <v>1</v>
      </c>
      <c r="I2" s="257"/>
      <c r="J2" s="29" t="str">
        <f>IFERROR(__xludf.DUMMYFUNCTION("""COMPUTED_VALUE"""),"à faire")</f>
        <v>à faire</v>
      </c>
      <c r="K2" s="32">
        <f>IFERROR(__xludf.DUMMYFUNCTION("""COMPUTED_VALUE"""),45707.0)</f>
        <v>45707</v>
      </c>
      <c r="L2" s="29"/>
      <c r="M2" s="29"/>
      <c r="N2" s="29"/>
    </row>
    <row r="3">
      <c r="A3" s="32">
        <f>IFERROR(__xludf.DUMMYFUNCTION("""COMPUTED_VALUE"""),45677.0)</f>
        <v>45677</v>
      </c>
      <c r="B3" s="29" t="str">
        <f>IFERROR(__xludf.DUMMYFUNCTION("""COMPUTED_VALUE"""),"11")</f>
        <v>11</v>
      </c>
      <c r="C3" s="29" t="str">
        <f>IFERROR(__xludf.DUMMYFUNCTION("""COMPUTED_VALUE"""),"Myriam K")</f>
        <v>Myriam K</v>
      </c>
      <c r="D3" s="29" t="str">
        <f>IFERROR(__xludf.DUMMYFUNCTION("""COMPUTED_VALUE"""),"F250002")</f>
        <v>F250002</v>
      </c>
      <c r="E3" s="241">
        <f>IFERROR(__xludf.DUMMYFUNCTION("""COMPUTED_VALUE"""),3410.0)</f>
        <v>3410</v>
      </c>
      <c r="F3" s="241">
        <f>IFERROR(__xludf.DUMMYFUNCTION("""COMPUTED_VALUE"""),1069.0)</f>
        <v>1069</v>
      </c>
      <c r="G3" s="241">
        <f>IFERROR(__xludf.DUMMYFUNCTION("""COMPUTED_VALUE"""),2341.0)</f>
        <v>2341</v>
      </c>
      <c r="H3" s="29" t="b">
        <f>IFERROR(__xludf.DUMMYFUNCTION("""COMPUTED_VALUE"""),TRUE)</f>
        <v>1</v>
      </c>
      <c r="I3" s="257"/>
      <c r="J3" s="29"/>
      <c r="K3" s="32">
        <f>IFERROR(__xludf.DUMMYFUNCTION("""COMPUTED_VALUE"""),45707.0)</f>
        <v>45707</v>
      </c>
      <c r="L3" s="29"/>
      <c r="M3" s="29"/>
      <c r="N3" s="29"/>
    </row>
    <row r="4">
      <c r="A4" s="32">
        <f>IFERROR(__xludf.DUMMYFUNCTION("""COMPUTED_VALUE"""),45680.0)</f>
        <v>45680</v>
      </c>
      <c r="B4" s="29" t="str">
        <f>IFERROR(__xludf.DUMMYFUNCTION("""COMPUTED_VALUE"""),"Gurbet")</f>
        <v>Gurbet</v>
      </c>
      <c r="C4" s="29" t="str">
        <f>IFERROR(__xludf.DUMMYFUNCTION("""COMPUTED_VALUE"""),"Yepoda")</f>
        <v>Yepoda</v>
      </c>
      <c r="D4" s="29" t="str">
        <f>IFERROR(__xludf.DUMMYFUNCTION("""COMPUTED_VALUE"""),"F250003")</f>
        <v>F250003</v>
      </c>
      <c r="E4" s="241">
        <f>IFERROR(__xludf.DUMMYFUNCTION("""COMPUTED_VALUE"""),400.0)</f>
        <v>400</v>
      </c>
      <c r="F4" s="241">
        <f>IFERROR(__xludf.DUMMYFUNCTION("""COMPUTED_VALUE"""),120.0)</f>
        <v>120</v>
      </c>
      <c r="G4" s="241">
        <f>IFERROR(__xludf.DUMMYFUNCTION("""COMPUTED_VALUE"""),280.0)</f>
        <v>280</v>
      </c>
      <c r="H4" s="29" t="b">
        <f>IFERROR(__xludf.DUMMYFUNCTION("""COMPUTED_VALUE"""),TRUE)</f>
        <v>1</v>
      </c>
      <c r="I4" s="257"/>
      <c r="J4" s="29" t="str">
        <f>IFERROR(__xludf.DUMMYFUNCTION("""COMPUTED_VALUE"""),"reçu à faire attendre SASU")</f>
        <v>reçu à faire attendre SASU</v>
      </c>
      <c r="K4" s="32">
        <f>IFERROR(__xludf.DUMMYFUNCTION("""COMPUTED_VALUE"""),45710.0)</f>
        <v>45710</v>
      </c>
      <c r="L4" s="29"/>
      <c r="M4" s="29"/>
      <c r="N4" s="29"/>
    </row>
    <row r="5">
      <c r="A5" s="32">
        <f>IFERROR(__xludf.DUMMYFUNCTION("""COMPUTED_VALUE"""),45680.0)</f>
        <v>45680</v>
      </c>
      <c r="B5" s="29" t="str">
        <f>IFERROR(__xludf.DUMMYFUNCTION("""COMPUTED_VALUE"""),"Anaïs")</f>
        <v>Anaïs</v>
      </c>
      <c r="C5" s="29" t="str">
        <f>IFERROR(__xludf.DUMMYFUNCTION("""COMPUTED_VALUE"""),"Haru Haru Wonder")</f>
        <v>Haru Haru Wonder</v>
      </c>
      <c r="D5" s="29" t="str">
        <f>IFERROR(__xludf.DUMMYFUNCTION("""COMPUTED_VALUE"""),"F250004")</f>
        <v>F250004</v>
      </c>
      <c r="E5" s="241">
        <f>IFERROR(__xludf.DUMMYFUNCTION("""COMPUTED_VALUE"""),892.61)</f>
        <v>892.61</v>
      </c>
      <c r="F5" s="241">
        <f>IFERROR(__xludf.DUMMYFUNCTION("""COMPUTED_VALUE"""),267.783)</f>
        <v>267.783</v>
      </c>
      <c r="G5" s="241">
        <f>IFERROR(__xludf.DUMMYFUNCTION("""COMPUTED_VALUE"""),624.827)</f>
        <v>624.827</v>
      </c>
      <c r="H5" s="29" t="b">
        <f>IFERROR(__xludf.DUMMYFUNCTION("""COMPUTED_VALUE"""),TRUE)</f>
        <v>1</v>
      </c>
      <c r="I5" s="257"/>
      <c r="J5" s="29"/>
      <c r="K5" s="32">
        <f>IFERROR(__xludf.DUMMYFUNCTION("""COMPUTED_VALUE"""),45710.0)</f>
        <v>45710</v>
      </c>
      <c r="L5" s="29"/>
      <c r="M5" s="29"/>
      <c r="N5" s="29"/>
    </row>
    <row r="6">
      <c r="A6" s="32">
        <f>IFERROR(__xludf.DUMMYFUNCTION("""COMPUTED_VALUE"""),45684.0)</f>
        <v>45684</v>
      </c>
      <c r="B6" s="29" t="str">
        <f>IFERROR(__xludf.DUMMYFUNCTION("""COMPUTED_VALUE"""),"Aïcha")</f>
        <v>Aïcha</v>
      </c>
      <c r="C6" s="29" t="str">
        <f>IFERROR(__xludf.DUMMYFUNCTION("""COMPUTED_VALUE"""),"Hacoo")</f>
        <v>Hacoo</v>
      </c>
      <c r="D6" s="29" t="str">
        <f>IFERROR(__xludf.DUMMYFUNCTION("""COMPUTED_VALUE"""),"F250005")</f>
        <v>F250005</v>
      </c>
      <c r="E6" s="241">
        <f>IFERROR(__xludf.DUMMYFUNCTION("""COMPUTED_VALUE"""),1250.0)</f>
        <v>1250</v>
      </c>
      <c r="F6" s="241">
        <f>IFERROR(__xludf.DUMMYFUNCTION("""COMPUTED_VALUE"""),375.0)</f>
        <v>375</v>
      </c>
      <c r="G6" s="241">
        <f>IFERROR(__xludf.DUMMYFUNCTION("""COMPUTED_VALUE"""),875.0)</f>
        <v>875</v>
      </c>
      <c r="H6" s="29" t="b">
        <f>IFERROR(__xludf.DUMMYFUNCTION("""COMPUTED_VALUE"""),TRUE)</f>
        <v>1</v>
      </c>
      <c r="I6" s="257"/>
      <c r="J6" s="29" t="str">
        <f>IFERROR(__xludf.DUMMYFUNCTION("""COMPUTED_VALUE"""),"faire facture")</f>
        <v>faire facture</v>
      </c>
      <c r="K6" s="32">
        <f>IFERROR(__xludf.DUMMYFUNCTION("""COMPUTED_VALUE"""),45714.0)</f>
        <v>45714</v>
      </c>
      <c r="L6" s="29"/>
      <c r="M6" s="29"/>
      <c r="N6" s="29"/>
    </row>
    <row r="7">
      <c r="A7" s="32">
        <f>IFERROR(__xludf.DUMMYFUNCTION("""COMPUTED_VALUE"""),45708.0)</f>
        <v>45708</v>
      </c>
      <c r="B7" s="29" t="str">
        <f>IFERROR(__xludf.DUMMYFUNCTION("""COMPUTED_VALUE"""),"Pauline")</f>
        <v>Pauline</v>
      </c>
      <c r="C7" s="29" t="str">
        <f>IFERROR(__xludf.DUMMYFUNCTION("""COMPUTED_VALUE"""),"Woo L'Oreal Revitalift")</f>
        <v>Woo L'Oreal Revitalift</v>
      </c>
      <c r="D7" s="29" t="str">
        <f>IFERROR(__xludf.DUMMYFUNCTION("""COMPUTED_VALUE"""),"F250018")</f>
        <v>F250018</v>
      </c>
      <c r="E7" s="241">
        <f>IFERROR(__xludf.DUMMYFUNCTION("""COMPUTED_VALUE"""),75.0)</f>
        <v>75</v>
      </c>
      <c r="F7" s="241">
        <f>IFERROR(__xludf.DUMMYFUNCTION("""COMPUTED_VALUE"""),15.0)</f>
        <v>15</v>
      </c>
      <c r="G7" s="241">
        <f>IFERROR(__xludf.DUMMYFUNCTION("""COMPUTED_VALUE"""),60.0)</f>
        <v>60</v>
      </c>
      <c r="H7" s="29" t="b">
        <f>IFERROR(__xludf.DUMMYFUNCTION("""COMPUTED_VALUE"""),TRUE)</f>
        <v>1</v>
      </c>
      <c r="I7" s="257"/>
      <c r="J7" s="29"/>
      <c r="K7" s="32">
        <f>IFERROR(__xludf.DUMMYFUNCTION("""COMPUTED_VALUE"""),45747.0)</f>
        <v>45747</v>
      </c>
      <c r="L7" s="29"/>
      <c r="M7" s="29"/>
      <c r="N7" s="29"/>
    </row>
    <row r="8">
      <c r="A8" s="32">
        <f>IFERROR(__xludf.DUMMYFUNCTION("""COMPUTED_VALUE"""),45696.0)</f>
        <v>45696</v>
      </c>
      <c r="B8" s="29" t="str">
        <f>IFERROR(__xludf.DUMMYFUNCTION("""COMPUTED_VALUE"""),"__")</f>
        <v>__</v>
      </c>
      <c r="C8" s="29" t="str">
        <f>IFERROR(__xludf.DUMMYFUNCTION("""COMPUTED_VALUE"""),"Myriam K")</f>
        <v>Myriam K</v>
      </c>
      <c r="D8" s="29" t="str">
        <f>IFERROR(__xludf.DUMMYFUNCTION("""COMPUTED_VALUE"""),"F250007")</f>
        <v>F250007</v>
      </c>
      <c r="E8" s="241">
        <f>IFERROR(__xludf.DUMMYFUNCTION("""COMPUTED_VALUE"""),3720.0)</f>
        <v>3720</v>
      </c>
      <c r="F8" s="241">
        <f>IFERROR(__xludf.DUMMYFUNCTION("""COMPUTED_VALUE"""),1069.0)</f>
        <v>1069</v>
      </c>
      <c r="G8" s="241">
        <f>IFERROR(__xludf.DUMMYFUNCTION("""COMPUTED_VALUE"""),2651.0)</f>
        <v>2651</v>
      </c>
      <c r="H8" s="29" t="b">
        <f>IFERROR(__xludf.DUMMYFUNCTION("""COMPUTED_VALUE"""),TRUE)</f>
        <v>1</v>
      </c>
      <c r="I8" s="257"/>
      <c r="J8" s="29"/>
      <c r="K8" s="32">
        <f>IFERROR(__xludf.DUMMYFUNCTION("""COMPUTED_VALUE"""),45726.0)</f>
        <v>45726</v>
      </c>
      <c r="L8" s="29"/>
      <c r="M8" s="29" t="str">
        <f>IFERROR(__xludf.DUMMYFUNCTION("""COMPUTED_VALUE"""),"revoir com mais je crois que 900 environ")</f>
        <v>revoir com mais je crois que 900 environ</v>
      </c>
      <c r="N8" s="29"/>
    </row>
    <row r="9">
      <c r="A9" s="32">
        <f>IFERROR(__xludf.DUMMYFUNCTION("""COMPUTED_VALUE"""),45697.0)</f>
        <v>45697</v>
      </c>
      <c r="B9" s="29" t="str">
        <f>IFERROR(__xludf.DUMMYFUNCTION("""COMPUTED_VALUE"""),"Dounia")</f>
        <v>Dounia</v>
      </c>
      <c r="C9" s="29" t="str">
        <f>IFERROR(__xludf.DUMMYFUNCTION("""COMPUTED_VALUE"""),"Roadget Sheglam")</f>
        <v>Roadget Sheglam</v>
      </c>
      <c r="D9" s="29" t="str">
        <f>IFERROR(__xludf.DUMMYFUNCTION("""COMPUTED_VALUE"""),"F250008")</f>
        <v>F250008</v>
      </c>
      <c r="E9" s="241">
        <f>IFERROR(__xludf.DUMMYFUNCTION("""COMPUTED_VALUE"""),300.0)</f>
        <v>300</v>
      </c>
      <c r="F9" s="241">
        <f>IFERROR(__xludf.DUMMYFUNCTION("""COMPUTED_VALUE"""),90.0)</f>
        <v>90</v>
      </c>
      <c r="G9" s="241">
        <f>IFERROR(__xludf.DUMMYFUNCTION("""COMPUTED_VALUE"""),210.0)</f>
        <v>210</v>
      </c>
      <c r="H9" s="29" t="b">
        <f>IFERROR(__xludf.DUMMYFUNCTION("""COMPUTED_VALUE"""),TRUE)</f>
        <v>1</v>
      </c>
      <c r="I9" s="257"/>
      <c r="J9" s="29"/>
      <c r="K9" s="32">
        <f>IFERROR(__xludf.DUMMYFUNCTION("""COMPUTED_VALUE"""),45727.0)</f>
        <v>45727</v>
      </c>
      <c r="L9" s="29"/>
      <c r="M9" s="29"/>
      <c r="N9" s="29"/>
    </row>
    <row r="10">
      <c r="A10" s="32">
        <f>IFERROR(__xludf.DUMMYFUNCTION("""COMPUTED_VALUE"""),45723.0)</f>
        <v>45723</v>
      </c>
      <c r="B10" s="29" t="str">
        <f>IFERROR(__xludf.DUMMYFUNCTION("""COMPUTED_VALUE"""),"Pauline")</f>
        <v>Pauline</v>
      </c>
      <c r="C10" s="29" t="str">
        <f>IFERROR(__xludf.DUMMYFUNCTION("""COMPUTED_VALUE"""),"Woo Pauline Mediat")</f>
        <v>Woo Pauline Mediat</v>
      </c>
      <c r="D10" s="29" t="str">
        <f>IFERROR(__xludf.DUMMYFUNCTION("""COMPUTED_VALUE"""),"F250039")</f>
        <v>F250039</v>
      </c>
      <c r="E10" s="241">
        <f>IFERROR(__xludf.DUMMYFUNCTION("""COMPUTED_VALUE"""),75.0)</f>
        <v>75</v>
      </c>
      <c r="F10" s="241">
        <f>IFERROR(__xludf.DUMMYFUNCTION("""COMPUTED_VALUE"""),15.0)</f>
        <v>15</v>
      </c>
      <c r="G10" s="241">
        <f>IFERROR(__xludf.DUMMYFUNCTION("""COMPUTED_VALUE"""),60.0)</f>
        <v>60</v>
      </c>
      <c r="H10" s="29" t="b">
        <f>IFERROR(__xludf.DUMMYFUNCTION("""COMPUTED_VALUE"""),TRUE)</f>
        <v>1</v>
      </c>
      <c r="I10" s="257"/>
      <c r="J10" s="29"/>
      <c r="K10" s="32">
        <f>IFERROR(__xludf.DUMMYFUNCTION("""COMPUTED_VALUE"""),45777.0)</f>
        <v>45777</v>
      </c>
      <c r="L10" s="29"/>
      <c r="M10" s="29"/>
      <c r="N10" s="29"/>
    </row>
    <row r="11">
      <c r="A11" s="32">
        <f>IFERROR(__xludf.DUMMYFUNCTION("""COMPUTED_VALUE"""),45697.0)</f>
        <v>45697</v>
      </c>
      <c r="B11" s="29" t="str">
        <f>IFERROR(__xludf.DUMMYFUNCTION("""COMPUTED_VALUE"""),"Gurbet")</f>
        <v>Gurbet</v>
      </c>
      <c r="C11" s="29" t="str">
        <f>IFERROR(__xludf.DUMMYFUNCTION("""COMPUTED_VALUE"""),"Remington ")</f>
        <v>Remington </v>
      </c>
      <c r="D11" s="29" t="str">
        <f>IFERROR(__xludf.DUMMYFUNCTION("""COMPUTED_VALUE"""),"F250010")</f>
        <v>F250010</v>
      </c>
      <c r="E11" s="241">
        <f>IFERROR(__xludf.DUMMYFUNCTION("""COMPUTED_VALUE"""),2000.0)</f>
        <v>2000</v>
      </c>
      <c r="F11" s="241">
        <f>IFERROR(__xludf.DUMMYFUNCTION("""COMPUTED_VALUE"""),600.0)</f>
        <v>600</v>
      </c>
      <c r="G11" s="241">
        <f>IFERROR(__xludf.DUMMYFUNCTION("""COMPUTED_VALUE"""),1400.0)</f>
        <v>1400</v>
      </c>
      <c r="H11" s="29" t="b">
        <f>IFERROR(__xludf.DUMMYFUNCTION("""COMPUTED_VALUE"""),TRUE)</f>
        <v>1</v>
      </c>
      <c r="I11" s="257"/>
      <c r="J11" s="29" t="str">
        <f>IFERROR(__xludf.DUMMYFUNCTION("""COMPUTED_VALUE"""),"reçu à faire attendre SASU")</f>
        <v>reçu à faire attendre SASU</v>
      </c>
      <c r="K11" s="32">
        <f>IFERROR(__xludf.DUMMYFUNCTION("""COMPUTED_VALUE"""),45757.0)</f>
        <v>45757</v>
      </c>
      <c r="L11" s="29"/>
      <c r="M11" s="29"/>
      <c r="N11" s="29"/>
    </row>
    <row r="12">
      <c r="A12" s="32">
        <f>IFERROR(__xludf.DUMMYFUNCTION("""COMPUTED_VALUE"""),45700.0)</f>
        <v>45700</v>
      </c>
      <c r="B12" s="29" t="str">
        <f>IFERROR(__xludf.DUMMYFUNCTION("""COMPUTED_VALUE"""),"Lily N + Mary")</f>
        <v>Lily N + Mary</v>
      </c>
      <c r="C12" s="29" t="str">
        <f>IFERROR(__xludf.DUMMYFUNCTION("""COMPUTED_VALUE"""),"SKIN1004")</f>
        <v>SKIN1004</v>
      </c>
      <c r="D12" s="29" t="str">
        <f>IFERROR(__xludf.DUMMYFUNCTION("""COMPUTED_VALUE"""),"F250011")</f>
        <v>F250011</v>
      </c>
      <c r="E12" s="241">
        <f>IFERROR(__xludf.DUMMYFUNCTION("""COMPUTED_VALUE"""),4600.0)</f>
        <v>4600</v>
      </c>
      <c r="F12" s="241">
        <f>IFERROR(__xludf.DUMMYFUNCTION("""COMPUTED_VALUE"""),1330.0)</f>
        <v>1330</v>
      </c>
      <c r="G12" s="241">
        <f>IFERROR(__xludf.DUMMYFUNCTION("""COMPUTED_VALUE"""),3270.0)</f>
        <v>3270</v>
      </c>
      <c r="H12" s="29" t="b">
        <f>IFERROR(__xludf.DUMMYFUNCTION("""COMPUTED_VALUE"""),TRUE)</f>
        <v>1</v>
      </c>
      <c r="I12" s="257"/>
      <c r="J12" s="29"/>
      <c r="K12" s="32">
        <f>IFERROR(__xludf.DUMMYFUNCTION("""COMPUTED_VALUE"""),45730.0)</f>
        <v>45730</v>
      </c>
      <c r="L12" s="29"/>
      <c r="M12" s="29"/>
      <c r="N12" s="29"/>
    </row>
    <row r="13">
      <c r="A13" s="32">
        <f>IFERROR(__xludf.DUMMYFUNCTION("""COMPUTED_VALUE"""),45700.0)</f>
        <v>45700</v>
      </c>
      <c r="B13" s="29" t="str">
        <f>IFERROR(__xludf.DUMMYFUNCTION("""COMPUTED_VALUE"""),"Anaïs")</f>
        <v>Anaïs</v>
      </c>
      <c r="C13" s="29" t="str">
        <f>IFERROR(__xludf.DUMMYFUNCTION("""COMPUTED_VALUE"""),"SKIN1004")</f>
        <v>SKIN1004</v>
      </c>
      <c r="D13" s="29" t="str">
        <f>IFERROR(__xludf.DUMMYFUNCTION("""COMPUTED_VALUE"""),"F250012")</f>
        <v>F250012</v>
      </c>
      <c r="E13" s="241">
        <f>IFERROR(__xludf.DUMMYFUNCTION("""COMPUTED_VALUE"""),650.0)</f>
        <v>650</v>
      </c>
      <c r="F13" s="241">
        <f>IFERROR(__xludf.DUMMYFUNCTION("""COMPUTED_VALUE"""),195.0)</f>
        <v>195</v>
      </c>
      <c r="G13" s="241">
        <f>IFERROR(__xludf.DUMMYFUNCTION("""COMPUTED_VALUE"""),455.0)</f>
        <v>455</v>
      </c>
      <c r="H13" s="29" t="b">
        <f>IFERROR(__xludf.DUMMYFUNCTION("""COMPUTED_VALUE"""),TRUE)</f>
        <v>1</v>
      </c>
      <c r="I13" s="257"/>
      <c r="J13" s="29"/>
      <c r="K13" s="32">
        <f>IFERROR(__xludf.DUMMYFUNCTION("""COMPUTED_VALUE"""),45730.0)</f>
        <v>45730</v>
      </c>
      <c r="L13" s="29"/>
      <c r="M13" s="29"/>
      <c r="N13" s="29"/>
    </row>
    <row r="14">
      <c r="A14" s="32">
        <f>IFERROR(__xludf.DUMMYFUNCTION("""COMPUTED_VALUE"""),45702.0)</f>
        <v>45702</v>
      </c>
      <c r="B14" s="29" t="str">
        <f>IFERROR(__xludf.DUMMYFUNCTION("""COMPUTED_VALUE"""),"Lily Noël")</f>
        <v>Lily Noël</v>
      </c>
      <c r="C14" s="29" t="str">
        <f>IFERROR(__xludf.DUMMYFUNCTION("""COMPUTED_VALUE"""),"Sheglam Roadget")</f>
        <v>Sheglam Roadget</v>
      </c>
      <c r="D14" s="29" t="str">
        <f>IFERROR(__xludf.DUMMYFUNCTION("""COMPUTED_VALUE"""),"F250013")</f>
        <v>F250013</v>
      </c>
      <c r="E14" s="241">
        <f>IFERROR(__xludf.DUMMYFUNCTION("""COMPUTED_VALUE"""),450.0)</f>
        <v>450</v>
      </c>
      <c r="F14" s="241">
        <f>IFERROR(__xludf.DUMMYFUNCTION("""COMPUTED_VALUE"""),112.5)</f>
        <v>112.5</v>
      </c>
      <c r="G14" s="241">
        <f>IFERROR(__xludf.DUMMYFUNCTION("""COMPUTED_VALUE"""),337.5)</f>
        <v>337.5</v>
      </c>
      <c r="H14" s="29" t="b">
        <f>IFERROR(__xludf.DUMMYFUNCTION("""COMPUTED_VALUE"""),TRUE)</f>
        <v>1</v>
      </c>
      <c r="I14" s="257"/>
      <c r="J14" s="29" t="str">
        <f>IFERROR(__xludf.DUMMYFUNCTION("""COMPUTED_VALUE"""),"à faire")</f>
        <v>à faire</v>
      </c>
      <c r="K14" s="32">
        <f>IFERROR(__xludf.DUMMYFUNCTION("""COMPUTED_VALUE"""),45732.0)</f>
        <v>45732</v>
      </c>
      <c r="L14" s="29"/>
      <c r="M14" s="29"/>
      <c r="N14" s="29"/>
    </row>
    <row r="15">
      <c r="A15" s="32">
        <f>IFERROR(__xludf.DUMMYFUNCTION("""COMPUTED_VALUE"""),45703.0)</f>
        <v>45703</v>
      </c>
      <c r="B15" s="29" t="str">
        <f>IFERROR(__xludf.DUMMYFUNCTION("""COMPUTED_VALUE"""),"Aïcha")</f>
        <v>Aïcha</v>
      </c>
      <c r="C15" s="29" t="str">
        <f>IFERROR(__xludf.DUMMYFUNCTION("""COMPUTED_VALUE"""),"Wandernana")</f>
        <v>Wandernana</v>
      </c>
      <c r="D15" s="29" t="str">
        <f>IFERROR(__xludf.DUMMYFUNCTION("""COMPUTED_VALUE"""),"F250014")</f>
        <v>F250014</v>
      </c>
      <c r="E15" s="241">
        <f>IFERROR(__xludf.DUMMYFUNCTION("""COMPUTED_VALUE"""),200.0)</f>
        <v>200</v>
      </c>
      <c r="F15" s="241">
        <f>IFERROR(__xludf.DUMMYFUNCTION("""COMPUTED_VALUE"""),60.0)</f>
        <v>60</v>
      </c>
      <c r="G15" s="241">
        <f>IFERROR(__xludf.DUMMYFUNCTION("""COMPUTED_VALUE"""),140.0)</f>
        <v>140</v>
      </c>
      <c r="H15" s="29" t="b">
        <f>IFERROR(__xludf.DUMMYFUNCTION("""COMPUTED_VALUE"""),TRUE)</f>
        <v>1</v>
      </c>
      <c r="I15" s="257"/>
      <c r="J15" s="29"/>
      <c r="K15" s="32">
        <f>IFERROR(__xludf.DUMMYFUNCTION("""COMPUTED_VALUE"""),45733.0)</f>
        <v>45733</v>
      </c>
      <c r="L15" s="29"/>
      <c r="M15" s="29"/>
      <c r="N15" s="29"/>
    </row>
    <row r="16">
      <c r="A16" s="32">
        <f>IFERROR(__xludf.DUMMYFUNCTION("""COMPUTED_VALUE"""),45703.0)</f>
        <v>45703</v>
      </c>
      <c r="B16" s="29" t="str">
        <f>IFERROR(__xludf.DUMMYFUNCTION("""COMPUTED_VALUE"""),"5")</f>
        <v>5</v>
      </c>
      <c r="C16" s="29" t="str">
        <f>IFERROR(__xludf.DUMMYFUNCTION("""COMPUTED_VALUE"""),"Glamstar / Stylevana")</f>
        <v>Glamstar / Stylevana</v>
      </c>
      <c r="D16" s="29" t="str">
        <f>IFERROR(__xludf.DUMMYFUNCTION("""COMPUTED_VALUE"""),"F250015")</f>
        <v>F250015</v>
      </c>
      <c r="E16" s="241">
        <f>IFERROR(__xludf.DUMMYFUNCTION("""COMPUTED_VALUE"""),2300.0)</f>
        <v>2300</v>
      </c>
      <c r="F16" s="241">
        <f>IFERROR(__xludf.DUMMYFUNCTION("""COMPUTED_VALUE"""),690.0)</f>
        <v>690</v>
      </c>
      <c r="G16" s="241">
        <f>IFERROR(__xludf.DUMMYFUNCTION("""COMPUTED_VALUE"""),1610.0)</f>
        <v>1610</v>
      </c>
      <c r="H16" s="29" t="b">
        <f>IFERROR(__xludf.DUMMYFUNCTION("""COMPUTED_VALUE"""),TRUE)</f>
        <v>1</v>
      </c>
      <c r="I16" s="257"/>
      <c r="J16" s="29" t="str">
        <f>IFERROR(__xludf.DUMMYFUNCTION("""COMPUTED_VALUE"""),"à faire??")</f>
        <v>à faire??</v>
      </c>
      <c r="K16" s="32">
        <f>IFERROR(__xludf.DUMMYFUNCTION("""COMPUTED_VALUE"""),45733.0)</f>
        <v>45733</v>
      </c>
      <c r="L16" s="29"/>
      <c r="M16" s="29"/>
      <c r="N16" s="29"/>
    </row>
    <row r="17">
      <c r="A17" s="32">
        <f>IFERROR(__xludf.DUMMYFUNCTION("""COMPUTED_VALUE"""),45703.0)</f>
        <v>45703</v>
      </c>
      <c r="B17" s="29" t="str">
        <f>IFERROR(__xludf.DUMMYFUNCTION("""COMPUTED_VALUE"""),"5")</f>
        <v>5</v>
      </c>
      <c r="C17" s="29" t="str">
        <f>IFERROR(__xludf.DUMMYFUNCTION("""COMPUTED_VALUE"""),"Glamstar / Stylevana")</f>
        <v>Glamstar / Stylevana</v>
      </c>
      <c r="D17" s="29" t="str">
        <f>IFERROR(__xludf.DUMMYFUNCTION("""COMPUTED_VALUE"""),"F250015")</f>
        <v>F250015</v>
      </c>
      <c r="E17" s="241">
        <f>IFERROR(__xludf.DUMMYFUNCTION("""COMPUTED_VALUE"""),600.0)</f>
        <v>600</v>
      </c>
      <c r="F17" s="241">
        <f>IFERROR(__xludf.DUMMYFUNCTION("""COMPUTED_VALUE"""),180.0)</f>
        <v>180</v>
      </c>
      <c r="G17" s="241">
        <f>IFERROR(__xludf.DUMMYFUNCTION("""COMPUTED_VALUE"""),420.0)</f>
        <v>420</v>
      </c>
      <c r="H17" s="29" t="b">
        <f>IFERROR(__xludf.DUMMYFUNCTION("""COMPUTED_VALUE"""),TRUE)</f>
        <v>1</v>
      </c>
      <c r="I17" s="257"/>
      <c r="J17" s="29" t="str">
        <f>IFERROR(__xludf.DUMMYFUNCTION("""COMPUTED_VALUE"""),"reçu à faire attendre SASU ligne séparée pour GUrbet")</f>
        <v>reçu à faire attendre SASU ligne séparée pour GUrbet</v>
      </c>
      <c r="K17" s="32">
        <f>IFERROR(__xludf.DUMMYFUNCTION("""COMPUTED_VALUE"""),45733.0)</f>
        <v>45733</v>
      </c>
      <c r="L17" s="29"/>
      <c r="M17" s="29"/>
      <c r="N17" s="29"/>
    </row>
    <row r="18">
      <c r="A18" s="32">
        <f>IFERROR(__xludf.DUMMYFUNCTION("""COMPUTED_VALUE"""),45705.0)</f>
        <v>45705</v>
      </c>
      <c r="B18" s="29" t="str">
        <f>IFERROR(__xludf.DUMMYFUNCTION("""COMPUTED_VALUE"""),"Anaïs")</f>
        <v>Anaïs</v>
      </c>
      <c r="C18" s="29" t="str">
        <f>IFERROR(__xludf.DUMMYFUNCTION("""COMPUTED_VALUE"""),"Dynveo 18h08")</f>
        <v>Dynveo 18h08</v>
      </c>
      <c r="D18" s="29" t="str">
        <f>IFERROR(__xludf.DUMMYFUNCTION("""COMPUTED_VALUE"""),"F250016")</f>
        <v>F250016</v>
      </c>
      <c r="E18" s="241">
        <f>IFERROR(__xludf.DUMMYFUNCTION("""COMPUTED_VALUE"""),900.0)</f>
        <v>900</v>
      </c>
      <c r="F18" s="241">
        <f>IFERROR(__xludf.DUMMYFUNCTION("""COMPUTED_VALUE"""),270.0)</f>
        <v>270</v>
      </c>
      <c r="G18" s="241">
        <f>IFERROR(__xludf.DUMMYFUNCTION("""COMPUTED_VALUE"""),630.0)</f>
        <v>630</v>
      </c>
      <c r="H18" s="29" t="b">
        <f>IFERROR(__xludf.DUMMYFUNCTION("""COMPUTED_VALUE"""),TRUE)</f>
        <v>1</v>
      </c>
      <c r="I18" s="257"/>
      <c r="J18" s="29" t="str">
        <f>IFERROR(__xludf.DUMMYFUNCTION("""COMPUTED_VALUE"""),"faire facture")</f>
        <v>faire facture</v>
      </c>
      <c r="K18" s="32">
        <f>IFERROR(__xludf.DUMMYFUNCTION("""COMPUTED_VALUE"""),45747.0)</f>
        <v>45747</v>
      </c>
      <c r="L18" s="29"/>
      <c r="M18" s="29"/>
      <c r="N18" s="29"/>
    </row>
    <row r="19">
      <c r="A19" s="32">
        <f>IFERROR(__xludf.DUMMYFUNCTION("""COMPUTED_VALUE"""),45705.0)</f>
        <v>45705</v>
      </c>
      <c r="B19" s="29" t="str">
        <f>IFERROR(__xludf.DUMMYFUNCTION("""COMPUTED_VALUE"""),"Anaïs")</f>
        <v>Anaïs</v>
      </c>
      <c r="C19" s="29" t="str">
        <f>IFERROR(__xludf.DUMMYFUNCTION("""COMPUTED_VALUE"""),"Biocyte")</f>
        <v>Biocyte</v>
      </c>
      <c r="D19" s="29" t="str">
        <f>IFERROR(__xludf.DUMMYFUNCTION("""COMPUTED_VALUE"""),"F250017")</f>
        <v>F250017</v>
      </c>
      <c r="E19" s="241"/>
      <c r="F19" s="241"/>
      <c r="G19" s="241"/>
      <c r="H19" s="29" t="b">
        <f>IFERROR(__xludf.DUMMYFUNCTION("""COMPUTED_VALUE"""),TRUE)</f>
        <v>1</v>
      </c>
      <c r="I19" s="257"/>
      <c r="J19" s="29"/>
      <c r="K19" s="32">
        <f>IFERROR(__xludf.DUMMYFUNCTION("""COMPUTED_VALUE"""),45765.0)</f>
        <v>45765</v>
      </c>
      <c r="L19" s="29"/>
      <c r="M19" s="29"/>
      <c r="N19" s="29"/>
    </row>
    <row r="20">
      <c r="A20" s="32">
        <f>IFERROR(__xludf.DUMMYFUNCTION("""COMPUTED_VALUE"""),45710.0)</f>
        <v>45710</v>
      </c>
      <c r="B20" s="29" t="str">
        <f>IFERROR(__xludf.DUMMYFUNCTION("""COMPUTED_VALUE"""),"Jeanne")</f>
        <v>Jeanne</v>
      </c>
      <c r="C20" s="29" t="str">
        <f>IFERROR(__xludf.DUMMYFUNCTION("""COMPUTED_VALUE"""),"WOO LRP")</f>
        <v>WOO LRP</v>
      </c>
      <c r="D20" s="29" t="str">
        <f>IFERROR(__xludf.DUMMYFUNCTION("""COMPUTED_VALUE"""),"F250021")</f>
        <v>F250021</v>
      </c>
      <c r="E20" s="241">
        <f>IFERROR(__xludf.DUMMYFUNCTION("""COMPUTED_VALUE"""),200.0)</f>
        <v>200</v>
      </c>
      <c r="F20" s="241">
        <f>IFERROR(__xludf.DUMMYFUNCTION("""COMPUTED_VALUE"""),60.0)</f>
        <v>60</v>
      </c>
      <c r="G20" s="241">
        <f>IFERROR(__xludf.DUMMYFUNCTION("""COMPUTED_VALUE"""),140.0)</f>
        <v>140</v>
      </c>
      <c r="H20" s="29" t="b">
        <f>IFERROR(__xludf.DUMMYFUNCTION("""COMPUTED_VALUE"""),TRUE)</f>
        <v>1</v>
      </c>
      <c r="I20" s="257"/>
      <c r="J20" s="29"/>
      <c r="K20" s="32">
        <f>IFERROR(__xludf.DUMMYFUNCTION("""COMPUTED_VALUE"""),45747.0)</f>
        <v>45747</v>
      </c>
      <c r="L20" s="29"/>
      <c r="M20" s="29"/>
      <c r="N20" s="29"/>
    </row>
    <row r="21">
      <c r="A21" s="32">
        <f>IFERROR(__xludf.DUMMYFUNCTION("""COMPUTED_VALUE"""),45708.0)</f>
        <v>45708</v>
      </c>
      <c r="B21" s="29" t="str">
        <f>IFERROR(__xludf.DUMMYFUNCTION("""COMPUTED_VALUE"""),"Dounia")</f>
        <v>Dounia</v>
      </c>
      <c r="C21" s="29" t="str">
        <f>IFERROR(__xludf.DUMMYFUNCTION("""COMPUTED_VALUE"""),"Sheglam Roadget")</f>
        <v>Sheglam Roadget</v>
      </c>
      <c r="D21" s="29" t="str">
        <f>IFERROR(__xludf.DUMMYFUNCTION("""COMPUTED_VALUE"""),"F250019")</f>
        <v>F250019</v>
      </c>
      <c r="E21" s="241">
        <f>IFERROR(__xludf.DUMMYFUNCTION("""COMPUTED_VALUE"""),300.0)</f>
        <v>300</v>
      </c>
      <c r="F21" s="241">
        <f>IFERROR(__xludf.DUMMYFUNCTION("""COMPUTED_VALUE"""),90.0)</f>
        <v>90</v>
      </c>
      <c r="G21" s="241">
        <f>IFERROR(__xludf.DUMMYFUNCTION("""COMPUTED_VALUE"""),210.0)</f>
        <v>210</v>
      </c>
      <c r="H21" s="29" t="b">
        <f>IFERROR(__xludf.DUMMYFUNCTION("""COMPUTED_VALUE"""),TRUE)</f>
        <v>1</v>
      </c>
      <c r="I21" s="257"/>
      <c r="J21" s="29" t="str">
        <f>IFERROR(__xludf.DUMMYFUNCTION("""COMPUTED_VALUE"""),"à faire")</f>
        <v>à faire</v>
      </c>
      <c r="K21" s="32">
        <f>IFERROR(__xludf.DUMMYFUNCTION("""COMPUTED_VALUE"""),45738.0)</f>
        <v>45738</v>
      </c>
      <c r="L21" s="29"/>
      <c r="M21" s="29"/>
      <c r="N21" s="29"/>
    </row>
    <row r="22">
      <c r="A22" s="32">
        <f>IFERROR(__xludf.DUMMYFUNCTION("""COMPUTED_VALUE"""),45709.0)</f>
        <v>45709</v>
      </c>
      <c r="B22" s="29" t="str">
        <f>IFERROR(__xludf.DUMMYFUNCTION("""COMPUTED_VALUE"""),"Camille")</f>
        <v>Camille</v>
      </c>
      <c r="C22" s="29" t="str">
        <f>IFERROR(__xludf.DUMMYFUNCTION("""COMPUTED_VALUE"""),"Leffen Uberliss")</f>
        <v>Leffen Uberliss</v>
      </c>
      <c r="D22" s="29" t="str">
        <f>IFERROR(__xludf.DUMMYFUNCTION("""COMPUTED_VALUE"""),"F250020")</f>
        <v>F250020</v>
      </c>
      <c r="E22" s="241">
        <f>IFERROR(__xludf.DUMMYFUNCTION("""COMPUTED_VALUE"""),600.0)</f>
        <v>600</v>
      </c>
      <c r="F22" s="241">
        <f>IFERROR(__xludf.DUMMYFUNCTION("""COMPUTED_VALUE"""),150.0)</f>
        <v>150</v>
      </c>
      <c r="G22" s="241">
        <f>IFERROR(__xludf.DUMMYFUNCTION("""COMPUTED_VALUE"""),450.0)</f>
        <v>450</v>
      </c>
      <c r="H22" s="29" t="b">
        <f>IFERROR(__xludf.DUMMYFUNCTION("""COMPUTED_VALUE"""),TRUE)</f>
        <v>1</v>
      </c>
      <c r="I22" s="257"/>
      <c r="J22" s="29"/>
      <c r="K22" s="32">
        <f>IFERROR(__xludf.DUMMYFUNCTION("""COMPUTED_VALUE"""),45739.0)</f>
        <v>45739</v>
      </c>
      <c r="L22" s="29"/>
      <c r="M22" s="29"/>
      <c r="N22" s="29"/>
    </row>
    <row r="23">
      <c r="A23" s="32">
        <f>IFERROR(__xludf.DUMMYFUNCTION("""COMPUTED_VALUE"""),45714.0)</f>
        <v>45714</v>
      </c>
      <c r="B23" s="29" t="str">
        <f>IFERROR(__xludf.DUMMYFUNCTION("""COMPUTED_VALUE"""),"Gurbet")</f>
        <v>Gurbet</v>
      </c>
      <c r="C23" s="29" t="str">
        <f>IFERROR(__xludf.DUMMYFUNCTION("""COMPUTED_VALUE"""),"Woo LRP")</f>
        <v>Woo LRP</v>
      </c>
      <c r="D23" s="29" t="str">
        <f>IFERROR(__xludf.DUMMYFUNCTION("""COMPUTED_VALUE"""),"F250029")</f>
        <v>F250029</v>
      </c>
      <c r="E23" s="241">
        <f>IFERROR(__xludf.DUMMYFUNCTION("""COMPUTED_VALUE"""),2000.0)</f>
        <v>2000</v>
      </c>
      <c r="F23" s="241">
        <f>IFERROR(__xludf.DUMMYFUNCTION("""COMPUTED_VALUE"""),600.0)</f>
        <v>600</v>
      </c>
      <c r="G23" s="241">
        <f>IFERROR(__xludf.DUMMYFUNCTION("""COMPUTED_VALUE"""),1400.0)</f>
        <v>1400</v>
      </c>
      <c r="H23" s="29" t="b">
        <f>IFERROR(__xludf.DUMMYFUNCTION("""COMPUTED_VALUE"""),FALSE)</f>
        <v>0</v>
      </c>
      <c r="I23" s="257"/>
      <c r="J23" s="29"/>
      <c r="K23" s="32">
        <f>IFERROR(__xludf.DUMMYFUNCTION("""COMPUTED_VALUE"""),45747.0)</f>
        <v>45747</v>
      </c>
      <c r="L23" s="29"/>
      <c r="M23" s="29"/>
      <c r="N23" s="29"/>
    </row>
    <row r="24">
      <c r="A24" s="32">
        <f>IFERROR(__xludf.DUMMYFUNCTION("""COMPUTED_VALUE"""),45710.0)</f>
        <v>45710</v>
      </c>
      <c r="B24" s="29" t="str">
        <f>IFERROR(__xludf.DUMMYFUNCTION("""COMPUTED_VALUE"""),"Amani + Hidaya")</f>
        <v>Amani + Hidaya</v>
      </c>
      <c r="C24" s="29" t="str">
        <f>IFERROR(__xludf.DUMMYFUNCTION("""COMPUTED_VALUE"""),"Myriam K")</f>
        <v>Myriam K</v>
      </c>
      <c r="D24" s="29" t="str">
        <f>IFERROR(__xludf.DUMMYFUNCTION("""COMPUTED_VALUE"""),"F250022")</f>
        <v>F250022</v>
      </c>
      <c r="E24" s="241">
        <f>IFERROR(__xludf.DUMMYFUNCTION("""COMPUTED_VALUE"""),850.0)</f>
        <v>850</v>
      </c>
      <c r="F24" s="241">
        <f>IFERROR(__xludf.DUMMYFUNCTION("""COMPUTED_VALUE"""),255.0)</f>
        <v>255</v>
      </c>
      <c r="G24" s="241">
        <f>IFERROR(__xludf.DUMMYFUNCTION("""COMPUTED_VALUE"""),595.0)</f>
        <v>595</v>
      </c>
      <c r="H24" s="29" t="b">
        <f>IFERROR(__xludf.DUMMYFUNCTION("""COMPUTED_VALUE"""),TRUE)</f>
        <v>1</v>
      </c>
      <c r="I24" s="257"/>
      <c r="J24" s="29"/>
      <c r="K24" s="32">
        <f>IFERROR(__xludf.DUMMYFUNCTION("""COMPUTED_VALUE"""),45740.0)</f>
        <v>45740</v>
      </c>
      <c r="L24" s="29"/>
      <c r="M24" s="29"/>
      <c r="N24" s="29"/>
    </row>
    <row r="25">
      <c r="A25" s="32">
        <f>IFERROR(__xludf.DUMMYFUNCTION("""COMPUTED_VALUE"""),45726.0)</f>
        <v>45726</v>
      </c>
      <c r="B25" s="29" t="str">
        <f>IFERROR(__xludf.DUMMYFUNCTION("""COMPUTED_VALUE"""),"Hidaya")</f>
        <v>Hidaya</v>
      </c>
      <c r="C25" s="29" t="str">
        <f>IFERROR(__xludf.DUMMYFUNCTION("""COMPUTED_VALUE"""),"Capcut Byte Dance")</f>
        <v>Capcut Byte Dance</v>
      </c>
      <c r="D25" s="29" t="str">
        <f>IFERROR(__xludf.DUMMYFUNCTION("""COMPUTED_VALUE"""),"F250041")</f>
        <v>F250041</v>
      </c>
      <c r="E25" s="241">
        <f>IFERROR(__xludf.DUMMYFUNCTION("""COMPUTED_VALUE"""),1300.0)</f>
        <v>1300</v>
      </c>
      <c r="F25" s="241">
        <f>IFERROR(__xludf.DUMMYFUNCTION("""COMPUTED_VALUE"""),390.0)</f>
        <v>390</v>
      </c>
      <c r="G25" s="241">
        <f>IFERROR(__xludf.DUMMYFUNCTION("""COMPUTED_VALUE"""),910.0)</f>
        <v>910</v>
      </c>
      <c r="H25" s="29" t="b">
        <f>IFERROR(__xludf.DUMMYFUNCTION("""COMPUTED_VALUE"""),TRUE)</f>
        <v>1</v>
      </c>
      <c r="I25" s="257"/>
      <c r="J25" s="29"/>
      <c r="K25" s="32">
        <f>IFERROR(__xludf.DUMMYFUNCTION("""COMPUTED_VALUE"""),45756.0)</f>
        <v>45756</v>
      </c>
      <c r="L25" s="29"/>
      <c r="M25" s="29"/>
      <c r="N25" s="29"/>
    </row>
    <row r="26">
      <c r="A26" s="32">
        <f>IFERROR(__xludf.DUMMYFUNCTION("""COMPUTED_VALUE"""),45714.0)</f>
        <v>45714</v>
      </c>
      <c r="B26" s="29" t="str">
        <f>IFERROR(__xludf.DUMMYFUNCTION("""COMPUTED_VALUE"""),"Lily Noël")</f>
        <v>Lily Noël</v>
      </c>
      <c r="C26" s="29" t="str">
        <f>IFERROR(__xludf.DUMMYFUNCTION("""COMPUTED_VALUE"""),"WOO NYX")</f>
        <v>WOO NYX</v>
      </c>
      <c r="D26" s="29" t="str">
        <f>IFERROR(__xludf.DUMMYFUNCTION("""COMPUTED_VALUE"""),"F250024")</f>
        <v>F250024</v>
      </c>
      <c r="E26" s="241">
        <f>IFERROR(__xludf.DUMMYFUNCTION("""COMPUTED_VALUE"""),202.5)</f>
        <v>202.5</v>
      </c>
      <c r="F26" s="241">
        <f>IFERROR(__xludf.DUMMYFUNCTION("""COMPUTED_VALUE"""),50.625)</f>
        <v>50.625</v>
      </c>
      <c r="G26" s="241">
        <f>IFERROR(__xludf.DUMMYFUNCTION("""COMPUTED_VALUE"""),151.875)</f>
        <v>151.875</v>
      </c>
      <c r="H26" s="29" t="b">
        <f>IFERROR(__xludf.DUMMYFUNCTION("""COMPUTED_VALUE"""),TRUE)</f>
        <v>1</v>
      </c>
      <c r="I26" s="257"/>
      <c r="J26" s="29"/>
      <c r="K26" s="32">
        <f>IFERROR(__xludf.DUMMYFUNCTION("""COMPUTED_VALUE"""),45747.0)</f>
        <v>45747</v>
      </c>
      <c r="L26" s="29"/>
      <c r="M26" s="29"/>
      <c r="N26" s="29"/>
    </row>
    <row r="27">
      <c r="A27" s="32">
        <f>IFERROR(__xludf.DUMMYFUNCTION("""COMPUTED_VALUE"""),45714.0)</f>
        <v>45714</v>
      </c>
      <c r="B27" s="29" t="str">
        <f>IFERROR(__xludf.DUMMYFUNCTION("""COMPUTED_VALUE"""),"Salma")</f>
        <v>Salma</v>
      </c>
      <c r="C27" s="29" t="str">
        <f>IFERROR(__xludf.DUMMYFUNCTION("""COMPUTED_VALUE"""),"DR Group Darry Ring")</f>
        <v>DR Group Darry Ring</v>
      </c>
      <c r="D27" s="29" t="str">
        <f>IFERROR(__xludf.DUMMYFUNCTION("""COMPUTED_VALUE"""),"F250025")</f>
        <v>F250025</v>
      </c>
      <c r="E27" s="241">
        <f>IFERROR(__xludf.DUMMYFUNCTION("""COMPUTED_VALUE"""),800.0)</f>
        <v>800</v>
      </c>
      <c r="F27" s="241">
        <f>IFERROR(__xludf.DUMMYFUNCTION("""COMPUTED_VALUE"""),240.0)</f>
        <v>240</v>
      </c>
      <c r="G27" s="241">
        <f>IFERROR(__xludf.DUMMYFUNCTION("""COMPUTED_VALUE"""),560.0)</f>
        <v>560</v>
      </c>
      <c r="H27" s="29" t="b">
        <f>IFERROR(__xludf.DUMMYFUNCTION("""COMPUTED_VALUE"""),TRUE)</f>
        <v>1</v>
      </c>
      <c r="I27" s="257"/>
      <c r="J27" s="29"/>
      <c r="K27" s="32">
        <f>IFERROR(__xludf.DUMMYFUNCTION("""COMPUTED_VALUE"""),45744.0)</f>
        <v>45744</v>
      </c>
      <c r="L27" s="29"/>
      <c r="M27" s="29"/>
      <c r="N27" s="29"/>
    </row>
    <row r="28">
      <c r="A28" s="32">
        <f>IFERROR(__xludf.DUMMYFUNCTION("""COMPUTED_VALUE"""),45726.0)</f>
        <v>45726</v>
      </c>
      <c r="B28" s="29" t="str">
        <f>IFERROR(__xludf.DUMMYFUNCTION("""COMPUTED_VALUE"""),"Melissa  ")</f>
        <v>Melissa  </v>
      </c>
      <c r="C28" s="29" t="str">
        <f>IFERROR(__xludf.DUMMYFUNCTION("""COMPUTED_VALUE"""),"Iherb OKEV")</f>
        <v>Iherb OKEV</v>
      </c>
      <c r="D28" s="29" t="str">
        <f>IFERROR(__xludf.DUMMYFUNCTION("""COMPUTED_VALUE"""),"F250042")</f>
        <v>F250042</v>
      </c>
      <c r="E28" s="241">
        <f>IFERROR(__xludf.DUMMYFUNCTION("""COMPUTED_VALUE"""),1000.0)</f>
        <v>1000</v>
      </c>
      <c r="F28" s="241">
        <f>IFERROR(__xludf.DUMMYFUNCTION("""COMPUTED_VALUE"""),835.0)</f>
        <v>835</v>
      </c>
      <c r="G28" s="241"/>
      <c r="H28" s="29" t="b">
        <f>IFERROR(__xludf.DUMMYFUNCTION("""COMPUTED_VALUE"""),TRUE)</f>
        <v>1</v>
      </c>
      <c r="I28" s="257"/>
      <c r="J28" s="29"/>
      <c r="K28" s="32">
        <f>IFERROR(__xludf.DUMMYFUNCTION("""COMPUTED_VALUE"""),45786.0)</f>
        <v>45786</v>
      </c>
      <c r="L28" s="29"/>
      <c r="M28" s="29" t="str">
        <f>IFERROR(__xludf.DUMMYFUNCTION("""COMPUTED_VALUE"""),"relance le 14/05")</f>
        <v>relance le 14/05</v>
      </c>
      <c r="N28" s="29"/>
    </row>
    <row r="29">
      <c r="A29" s="32">
        <f>IFERROR(__xludf.DUMMYFUNCTION("""COMPUTED_VALUE"""),45714.0)</f>
        <v>45714</v>
      </c>
      <c r="B29" s="29" t="str">
        <f>IFERROR(__xludf.DUMMYFUNCTION("""COMPUTED_VALUE"""),"Pauline/Gurbet")</f>
        <v>Pauline/Gurbet</v>
      </c>
      <c r="C29" s="29" t="str">
        <f>IFERROR(__xludf.DUMMYFUNCTION("""COMPUTED_VALUE"""),"Laboratoires Vitarmonyl Vitavea")</f>
        <v>Laboratoires Vitarmonyl Vitavea</v>
      </c>
      <c r="D29" s="29" t="str">
        <f>IFERROR(__xludf.DUMMYFUNCTION("""COMPUTED_VALUE"""),"F250027")</f>
        <v>F250027</v>
      </c>
      <c r="E29" s="241">
        <f>IFERROR(__xludf.DUMMYFUNCTION("""COMPUTED_VALUE"""),900.0)</f>
        <v>900</v>
      </c>
      <c r="F29" s="241">
        <f>IFERROR(__xludf.DUMMYFUNCTION("""COMPUTED_VALUE"""),250.0)</f>
        <v>250</v>
      </c>
      <c r="G29" s="241">
        <f>IFERROR(__xludf.DUMMYFUNCTION("""COMPUTED_VALUE"""),650.0)</f>
        <v>650</v>
      </c>
      <c r="H29" s="29" t="b">
        <f>IFERROR(__xludf.DUMMYFUNCTION("""COMPUTED_VALUE"""),TRUE)</f>
        <v>1</v>
      </c>
      <c r="I29" s="257"/>
      <c r="J29" s="29"/>
      <c r="K29" s="32">
        <f>IFERROR(__xludf.DUMMYFUNCTION("""COMPUTED_VALUE"""),45774.0)</f>
        <v>45774</v>
      </c>
      <c r="L29" s="29"/>
      <c r="M29" s="29" t="str">
        <f>IFERROR(__xludf.DUMMYFUNCTION("""COMPUTED_VALUE"""),"160")</f>
        <v>160</v>
      </c>
      <c r="N29" s="29"/>
    </row>
    <row r="30">
      <c r="A30" s="32">
        <f>IFERROR(__xludf.DUMMYFUNCTION("""COMPUTED_VALUE"""),45714.0)</f>
        <v>45714</v>
      </c>
      <c r="B30" s="29" t="str">
        <f>IFERROR(__xludf.DUMMYFUNCTION("""COMPUTED_VALUE"""),"Gurbet")</f>
        <v>Gurbet</v>
      </c>
      <c r="C30" s="29" t="str">
        <f>IFERROR(__xludf.DUMMYFUNCTION("""COMPUTED_VALUE"""),"BEYOND Luxéol")</f>
        <v>BEYOND Luxéol</v>
      </c>
      <c r="D30" s="29" t="str">
        <f>IFERROR(__xludf.DUMMYFUNCTION("""COMPUTED_VALUE"""),"F250028")</f>
        <v>F250028</v>
      </c>
      <c r="E30" s="241">
        <f>IFERROR(__xludf.DUMMYFUNCTION("""COMPUTED_VALUE"""),700.0)</f>
        <v>700</v>
      </c>
      <c r="F30" s="241">
        <f>IFERROR(__xludf.DUMMYFUNCTION("""COMPUTED_VALUE"""),210.0)</f>
        <v>210</v>
      </c>
      <c r="G30" s="241">
        <f>IFERROR(__xludf.DUMMYFUNCTION("""COMPUTED_VALUE"""),490.0)</f>
        <v>490</v>
      </c>
      <c r="H30" s="29" t="b">
        <f>IFERROR(__xludf.DUMMYFUNCTION("""COMPUTED_VALUE"""),TRUE)</f>
        <v>1</v>
      </c>
      <c r="I30" s="257"/>
      <c r="J30" s="29"/>
      <c r="K30" s="32">
        <f>IFERROR(__xludf.DUMMYFUNCTION("""COMPUTED_VALUE"""),45744.0)</f>
        <v>45744</v>
      </c>
      <c r="L30" s="29"/>
      <c r="M30" s="29"/>
      <c r="N30" s="29"/>
    </row>
    <row r="31">
      <c r="A31" s="32">
        <f>IFERROR(__xludf.DUMMYFUNCTION("""COMPUTED_VALUE"""),45733.0)</f>
        <v>45733</v>
      </c>
      <c r="B31" s="29" t="str">
        <f>IFERROR(__xludf.DUMMYFUNCTION("""COMPUTED_VALUE"""),"Jeanne")</f>
        <v>Jeanne</v>
      </c>
      <c r="C31" s="29" t="str">
        <f>IFERROR(__xludf.DUMMYFUNCTION("""COMPUTED_VALUE"""),"WOO LRP")</f>
        <v>WOO LRP</v>
      </c>
      <c r="D31" s="29" t="str">
        <f>IFERROR(__xludf.DUMMYFUNCTION("""COMPUTED_VALUE"""),"F250044")</f>
        <v>F250044</v>
      </c>
      <c r="E31" s="241">
        <f>IFERROR(__xludf.DUMMYFUNCTION("""COMPUTED_VALUE"""),650.0)</f>
        <v>650</v>
      </c>
      <c r="F31" s="241">
        <f>IFERROR(__xludf.DUMMYFUNCTION("""COMPUTED_VALUE"""),195.0)</f>
        <v>195</v>
      </c>
      <c r="G31" s="241">
        <f>IFERROR(__xludf.DUMMYFUNCTION("""COMPUTED_VALUE"""),455.0)</f>
        <v>455</v>
      </c>
      <c r="H31" s="29" t="b">
        <f>IFERROR(__xludf.DUMMYFUNCTION("""COMPUTED_VALUE"""),TRUE)</f>
        <v>1</v>
      </c>
      <c r="I31" s="257"/>
      <c r="J31" s="29"/>
      <c r="K31" s="32">
        <f>IFERROR(__xludf.DUMMYFUNCTION("""COMPUTED_VALUE"""),45777.0)</f>
        <v>45777</v>
      </c>
      <c r="L31" s="29"/>
      <c r="M31" s="29"/>
      <c r="N31" s="29"/>
    </row>
    <row r="32">
      <c r="A32" s="32">
        <f>IFERROR(__xludf.DUMMYFUNCTION("""COMPUTED_VALUE"""),45715.0)</f>
        <v>45715</v>
      </c>
      <c r="B32" s="29" t="str">
        <f>IFERROR(__xludf.DUMMYFUNCTION("""COMPUTED_VALUE"""),"Dounia")</f>
        <v>Dounia</v>
      </c>
      <c r="C32" s="29" t="str">
        <f>IFERROR(__xludf.DUMMYFUNCTION("""COMPUTED_VALUE"""),"EMF Musc Intime")</f>
        <v>EMF Musc Intime</v>
      </c>
      <c r="D32" s="29" t="str">
        <f>IFERROR(__xludf.DUMMYFUNCTION("""COMPUTED_VALUE"""),"F250030")</f>
        <v>F250030</v>
      </c>
      <c r="E32" s="241">
        <f>IFERROR(__xludf.DUMMYFUNCTION("""COMPUTED_VALUE"""),300.0)</f>
        <v>300</v>
      </c>
      <c r="F32" s="241">
        <f>IFERROR(__xludf.DUMMYFUNCTION("""COMPUTED_VALUE"""),90.0)</f>
        <v>90</v>
      </c>
      <c r="G32" s="241">
        <f>IFERROR(__xludf.DUMMYFUNCTION("""COMPUTED_VALUE"""),210.0)</f>
        <v>210</v>
      </c>
      <c r="H32" s="29" t="b">
        <f>IFERROR(__xludf.DUMMYFUNCTION("""COMPUTED_VALUE"""),TRUE)</f>
        <v>1</v>
      </c>
      <c r="I32" s="257"/>
      <c r="J32" s="29" t="str">
        <f>IFERROR(__xludf.DUMMYFUNCTION("""COMPUTED_VALUE"""),"faire facture")</f>
        <v>faire facture</v>
      </c>
      <c r="K32" s="32">
        <f>IFERROR(__xludf.DUMMYFUNCTION("""COMPUTED_VALUE"""),45745.0)</f>
        <v>45745</v>
      </c>
      <c r="L32" s="29"/>
      <c r="M32" s="29"/>
      <c r="N32" s="29"/>
    </row>
    <row r="33">
      <c r="A33" s="32">
        <f>IFERROR(__xludf.DUMMYFUNCTION("""COMPUTED_VALUE"""),45716.0)</f>
        <v>45716</v>
      </c>
      <c r="B33" s="29" t="str">
        <f>IFERROR(__xludf.DUMMYFUNCTION("""COMPUTED_VALUE"""),"4 T")</f>
        <v>4 T</v>
      </c>
      <c r="C33" s="29" t="str">
        <f>IFERROR(__xludf.DUMMYFUNCTION("""COMPUTED_VALUE"""),"DFS Co., Ltd. Haru Haru")</f>
        <v>DFS Co., Ltd. Haru Haru</v>
      </c>
      <c r="D33" s="29" t="str">
        <f>IFERROR(__xludf.DUMMYFUNCTION("""COMPUTED_VALUE"""),"F250031")</f>
        <v>F250031</v>
      </c>
      <c r="E33" s="241">
        <f>IFERROR(__xludf.DUMMYFUNCTION("""COMPUTED_VALUE"""),2500.0)</f>
        <v>2500</v>
      </c>
      <c r="F33" s="241">
        <f>IFERROR(__xludf.DUMMYFUNCTION("""COMPUTED_VALUE"""),750.0)</f>
        <v>750</v>
      </c>
      <c r="G33" s="241">
        <f>IFERROR(__xludf.DUMMYFUNCTION("""COMPUTED_VALUE"""),1750.0)</f>
        <v>1750</v>
      </c>
      <c r="H33" s="29" t="b">
        <f>IFERROR(__xludf.DUMMYFUNCTION("""COMPUTED_VALUE"""),TRUE)</f>
        <v>1</v>
      </c>
      <c r="I33" s="257"/>
      <c r="J33" s="29" t="str">
        <f>IFERROR(__xludf.DUMMYFUNCTION("""COMPUTED_VALUE"""),"-21€ frais $")</f>
        <v>-21€ frais $</v>
      </c>
      <c r="K33" s="32">
        <f>IFERROR(__xludf.DUMMYFUNCTION("""COMPUTED_VALUE"""),45746.0)</f>
        <v>45746</v>
      </c>
      <c r="L33" s="29"/>
      <c r="M33" s="29"/>
      <c r="N33" s="29"/>
    </row>
    <row r="34">
      <c r="A34" s="32">
        <f>IFERROR(__xludf.DUMMYFUNCTION("""COMPUTED_VALUE"""),45716.0)</f>
        <v>45716</v>
      </c>
      <c r="B34" s="29" t="str">
        <f>IFERROR(__xludf.DUMMYFUNCTION("""COMPUTED_VALUE"""),"Lily Noël")</f>
        <v>Lily Noël</v>
      </c>
      <c r="C34" s="29" t="str">
        <f>IFERROR(__xludf.DUMMYFUNCTION("""COMPUTED_VALUE"""),"Sheglam Roadget Lily")</f>
        <v>Sheglam Roadget Lily</v>
      </c>
      <c r="D34" s="29" t="str">
        <f>IFERROR(__xludf.DUMMYFUNCTION("""COMPUTED_VALUE"""),"F250032")</f>
        <v>F250032</v>
      </c>
      <c r="E34" s="241">
        <f>IFERROR(__xludf.DUMMYFUNCTION("""COMPUTED_VALUE"""),450.0)</f>
        <v>450</v>
      </c>
      <c r="F34" s="241">
        <f>IFERROR(__xludf.DUMMYFUNCTION("""COMPUTED_VALUE"""),112.5)</f>
        <v>112.5</v>
      </c>
      <c r="G34" s="241">
        <f>IFERROR(__xludf.DUMMYFUNCTION("""COMPUTED_VALUE"""),337.5)</f>
        <v>337.5</v>
      </c>
      <c r="H34" s="29" t="b">
        <f>IFERROR(__xludf.DUMMYFUNCTION("""COMPUTED_VALUE"""),TRUE)</f>
        <v>1</v>
      </c>
      <c r="I34" s="257"/>
      <c r="J34" s="29" t="str">
        <f>IFERROR(__xludf.DUMMYFUNCTION("""COMPUTED_VALUE"""),"Lip Combo")</f>
        <v>Lip Combo</v>
      </c>
      <c r="K34" s="32">
        <f>IFERROR(__xludf.DUMMYFUNCTION("""COMPUTED_VALUE"""),45746.0)</f>
        <v>45746</v>
      </c>
      <c r="L34" s="29"/>
      <c r="M34" s="29"/>
      <c r="N34" s="29"/>
    </row>
    <row r="35">
      <c r="A35" s="32">
        <f>IFERROR(__xludf.DUMMYFUNCTION("""COMPUTED_VALUE"""),45716.0)</f>
        <v>45716</v>
      </c>
      <c r="B35" s="29" t="str">
        <f>IFERROR(__xludf.DUMMYFUNCTION("""COMPUTED_VALUE"""),"Gurbet")</f>
        <v>Gurbet</v>
      </c>
      <c r="C35" s="29" t="str">
        <f>IFERROR(__xludf.DUMMYFUNCTION("""COMPUTED_VALUE"""),"Yepoda")</f>
        <v>Yepoda</v>
      </c>
      <c r="D35" s="29" t="str">
        <f>IFERROR(__xludf.DUMMYFUNCTION("""COMPUTED_VALUE"""),"F250033")</f>
        <v>F250033</v>
      </c>
      <c r="E35" s="241">
        <f>IFERROR(__xludf.DUMMYFUNCTION("""COMPUTED_VALUE"""),400.0)</f>
        <v>400</v>
      </c>
      <c r="F35" s="241">
        <f>IFERROR(__xludf.DUMMYFUNCTION("""COMPUTED_VALUE"""),120.0)</f>
        <v>120</v>
      </c>
      <c r="G35" s="241">
        <f>IFERROR(__xludf.DUMMYFUNCTION("""COMPUTED_VALUE"""),280.0)</f>
        <v>280</v>
      </c>
      <c r="H35" s="29" t="b">
        <f>IFERROR(__xludf.DUMMYFUNCTION("""COMPUTED_VALUE"""),TRUE)</f>
        <v>1</v>
      </c>
      <c r="I35" s="257"/>
      <c r="J35" s="29" t="str">
        <f>IFERROR(__xludf.DUMMYFUNCTION("""COMPUTED_VALUE"""),"reçu à faire attendre SASU")</f>
        <v>reçu à faire attendre SASU</v>
      </c>
      <c r="K35" s="32">
        <f>IFERROR(__xludf.DUMMYFUNCTION("""COMPUTED_VALUE"""),45746.0)</f>
        <v>45746</v>
      </c>
      <c r="L35" s="29"/>
      <c r="M35" s="29"/>
      <c r="N35" s="29"/>
    </row>
    <row r="36">
      <c r="A36" s="32">
        <f>IFERROR(__xludf.DUMMYFUNCTION("""COMPUTED_VALUE"""),45720.0)</f>
        <v>45720</v>
      </c>
      <c r="B36" s="29" t="str">
        <f>IFERROR(__xludf.DUMMYFUNCTION("""COMPUTED_VALUE"""),"Nidal")</f>
        <v>Nidal</v>
      </c>
      <c r="C36" s="29" t="str">
        <f>IFERROR(__xludf.DUMMYFUNCTION("""COMPUTED_VALUE"""),"18h08 - SAS Dropery BYD")</f>
        <v>18h08 - SAS Dropery BYD</v>
      </c>
      <c r="D36" s="29" t="str">
        <f>IFERROR(__xludf.DUMMYFUNCTION("""COMPUTED_VALUE"""),"F250034")</f>
        <v>F250034</v>
      </c>
      <c r="E36" s="241">
        <f>IFERROR(__xludf.DUMMYFUNCTION("""COMPUTED_VALUE"""),150.0)</f>
        <v>150</v>
      </c>
      <c r="F36" s="241">
        <f>IFERROR(__xludf.DUMMYFUNCTION("""COMPUTED_VALUE"""),45.0)</f>
        <v>45</v>
      </c>
      <c r="G36" s="241">
        <f>IFERROR(__xludf.DUMMYFUNCTION("""COMPUTED_VALUE"""),105.0)</f>
        <v>105</v>
      </c>
      <c r="H36" s="29" t="b">
        <f>IFERROR(__xludf.DUMMYFUNCTION("""COMPUTED_VALUE"""),TRUE)</f>
        <v>1</v>
      </c>
      <c r="I36" s="257"/>
      <c r="J36" s="29"/>
      <c r="K36" s="32">
        <f>IFERROR(__xludf.DUMMYFUNCTION("""COMPUTED_VALUE"""),45750.0)</f>
        <v>45750</v>
      </c>
      <c r="L36" s="29"/>
      <c r="M36" s="29"/>
      <c r="N36" s="29"/>
    </row>
    <row r="37">
      <c r="A37" s="32">
        <f>IFERROR(__xludf.DUMMYFUNCTION("""COMPUTED_VALUE"""),45720.0)</f>
        <v>45720</v>
      </c>
      <c r="B37" s="29" t="str">
        <f>IFERROR(__xludf.DUMMYFUNCTION("""COMPUTED_VALUE"""),"Hidaya")</f>
        <v>Hidaya</v>
      </c>
      <c r="C37" s="29" t="str">
        <f>IFERROR(__xludf.DUMMYFUNCTION("""COMPUTED_VALUE"""),"GOODBLIN LIMITED haCOO")</f>
        <v>GOODBLIN LIMITED haCOO</v>
      </c>
      <c r="D37" s="29" t="str">
        <f>IFERROR(__xludf.DUMMYFUNCTION("""COMPUTED_VALUE"""),"F250035")</f>
        <v>F250035</v>
      </c>
      <c r="E37" s="241">
        <f>IFERROR(__xludf.DUMMYFUNCTION("""COMPUTED_VALUE"""),1200.0)</f>
        <v>1200</v>
      </c>
      <c r="F37" s="241">
        <f>IFERROR(__xludf.DUMMYFUNCTION("""COMPUTED_VALUE"""),360.0)</f>
        <v>360</v>
      </c>
      <c r="G37" s="241">
        <f>IFERROR(__xludf.DUMMYFUNCTION("""COMPUTED_VALUE"""),840.0)</f>
        <v>840</v>
      </c>
      <c r="H37" s="29" t="b">
        <f>IFERROR(__xludf.DUMMYFUNCTION("""COMPUTED_VALUE"""),TRUE)</f>
        <v>1</v>
      </c>
      <c r="I37" s="257"/>
      <c r="J37" s="29"/>
      <c r="K37" s="32">
        <f>IFERROR(__xludf.DUMMYFUNCTION("""COMPUTED_VALUE"""),45750.0)</f>
        <v>45750</v>
      </c>
      <c r="L37" s="29"/>
      <c r="M37" s="29"/>
      <c r="N37" s="29"/>
    </row>
    <row r="38">
      <c r="A38" s="32">
        <f>IFERROR(__xludf.DUMMYFUNCTION("""COMPUTED_VALUE"""),45720.0)</f>
        <v>45720</v>
      </c>
      <c r="B38" s="29" t="str">
        <f>IFERROR(__xludf.DUMMYFUNCTION("""COMPUTED_VALUE"""),"Melissa/Dounia")</f>
        <v>Melissa/Dounia</v>
      </c>
      <c r="C38" s="29" t="str">
        <f>IFERROR(__xludf.DUMMYFUNCTION("""COMPUTED_VALUE"""),"Craver SKIN1004")</f>
        <v>Craver SKIN1004</v>
      </c>
      <c r="D38" s="29" t="str">
        <f>IFERROR(__xludf.DUMMYFUNCTION("""COMPUTED_VALUE"""),"F250036")</f>
        <v>F250036</v>
      </c>
      <c r="E38" s="241">
        <f>IFERROR(__xludf.DUMMYFUNCTION("""COMPUTED_VALUE"""),1500.0)</f>
        <v>1500</v>
      </c>
      <c r="F38" s="241">
        <f>IFERROR(__xludf.DUMMYFUNCTION("""COMPUTED_VALUE"""),450.0)</f>
        <v>450</v>
      </c>
      <c r="G38" s="241">
        <f>IFERROR(__xludf.DUMMYFUNCTION("""COMPUTED_VALUE"""),1050.0)</f>
        <v>1050</v>
      </c>
      <c r="H38" s="29" t="b">
        <f>IFERROR(__xludf.DUMMYFUNCTION("""COMPUTED_VALUE"""),TRUE)</f>
        <v>1</v>
      </c>
      <c r="I38" s="257"/>
      <c r="J38" s="29"/>
      <c r="K38" s="32">
        <f>IFERROR(__xludf.DUMMYFUNCTION("""COMPUTED_VALUE"""),45750.0)</f>
        <v>45750</v>
      </c>
      <c r="L38" s="29"/>
      <c r="M38" s="29"/>
      <c r="N38" s="29"/>
    </row>
    <row r="39">
      <c r="A39" s="32">
        <f>IFERROR(__xludf.DUMMYFUNCTION("""COMPUTED_VALUE"""),45686.0)</f>
        <v>45686</v>
      </c>
      <c r="B39" s="29" t="str">
        <f>IFERROR(__xludf.DUMMYFUNCTION("""COMPUTED_VALUE"""),"Pauline")</f>
        <v>Pauline</v>
      </c>
      <c r="C39" s="29" t="str">
        <f>IFERROR(__xludf.DUMMYFUNCTION("""COMPUTED_VALUE"""),"Woo LRP")</f>
        <v>Woo LRP</v>
      </c>
      <c r="D39" s="29" t="str">
        <f>IFERROR(__xludf.DUMMYFUNCTION("""COMPUTED_VALUE"""),"F250006")</f>
        <v>F250006</v>
      </c>
      <c r="E39" s="241">
        <f>IFERROR(__xludf.DUMMYFUNCTION("""COMPUTED_VALUE"""),300.0)</f>
        <v>300</v>
      </c>
      <c r="F39" s="241">
        <f>IFERROR(__xludf.DUMMYFUNCTION("""COMPUTED_VALUE"""),60.0)</f>
        <v>60</v>
      </c>
      <c r="G39" s="241">
        <f>IFERROR(__xludf.DUMMYFUNCTION("""COMPUTED_VALUE"""),240.0)</f>
        <v>240</v>
      </c>
      <c r="H39" s="29" t="b">
        <f>IFERROR(__xludf.DUMMYFUNCTION("""COMPUTED_VALUE"""),TRUE)</f>
        <v>1</v>
      </c>
      <c r="I39" s="257"/>
      <c r="J39" s="29"/>
      <c r="K39" s="32">
        <f>IFERROR(__xludf.DUMMYFUNCTION("""COMPUTED_VALUE"""),45716.0)</f>
        <v>45716</v>
      </c>
      <c r="L39" s="29"/>
      <c r="M39" s="29"/>
      <c r="N39" s="29"/>
    </row>
    <row r="40">
      <c r="A40" s="32">
        <f>IFERROR(__xludf.DUMMYFUNCTION("""COMPUTED_VALUE"""),45722.0)</f>
        <v>45722</v>
      </c>
      <c r="B40" s="29" t="str">
        <f>IFERROR(__xludf.DUMMYFUNCTION("""COMPUTED_VALUE"""),"Anaïs")</f>
        <v>Anaïs</v>
      </c>
      <c r="C40" s="29" t="str">
        <f>IFERROR(__xludf.DUMMYFUNCTION("""COMPUTED_VALUE"""),"Biocyte")</f>
        <v>Biocyte</v>
      </c>
      <c r="D40" s="29" t="str">
        <f>IFERROR(__xludf.DUMMYFUNCTION("""COMPUTED_VALUE"""),"F250038")</f>
        <v>F250038</v>
      </c>
      <c r="E40" s="241"/>
      <c r="F40" s="241"/>
      <c r="G40" s="241"/>
      <c r="H40" s="29" t="b">
        <f>IFERROR(__xludf.DUMMYFUNCTION("""COMPUTED_VALUE"""),TRUE)</f>
        <v>1</v>
      </c>
      <c r="I40" s="257"/>
      <c r="J40" s="29"/>
      <c r="K40" s="32">
        <f>IFERROR(__xludf.DUMMYFUNCTION("""COMPUTED_VALUE"""),45752.0)</f>
        <v>45752</v>
      </c>
      <c r="L40" s="29"/>
      <c r="M40" s="29"/>
      <c r="N40" s="29"/>
    </row>
    <row r="41">
      <c r="A41" s="32">
        <f>IFERROR(__xludf.DUMMYFUNCTION("""COMPUTED_VALUE"""),45736.0)</f>
        <v>45736</v>
      </c>
      <c r="B41" s="29" t="str">
        <f>IFERROR(__xludf.DUMMYFUNCTION("""COMPUTED_VALUE"""),"Gurbet")</f>
        <v>Gurbet</v>
      </c>
      <c r="C41" s="29" t="str">
        <f>IFERROR(__xludf.DUMMYFUNCTION("""COMPUTED_VALUE"""),"WOO Redken")</f>
        <v>WOO Redken</v>
      </c>
      <c r="D41" s="29" t="str">
        <f>IFERROR(__xludf.DUMMYFUNCTION("""COMPUTED_VALUE"""),"F250050")</f>
        <v>F250050</v>
      </c>
      <c r="E41" s="241">
        <f>IFERROR(__xludf.DUMMYFUNCTION("""COMPUTED_VALUE"""),2000.0)</f>
        <v>2000</v>
      </c>
      <c r="F41" s="241">
        <f>IFERROR(__xludf.DUMMYFUNCTION("""COMPUTED_VALUE"""),600.0)</f>
        <v>600</v>
      </c>
      <c r="G41" s="241">
        <f>IFERROR(__xludf.DUMMYFUNCTION("""COMPUTED_VALUE"""),1400.0)</f>
        <v>1400</v>
      </c>
      <c r="H41" s="29" t="b">
        <f>IFERROR(__xludf.DUMMYFUNCTION("""COMPUTED_VALUE"""),TRUE)</f>
        <v>1</v>
      </c>
      <c r="I41" s="257"/>
      <c r="J41" s="29"/>
      <c r="K41" s="32">
        <f>IFERROR(__xludf.DUMMYFUNCTION("""COMPUTED_VALUE"""),45777.0)</f>
        <v>45777</v>
      </c>
      <c r="L41" s="29"/>
      <c r="M41" s="29"/>
      <c r="N41" s="29"/>
    </row>
    <row r="42">
      <c r="A42" s="32">
        <f>IFERROR(__xludf.DUMMYFUNCTION("""COMPUTED_VALUE"""),45726.0)</f>
        <v>45726</v>
      </c>
      <c r="B42" s="29" t="str">
        <f>IFERROR(__xludf.DUMMYFUNCTION("""COMPUTED_VALUE"""),"Juliane, Pauline, Aïcha")</f>
        <v>Juliane, Pauline, Aïcha</v>
      </c>
      <c r="C42" s="29" t="str">
        <f>IFERROR(__xludf.DUMMYFUNCTION("""COMPUTED_VALUE"""),"Myriam K")</f>
        <v>Myriam K</v>
      </c>
      <c r="D42" s="29" t="str">
        <f>IFERROR(__xludf.DUMMYFUNCTION("""COMPUTED_VALUE"""),"F250040")</f>
        <v>F250040</v>
      </c>
      <c r="E42" s="241">
        <f>IFERROR(__xludf.DUMMYFUNCTION("""COMPUTED_VALUE"""),950.0)</f>
        <v>950</v>
      </c>
      <c r="F42" s="241">
        <f>IFERROR(__xludf.DUMMYFUNCTION("""COMPUTED_VALUE"""),335.0)</f>
        <v>335</v>
      </c>
      <c r="G42" s="241">
        <f>IFERROR(__xludf.DUMMYFUNCTION("""COMPUTED_VALUE"""),615.0)</f>
        <v>615</v>
      </c>
      <c r="H42" s="29" t="b">
        <f>IFERROR(__xludf.DUMMYFUNCTION("""COMPUTED_VALUE"""),TRUE)</f>
        <v>1</v>
      </c>
      <c r="I42" s="257"/>
      <c r="J42" s="29"/>
      <c r="K42" s="32">
        <f>IFERROR(__xludf.DUMMYFUNCTION("""COMPUTED_VALUE"""),45756.0)</f>
        <v>45756</v>
      </c>
      <c r="L42" s="29"/>
      <c r="M42" s="29"/>
      <c r="N42" s="29"/>
    </row>
    <row r="43">
      <c r="A43" s="32">
        <f>IFERROR(__xludf.DUMMYFUNCTION("""COMPUTED_VALUE"""),45795.0)</f>
        <v>45795</v>
      </c>
      <c r="B43" s="29" t="str">
        <f>IFERROR(__xludf.DUMMYFUNCTION("""COMPUTED_VALUE"""),"Farah")</f>
        <v>Farah</v>
      </c>
      <c r="C43" s="29" t="str">
        <f>IFERROR(__xludf.DUMMYFUNCTION("""COMPUTED_VALUE"""),"Glamstar / Stylevana")</f>
        <v>Glamstar / Stylevana</v>
      </c>
      <c r="D43" s="29" t="str">
        <f>IFERROR(__xludf.DUMMYFUNCTION("""COMPUTED_VALUE"""),"F250099")</f>
        <v>F250099</v>
      </c>
      <c r="E43" s="241">
        <f>IFERROR(__xludf.DUMMYFUNCTION("""COMPUTED_VALUE"""),300.0)</f>
        <v>300</v>
      </c>
      <c r="F43" s="241">
        <f>IFERROR(__xludf.DUMMYFUNCTION("""COMPUTED_VALUE"""),90.0)</f>
        <v>90</v>
      </c>
      <c r="G43" s="241">
        <f>IFERROR(__xludf.DUMMYFUNCTION("""COMPUTED_VALUE"""),210.0)</f>
        <v>210</v>
      </c>
      <c r="H43" s="29" t="b">
        <f>IFERROR(__xludf.DUMMYFUNCTION("""COMPUTED_VALUE"""),TRUE)</f>
        <v>1</v>
      </c>
      <c r="I43" s="257"/>
      <c r="J43" s="29"/>
      <c r="K43" s="32">
        <f>IFERROR(__xludf.DUMMYFUNCTION("""COMPUTED_VALUE"""),45825.0)</f>
        <v>45825</v>
      </c>
      <c r="L43" s="29"/>
      <c r="M43" s="29"/>
      <c r="N43" s="29"/>
    </row>
    <row r="44">
      <c r="A44" s="32">
        <f>IFERROR(__xludf.DUMMYFUNCTION("""COMPUTED_VALUE"""),45740.0)</f>
        <v>45740</v>
      </c>
      <c r="B44" s="29" t="str">
        <f>IFERROR(__xludf.DUMMYFUNCTION("""COMPUTED_VALUE"""),"Lola")</f>
        <v>Lola</v>
      </c>
      <c r="C44" s="29" t="str">
        <f>IFERROR(__xludf.DUMMYFUNCTION("""COMPUTED_VALUE"""),"WOO Cerave")</f>
        <v>WOO Cerave</v>
      </c>
      <c r="D44" s="29" t="str">
        <f>IFERROR(__xludf.DUMMYFUNCTION("""COMPUTED_VALUE"""),"F250052")</f>
        <v>F250052</v>
      </c>
      <c r="E44" s="241">
        <f>IFERROR(__xludf.DUMMYFUNCTION("""COMPUTED_VALUE"""),750.0)</f>
        <v>750</v>
      </c>
      <c r="F44" s="241">
        <f>IFERROR(__xludf.DUMMYFUNCTION("""COMPUTED_VALUE"""),505.0)</f>
        <v>505</v>
      </c>
      <c r="G44" s="241">
        <f>IFERROR(__xludf.DUMMYFUNCTION("""COMPUTED_VALUE"""),245.0)</f>
        <v>245</v>
      </c>
      <c r="H44" s="29" t="b">
        <f>IFERROR(__xludf.DUMMYFUNCTION("""COMPUTED_VALUE"""),TRUE)</f>
        <v>1</v>
      </c>
      <c r="I44" s="257"/>
      <c r="J44" s="29" t="str">
        <f>IFERROR(__xludf.DUMMYFUNCTION("""COMPUTED_VALUE"""),"-280€")</f>
        <v>-280€</v>
      </c>
      <c r="K44" s="32">
        <f>IFERROR(__xludf.DUMMYFUNCTION("""COMPUTED_VALUE"""),45777.0)</f>
        <v>45777</v>
      </c>
      <c r="L44" s="29"/>
      <c r="M44" s="29"/>
      <c r="N44" s="29"/>
    </row>
    <row r="45">
      <c r="A45" s="32">
        <f>IFERROR(__xludf.DUMMYFUNCTION("""COMPUTED_VALUE"""),45783.0)</f>
        <v>45783</v>
      </c>
      <c r="B45" s="29" t="str">
        <f>IFERROR(__xludf.DUMMYFUNCTION("""COMPUTED_VALUE"""),"Sirine")</f>
        <v>Sirine</v>
      </c>
      <c r="C45" s="29" t="str">
        <f>IFERROR(__xludf.DUMMYFUNCTION("""COMPUTED_VALUE"""),"Aries Network Limited Voghion")</f>
        <v>Aries Network Limited Voghion</v>
      </c>
      <c r="D45" s="29" t="str">
        <f>IFERROR(__xludf.DUMMYFUNCTION("""COMPUTED_VALUE"""),"F250091")</f>
        <v>F250091</v>
      </c>
      <c r="E45" s="241">
        <f>IFERROR(__xludf.DUMMYFUNCTION("""COMPUTED_VALUE"""),300.0)</f>
        <v>300</v>
      </c>
      <c r="F45" s="241">
        <f>IFERROR(__xludf.DUMMYFUNCTION("""COMPUTED_VALUE"""),90.0)</f>
        <v>90</v>
      </c>
      <c r="G45" s="241">
        <f>IFERROR(__xludf.DUMMYFUNCTION("""COMPUTED_VALUE"""),210.0)</f>
        <v>210</v>
      </c>
      <c r="H45" s="29" t="b">
        <f>IFERROR(__xludf.DUMMYFUNCTION("""COMPUTED_VALUE"""),TRUE)</f>
        <v>1</v>
      </c>
      <c r="I45" s="257"/>
      <c r="J45" s="29"/>
      <c r="K45" s="32">
        <f>IFERROR(__xludf.DUMMYFUNCTION("""COMPUTED_VALUE"""),45770.0)</f>
        <v>45770</v>
      </c>
      <c r="L45" s="29"/>
      <c r="M45" s="29"/>
      <c r="N45" s="29"/>
    </row>
    <row r="46">
      <c r="A46" s="32">
        <f>IFERROR(__xludf.DUMMYFUNCTION("""COMPUTED_VALUE"""),45743.0)</f>
        <v>45743</v>
      </c>
      <c r="B46" s="29" t="str">
        <f>IFERROR(__xludf.DUMMYFUNCTION("""COMPUTED_VALUE"""),"Gurbet")</f>
        <v>Gurbet</v>
      </c>
      <c r="C46" s="29" t="str">
        <f>IFERROR(__xludf.DUMMYFUNCTION("""COMPUTED_VALUE"""),"WOO Mediat Redken")</f>
        <v>WOO Mediat Redken</v>
      </c>
      <c r="D46" s="29" t="str">
        <f>IFERROR(__xludf.DUMMYFUNCTION("""COMPUTED_VALUE"""),"F250055")</f>
        <v>F250055</v>
      </c>
      <c r="E46" s="241">
        <f>IFERROR(__xludf.DUMMYFUNCTION("""COMPUTED_VALUE"""),500.0)</f>
        <v>500</v>
      </c>
      <c r="F46" s="241">
        <f>IFERROR(__xludf.DUMMYFUNCTION("""COMPUTED_VALUE"""),150.0)</f>
        <v>150</v>
      </c>
      <c r="G46" s="241">
        <f>IFERROR(__xludf.DUMMYFUNCTION("""COMPUTED_VALUE"""),350.0)</f>
        <v>350</v>
      </c>
      <c r="H46" s="29" t="b">
        <f>IFERROR(__xludf.DUMMYFUNCTION("""COMPUTED_VALUE"""),TRUE)</f>
        <v>1</v>
      </c>
      <c r="I46" s="257"/>
      <c r="J46" s="29"/>
      <c r="K46" s="32">
        <f>IFERROR(__xludf.DUMMYFUNCTION("""COMPUTED_VALUE"""),45777.0)</f>
        <v>45777</v>
      </c>
      <c r="L46" s="29"/>
      <c r="M46" s="29"/>
      <c r="N46" s="29"/>
    </row>
    <row r="47">
      <c r="A47" s="32">
        <f>IFERROR(__xludf.DUMMYFUNCTION("""COMPUTED_VALUE"""),45734.0)</f>
        <v>45734</v>
      </c>
      <c r="B47" s="29" t="str">
        <f>IFERROR(__xludf.DUMMYFUNCTION("""COMPUTED_VALUE"""),"Lily Noël")</f>
        <v>Lily Noël</v>
      </c>
      <c r="C47" s="29" t="str">
        <f>IFERROR(__xludf.DUMMYFUNCTION("""COMPUTED_VALUE"""),"Roadget Sheglam")</f>
        <v>Roadget Sheglam</v>
      </c>
      <c r="D47" s="29" t="str">
        <f>IFERROR(__xludf.DUMMYFUNCTION("""COMPUTED_VALUE"""),"F250045")</f>
        <v>F250045</v>
      </c>
      <c r="E47" s="241">
        <f>IFERROR(__xludf.DUMMYFUNCTION("""COMPUTED_VALUE"""),450.0)</f>
        <v>450</v>
      </c>
      <c r="F47" s="241">
        <f>IFERROR(__xludf.DUMMYFUNCTION("""COMPUTED_VALUE"""),112.5)</f>
        <v>112.5</v>
      </c>
      <c r="G47" s="241">
        <f>IFERROR(__xludf.DUMMYFUNCTION("""COMPUTED_VALUE"""),337.5)</f>
        <v>337.5</v>
      </c>
      <c r="H47" s="29" t="b">
        <f>IFERROR(__xludf.DUMMYFUNCTION("""COMPUTED_VALUE"""),TRUE)</f>
        <v>1</v>
      </c>
      <c r="I47" s="257"/>
      <c r="J47" s="29"/>
      <c r="K47" s="32">
        <f>IFERROR(__xludf.DUMMYFUNCTION("""COMPUTED_VALUE"""),45764.0)</f>
        <v>45764</v>
      </c>
      <c r="L47" s="29"/>
      <c r="M47" s="29" t="str">
        <f>IFERROR(__xludf.DUMMYFUNCTION("""COMPUTED_VALUE"""),"adventure Times")</f>
        <v>adventure Times</v>
      </c>
      <c r="N47" s="29"/>
    </row>
    <row r="48">
      <c r="A48" s="32">
        <f>IFERROR(__xludf.DUMMYFUNCTION("""COMPUTED_VALUE"""),45734.0)</f>
        <v>45734</v>
      </c>
      <c r="B48" s="29" t="str">
        <f>IFERROR(__xludf.DUMMYFUNCTION("""COMPUTED_VALUE"""),"Camille")</f>
        <v>Camille</v>
      </c>
      <c r="C48" s="29" t="str">
        <f>IFERROR(__xludf.DUMMYFUNCTION("""COMPUTED_VALUE"""),"QAMIAB NAALI")</f>
        <v>QAMIAB NAALI</v>
      </c>
      <c r="D48" s="29" t="str">
        <f>IFERROR(__xludf.DUMMYFUNCTION("""COMPUTED_VALUE"""),"F250046")</f>
        <v>F250046</v>
      </c>
      <c r="E48" s="241">
        <f>IFERROR(__xludf.DUMMYFUNCTION("""COMPUTED_VALUE"""),500.0)</f>
        <v>500</v>
      </c>
      <c r="F48" s="241">
        <f>IFERROR(__xludf.DUMMYFUNCTION("""COMPUTED_VALUE"""),125.0)</f>
        <v>125</v>
      </c>
      <c r="G48" s="241">
        <f>IFERROR(__xludf.DUMMYFUNCTION("""COMPUTED_VALUE"""),375.0)</f>
        <v>375</v>
      </c>
      <c r="H48" s="29" t="b">
        <f>IFERROR(__xludf.DUMMYFUNCTION("""COMPUTED_VALUE"""),TRUE)</f>
        <v>1</v>
      </c>
      <c r="I48" s="257"/>
      <c r="J48" s="29"/>
      <c r="K48" s="32">
        <f>IFERROR(__xludf.DUMMYFUNCTION("""COMPUTED_VALUE"""),45764.0)</f>
        <v>45764</v>
      </c>
      <c r="L48" s="29"/>
      <c r="M48" s="29"/>
      <c r="N48" s="29"/>
    </row>
    <row r="49">
      <c r="A49" s="32">
        <f>IFERROR(__xludf.DUMMYFUNCTION("""COMPUTED_VALUE"""),45734.0)</f>
        <v>45734</v>
      </c>
      <c r="B49" s="29" t="str">
        <f>IFERROR(__xludf.DUMMYFUNCTION("""COMPUTED_VALUE"""),"Anaïs")</f>
        <v>Anaïs</v>
      </c>
      <c r="C49" s="29" t="str">
        <f>IFERROR(__xludf.DUMMYFUNCTION("""COMPUTED_VALUE"""),"QAMIAB NAALI")</f>
        <v>QAMIAB NAALI</v>
      </c>
      <c r="D49" s="29" t="str">
        <f>IFERROR(__xludf.DUMMYFUNCTION("""COMPUTED_VALUE"""),"F250047")</f>
        <v>F250047</v>
      </c>
      <c r="E49" s="241">
        <f>IFERROR(__xludf.DUMMYFUNCTION("""COMPUTED_VALUE"""),600.0)</f>
        <v>600</v>
      </c>
      <c r="F49" s="241">
        <f>IFERROR(__xludf.DUMMYFUNCTION("""COMPUTED_VALUE"""),180.0)</f>
        <v>180</v>
      </c>
      <c r="G49" s="241">
        <f>IFERROR(__xludf.DUMMYFUNCTION("""COMPUTED_VALUE"""),420.0)</f>
        <v>420</v>
      </c>
      <c r="H49" s="29" t="b">
        <f>IFERROR(__xludf.DUMMYFUNCTION("""COMPUTED_VALUE"""),TRUE)</f>
        <v>1</v>
      </c>
      <c r="I49" s="257"/>
      <c r="J49" s="29"/>
      <c r="K49" s="32">
        <f>IFERROR(__xludf.DUMMYFUNCTION("""COMPUTED_VALUE"""),45764.0)</f>
        <v>45764</v>
      </c>
      <c r="L49" s="29"/>
      <c r="M49" s="29"/>
      <c r="N49" s="29"/>
    </row>
    <row r="50">
      <c r="A50" s="32">
        <f>IFERROR(__xludf.DUMMYFUNCTION("""COMPUTED_VALUE"""),45735.0)</f>
        <v>45735</v>
      </c>
      <c r="B50" s="29" t="str">
        <f>IFERROR(__xludf.DUMMYFUNCTION("""COMPUTED_VALUE"""),"Aïcha")</f>
        <v>Aïcha</v>
      </c>
      <c r="C50" s="29" t="str">
        <f>IFERROR(__xludf.DUMMYFUNCTION("""COMPUTED_VALUE"""),"EMF Musc Intime")</f>
        <v>EMF Musc Intime</v>
      </c>
      <c r="D50" s="29" t="str">
        <f>IFERROR(__xludf.DUMMYFUNCTION("""COMPUTED_VALUE"""),"F250048")</f>
        <v>F250048</v>
      </c>
      <c r="E50" s="241">
        <f>IFERROR(__xludf.DUMMYFUNCTION("""COMPUTED_VALUE"""),300.0)</f>
        <v>300</v>
      </c>
      <c r="F50" s="241">
        <f>IFERROR(__xludf.DUMMYFUNCTION("""COMPUTED_VALUE"""),90.0)</f>
        <v>90</v>
      </c>
      <c r="G50" s="241">
        <f>IFERROR(__xludf.DUMMYFUNCTION("""COMPUTED_VALUE"""),210.0)</f>
        <v>210</v>
      </c>
      <c r="H50" s="29" t="b">
        <f>IFERROR(__xludf.DUMMYFUNCTION("""COMPUTED_VALUE"""),TRUE)</f>
        <v>1</v>
      </c>
      <c r="I50" s="257"/>
      <c r="J50" s="29"/>
      <c r="K50" s="32">
        <f>IFERROR(__xludf.DUMMYFUNCTION("""COMPUTED_VALUE"""),45765.0)</f>
        <v>45765</v>
      </c>
      <c r="L50" s="29"/>
      <c r="M50" s="29"/>
      <c r="N50" s="29"/>
    </row>
    <row r="51">
      <c r="A51" s="32">
        <f>IFERROR(__xludf.DUMMYFUNCTION("""COMPUTED_VALUE"""),45735.0)</f>
        <v>45735</v>
      </c>
      <c r="B51" s="29" t="str">
        <f>IFERROR(__xludf.DUMMYFUNCTION("""COMPUTED_VALUE"""),"Chiara")</f>
        <v>Chiara</v>
      </c>
      <c r="C51" s="29" t="str">
        <f>IFERROR(__xludf.DUMMYFUNCTION("""COMPUTED_VALUE"""),"Stargaze Monopoly Go")</f>
        <v>Stargaze Monopoly Go</v>
      </c>
      <c r="D51" s="29" t="str">
        <f>IFERROR(__xludf.DUMMYFUNCTION("""COMPUTED_VALUE"""),"F250049")</f>
        <v>F250049</v>
      </c>
      <c r="E51" s="241">
        <f>IFERROR(__xludf.DUMMYFUNCTION("""COMPUTED_VALUE"""),1591.0)</f>
        <v>1591</v>
      </c>
      <c r="F51" s="241">
        <f>IFERROR(__xludf.DUMMYFUNCTION("""COMPUTED_VALUE"""),318.20000000000005)</f>
        <v>318.2</v>
      </c>
      <c r="G51" s="241">
        <f>IFERROR(__xludf.DUMMYFUNCTION("""COMPUTED_VALUE"""),1272.8)</f>
        <v>1272.8</v>
      </c>
      <c r="H51" s="29" t="b">
        <f>IFERROR(__xludf.DUMMYFUNCTION("""COMPUTED_VALUE"""),TRUE)</f>
        <v>1</v>
      </c>
      <c r="I51" s="257"/>
      <c r="J51" s="29"/>
      <c r="K51" s="32">
        <f>IFERROR(__xludf.DUMMYFUNCTION("""COMPUTED_VALUE"""),45777.0)</f>
        <v>45777</v>
      </c>
      <c r="L51" s="29"/>
      <c r="M51" s="29"/>
      <c r="N51" s="29"/>
    </row>
    <row r="52">
      <c r="A52" s="32">
        <f>IFERROR(__xludf.DUMMYFUNCTION("""COMPUTED_VALUE"""),45744.0)</f>
        <v>45744</v>
      </c>
      <c r="B52" s="29" t="str">
        <f>IFERROR(__xludf.DUMMYFUNCTION("""COMPUTED_VALUE"""),"Lily Noël")</f>
        <v>Lily Noël</v>
      </c>
      <c r="C52" s="29" t="str">
        <f>IFERROR(__xludf.DUMMYFUNCTION("""COMPUTED_VALUE"""),"WOO MNY")</f>
        <v>WOO MNY</v>
      </c>
      <c r="D52" s="29" t="str">
        <f>IFERROR(__xludf.DUMMYFUNCTION("""COMPUTED_VALUE"""),"F250057")</f>
        <v>F250057</v>
      </c>
      <c r="E52" s="241">
        <f>IFERROR(__xludf.DUMMYFUNCTION("""COMPUTED_VALUE"""),1600.0)</f>
        <v>1600</v>
      </c>
      <c r="F52" s="241">
        <f>IFERROR(__xludf.DUMMYFUNCTION("""COMPUTED_VALUE"""),400.0)</f>
        <v>400</v>
      </c>
      <c r="G52" s="241">
        <f>IFERROR(__xludf.DUMMYFUNCTION("""COMPUTED_VALUE"""),1200.0)</f>
        <v>1200</v>
      </c>
      <c r="H52" s="29" t="b">
        <f>IFERROR(__xludf.DUMMYFUNCTION("""COMPUTED_VALUE"""),TRUE)</f>
        <v>1</v>
      </c>
      <c r="I52" s="257"/>
      <c r="J52" s="29"/>
      <c r="K52" s="32">
        <f>IFERROR(__xludf.DUMMYFUNCTION("""COMPUTED_VALUE"""),45777.0)</f>
        <v>45777</v>
      </c>
      <c r="L52" s="29"/>
      <c r="M52" s="29"/>
      <c r="N52" s="29"/>
    </row>
    <row r="53">
      <c r="A53" s="32">
        <f>IFERROR(__xludf.DUMMYFUNCTION("""COMPUTED_VALUE"""),45737.0)</f>
        <v>45737</v>
      </c>
      <c r="B53" s="29" t="str">
        <f>IFERROR(__xludf.DUMMYFUNCTION("""COMPUTED_VALUE"""),"Juliane  ")</f>
        <v>Juliane  </v>
      </c>
      <c r="C53" s="29" t="str">
        <f>IFERROR(__xludf.DUMMYFUNCTION("""COMPUTED_VALUE"""),"DR Group Darry Ring")</f>
        <v>DR Group Darry Ring</v>
      </c>
      <c r="D53" s="29" t="str">
        <f>IFERROR(__xludf.DUMMYFUNCTION("""COMPUTED_VALUE"""),"F250051")</f>
        <v>F250051</v>
      </c>
      <c r="E53" s="241">
        <f>IFERROR(__xludf.DUMMYFUNCTION("""COMPUTED_VALUE"""),300.0)</f>
        <v>300</v>
      </c>
      <c r="F53" s="241">
        <f>IFERROR(__xludf.DUMMYFUNCTION("""COMPUTED_VALUE"""),90.0)</f>
        <v>90</v>
      </c>
      <c r="G53" s="241">
        <f>IFERROR(__xludf.DUMMYFUNCTION("""COMPUTED_VALUE"""),210.0)</f>
        <v>210</v>
      </c>
      <c r="H53" s="29" t="b">
        <f>IFERROR(__xludf.DUMMYFUNCTION("""COMPUTED_VALUE"""),TRUE)</f>
        <v>1</v>
      </c>
      <c r="I53" s="257"/>
      <c r="J53" s="29"/>
      <c r="K53" s="32">
        <f>IFERROR(__xludf.DUMMYFUNCTION("""COMPUTED_VALUE"""),45767.0)</f>
        <v>45767</v>
      </c>
      <c r="L53" s="29"/>
      <c r="M53" s="29"/>
      <c r="N53" s="29"/>
    </row>
    <row r="54">
      <c r="A54" s="32">
        <f>IFERROR(__xludf.DUMMYFUNCTION("""COMPUTED_VALUE"""),45747.0)</f>
        <v>45747</v>
      </c>
      <c r="B54" s="29" t="str">
        <f>IFERROR(__xludf.DUMMYFUNCTION("""COMPUTED_VALUE"""),"Perrine")</f>
        <v>Perrine</v>
      </c>
      <c r="C54" s="29" t="str">
        <f>IFERROR(__xludf.DUMMYFUNCTION("""COMPUTED_VALUE"""),"WOO LRP")</f>
        <v>WOO LRP</v>
      </c>
      <c r="D54" s="29" t="str">
        <f>IFERROR(__xludf.DUMMYFUNCTION("""COMPUTED_VALUE"""),"F250060")</f>
        <v>F250060</v>
      </c>
      <c r="E54" s="241">
        <f>IFERROR(__xludf.DUMMYFUNCTION("""COMPUTED_VALUE"""),1850.0)</f>
        <v>1850</v>
      </c>
      <c r="F54" s="241">
        <f>IFERROR(__xludf.DUMMYFUNCTION("""COMPUTED_VALUE"""),555.0)</f>
        <v>555</v>
      </c>
      <c r="G54" s="241">
        <f>IFERROR(__xludf.DUMMYFUNCTION("""COMPUTED_VALUE"""),1295.0)</f>
        <v>1295</v>
      </c>
      <c r="H54" s="29" t="b">
        <f>IFERROR(__xludf.DUMMYFUNCTION("""COMPUTED_VALUE"""),TRUE)</f>
        <v>1</v>
      </c>
      <c r="I54" s="257"/>
      <c r="J54" s="29" t="str">
        <f>IFERROR(__xludf.DUMMYFUNCTION("""COMPUTED_VALUE"""),"virement fait à Perrine ACCOMPTE")</f>
        <v>virement fait à Perrine ACCOMPTE</v>
      </c>
      <c r="K54" s="32">
        <f>IFERROR(__xludf.DUMMYFUNCTION("""COMPUTED_VALUE"""),45777.0)</f>
        <v>45777</v>
      </c>
      <c r="L54" s="29"/>
      <c r="M54" s="29"/>
      <c r="N54" s="29"/>
    </row>
    <row r="55">
      <c r="A55" s="32">
        <f>IFERROR(__xludf.DUMMYFUNCTION("""COMPUTED_VALUE"""),45740.0)</f>
        <v>45740</v>
      </c>
      <c r="B55" s="29" t="str">
        <f>IFERROR(__xludf.DUMMYFUNCTION("""COMPUTED_VALUE"""),"Melissa")</f>
        <v>Melissa</v>
      </c>
      <c r="C55" s="29" t="str">
        <f>IFERROR(__xludf.DUMMYFUNCTION("""COMPUTED_VALUE"""),"DR Group Darry Ring")</f>
        <v>DR Group Darry Ring</v>
      </c>
      <c r="D55" s="29" t="str">
        <f>IFERROR(__xludf.DUMMYFUNCTION("""COMPUTED_VALUE"""),"F250053")</f>
        <v>F250053</v>
      </c>
      <c r="E55" s="241">
        <f>IFERROR(__xludf.DUMMYFUNCTION("""COMPUTED_VALUE"""),1100.0)</f>
        <v>1100</v>
      </c>
      <c r="F55" s="241">
        <f>IFERROR(__xludf.DUMMYFUNCTION("""COMPUTED_VALUE"""),330.0)</f>
        <v>330</v>
      </c>
      <c r="G55" s="241">
        <f>IFERROR(__xludf.DUMMYFUNCTION("""COMPUTED_VALUE"""),770.0)</f>
        <v>770</v>
      </c>
      <c r="H55" s="29" t="b">
        <f>IFERROR(__xludf.DUMMYFUNCTION("""COMPUTED_VALUE"""),TRUE)</f>
        <v>1</v>
      </c>
      <c r="I55" s="257"/>
      <c r="J55" s="29"/>
      <c r="K55" s="32">
        <f>IFERROR(__xludf.DUMMYFUNCTION("""COMPUTED_VALUE"""),45770.0)</f>
        <v>45770</v>
      </c>
      <c r="L55" s="29"/>
      <c r="M55" s="29"/>
      <c r="N55" s="29"/>
    </row>
    <row r="56">
      <c r="A56" s="32">
        <f>IFERROR(__xludf.DUMMYFUNCTION("""COMPUTED_VALUE"""),45742.0)</f>
        <v>45742</v>
      </c>
      <c r="B56" s="29" t="str">
        <f>IFERROR(__xludf.DUMMYFUNCTION("""COMPUTED_VALUE"""),"Dounia")</f>
        <v>Dounia</v>
      </c>
      <c r="C56" s="29" t="str">
        <f>IFERROR(__xludf.DUMMYFUNCTION("""COMPUTED_VALUE"""),"Roadget Sheglam")</f>
        <v>Roadget Sheglam</v>
      </c>
      <c r="D56" s="29" t="str">
        <f>IFERROR(__xludf.DUMMYFUNCTION("""COMPUTED_VALUE"""),"F250054")</f>
        <v>F250054</v>
      </c>
      <c r="E56" s="241">
        <f>IFERROR(__xludf.DUMMYFUNCTION("""COMPUTED_VALUE"""),300.0)</f>
        <v>300</v>
      </c>
      <c r="F56" s="241">
        <f>IFERROR(__xludf.DUMMYFUNCTION("""COMPUTED_VALUE"""),90.0)</f>
        <v>90</v>
      </c>
      <c r="G56" s="241">
        <f>IFERROR(__xludf.DUMMYFUNCTION("""COMPUTED_VALUE"""),210.0)</f>
        <v>210</v>
      </c>
      <c r="H56" s="29" t="b">
        <f>IFERROR(__xludf.DUMMYFUNCTION("""COMPUTED_VALUE"""),TRUE)</f>
        <v>1</v>
      </c>
      <c r="I56" s="257"/>
      <c r="J56" s="29"/>
      <c r="K56" s="32">
        <f>IFERROR(__xludf.DUMMYFUNCTION("""COMPUTED_VALUE"""),45772.0)</f>
        <v>45772</v>
      </c>
      <c r="L56" s="29"/>
      <c r="M56" s="29" t="str">
        <f>IFERROR(__xludf.DUMMYFUNCTION("""COMPUTED_VALUE"""),"Blush")</f>
        <v>Blush</v>
      </c>
      <c r="N56" s="29"/>
    </row>
    <row r="57">
      <c r="A57" s="32">
        <f>IFERROR(__xludf.DUMMYFUNCTION("""COMPUTED_VALUE"""),45697.0)</f>
        <v>45697</v>
      </c>
      <c r="B57" s="29" t="str">
        <f>IFERROR(__xludf.DUMMYFUNCTION("""COMPUTED_VALUE"""),"Pauline")</f>
        <v>Pauline</v>
      </c>
      <c r="C57" s="29" t="str">
        <f>IFERROR(__xludf.DUMMYFUNCTION("""COMPUTED_VALUE"""),"Woo L'Oreal Revitalift")</f>
        <v>Woo L'Oreal Revitalift</v>
      </c>
      <c r="D57" s="29" t="str">
        <f>IFERROR(__xludf.DUMMYFUNCTION("""COMPUTED_VALUE"""),"F250009")</f>
        <v>F250009</v>
      </c>
      <c r="E57" s="241">
        <f>IFERROR(__xludf.DUMMYFUNCTION("""COMPUTED_VALUE"""),450.0)</f>
        <v>450</v>
      </c>
      <c r="F57" s="241">
        <f>IFERROR(__xludf.DUMMYFUNCTION("""COMPUTED_VALUE"""),90.0)</f>
        <v>90</v>
      </c>
      <c r="G57" s="241">
        <f>IFERROR(__xludf.DUMMYFUNCTION("""COMPUTED_VALUE"""),360.0)</f>
        <v>360</v>
      </c>
      <c r="H57" s="29" t="b">
        <f>IFERROR(__xludf.DUMMYFUNCTION("""COMPUTED_VALUE"""),TRUE)</f>
        <v>1</v>
      </c>
      <c r="I57" s="257"/>
      <c r="J57" s="29"/>
      <c r="K57" s="32">
        <f>IFERROR(__xludf.DUMMYFUNCTION("""COMPUTED_VALUE"""),45747.0)</f>
        <v>45747</v>
      </c>
      <c r="L57" s="29"/>
      <c r="M57" s="29"/>
      <c r="N57" s="29"/>
    </row>
    <row r="58">
      <c r="A58" s="32">
        <f>IFERROR(__xludf.DUMMYFUNCTION("""COMPUTED_VALUE"""),45743.0)</f>
        <v>45743</v>
      </c>
      <c r="B58" s="29" t="str">
        <f>IFERROR(__xludf.DUMMYFUNCTION("""COMPUTED_VALUE"""),"Lily Noël")</f>
        <v>Lily Noël</v>
      </c>
      <c r="C58" s="29" t="str">
        <f>IFERROR(__xludf.DUMMYFUNCTION("""COMPUTED_VALUE"""),"Sheglam Roadget")</f>
        <v>Sheglam Roadget</v>
      </c>
      <c r="D58" s="29" t="str">
        <f>IFERROR(__xludf.DUMMYFUNCTION("""COMPUTED_VALUE"""),"F250056")</f>
        <v>F250056</v>
      </c>
      <c r="E58" s="241">
        <f>IFERROR(__xludf.DUMMYFUNCTION("""COMPUTED_VALUE"""),450.0)</f>
        <v>450</v>
      </c>
      <c r="F58" s="241">
        <f>IFERROR(__xludf.DUMMYFUNCTION("""COMPUTED_VALUE"""),112.5)</f>
        <v>112.5</v>
      </c>
      <c r="G58" s="241">
        <f>IFERROR(__xludf.DUMMYFUNCTION("""COMPUTED_VALUE"""),337.5)</f>
        <v>337.5</v>
      </c>
      <c r="H58" s="29" t="b">
        <f>IFERROR(__xludf.DUMMYFUNCTION("""COMPUTED_VALUE"""),TRUE)</f>
        <v>1</v>
      </c>
      <c r="I58" s="257"/>
      <c r="J58" s="29"/>
      <c r="K58" s="32">
        <f>IFERROR(__xludf.DUMMYFUNCTION("""COMPUTED_VALUE"""),45773.0)</f>
        <v>45773</v>
      </c>
      <c r="L58" s="29"/>
      <c r="M58" s="29"/>
      <c r="N58" s="29"/>
    </row>
    <row r="59">
      <c r="A59" s="32">
        <f>IFERROR(__xludf.DUMMYFUNCTION("""COMPUTED_VALUE"""),45754.0)</f>
        <v>45754</v>
      </c>
      <c r="B59" s="29" t="str">
        <f>IFERROR(__xludf.DUMMYFUNCTION("""COMPUTED_VALUE"""),"Pauline")</f>
        <v>Pauline</v>
      </c>
      <c r="C59" s="29" t="str">
        <f>IFERROR(__xludf.DUMMYFUNCTION("""COMPUTED_VALUE"""),"TheBeautyGroup Current Body")</f>
        <v>TheBeautyGroup Current Body</v>
      </c>
      <c r="D59" s="29" t="str">
        <f>IFERROR(__xludf.DUMMYFUNCTION("""COMPUTED_VALUE"""),"F250062")</f>
        <v>F250062</v>
      </c>
      <c r="E59" s="241">
        <f>IFERROR(__xludf.DUMMYFUNCTION("""COMPUTED_VALUE"""),200.0)</f>
        <v>200</v>
      </c>
      <c r="F59" s="241">
        <f>IFERROR(__xludf.DUMMYFUNCTION("""COMPUTED_VALUE"""),40.0)</f>
        <v>40</v>
      </c>
      <c r="G59" s="241">
        <f>IFERROR(__xludf.DUMMYFUNCTION("""COMPUTED_VALUE"""),160.0)</f>
        <v>160</v>
      </c>
      <c r="H59" s="29" t="b">
        <f>IFERROR(__xludf.DUMMYFUNCTION("""COMPUTED_VALUE"""),TRUE)</f>
        <v>1</v>
      </c>
      <c r="I59" s="257"/>
      <c r="J59" s="29"/>
      <c r="K59" s="32">
        <f>IFERROR(__xludf.DUMMYFUNCTION("""COMPUTED_VALUE"""),45784.0)</f>
        <v>45784</v>
      </c>
      <c r="L59" s="29"/>
      <c r="M59" s="29"/>
      <c r="N59" s="29"/>
    </row>
    <row r="60">
      <c r="A60" s="32">
        <f>IFERROR(__xludf.DUMMYFUNCTION("""COMPUTED_VALUE"""),45747.0)</f>
        <v>45747</v>
      </c>
      <c r="B60" s="29" t="str">
        <f>IFERROR(__xludf.DUMMYFUNCTION("""COMPUTED_VALUE"""),"Perrine")</f>
        <v>Perrine</v>
      </c>
      <c r="C60" s="29" t="str">
        <f>IFERROR(__xludf.DUMMYFUNCTION("""COMPUTED_VALUE"""),"Yepoda")</f>
        <v>Yepoda</v>
      </c>
      <c r="D60" s="29" t="str">
        <f>IFERROR(__xludf.DUMMYFUNCTION("""COMPUTED_VALUE"""),"F250058")</f>
        <v>F250058</v>
      </c>
      <c r="E60" s="241">
        <f>IFERROR(__xludf.DUMMYFUNCTION("""COMPUTED_VALUE"""),300.0)</f>
        <v>300</v>
      </c>
      <c r="F60" s="241">
        <f>IFERROR(__xludf.DUMMYFUNCTION("""COMPUTED_VALUE"""),90.0)</f>
        <v>90</v>
      </c>
      <c r="G60" s="241">
        <f>IFERROR(__xludf.DUMMYFUNCTION("""COMPUTED_VALUE"""),210.0)</f>
        <v>210</v>
      </c>
      <c r="H60" s="29" t="b">
        <f>IFERROR(__xludf.DUMMYFUNCTION("""COMPUTED_VALUE"""),TRUE)</f>
        <v>1</v>
      </c>
      <c r="I60" s="257"/>
      <c r="J60" s="29"/>
      <c r="K60" s="32">
        <f>IFERROR(__xludf.DUMMYFUNCTION("""COMPUTED_VALUE"""),45777.0)</f>
        <v>45777</v>
      </c>
      <c r="L60" s="29"/>
      <c r="M60" s="29"/>
      <c r="N60" s="29"/>
    </row>
    <row r="61">
      <c r="A61" s="32">
        <f>IFERROR(__xludf.DUMMYFUNCTION("""COMPUTED_VALUE"""),45747.0)</f>
        <v>45747</v>
      </c>
      <c r="B61" s="29" t="str">
        <f>IFERROR(__xludf.DUMMYFUNCTION("""COMPUTED_VALUE"""),"Lily, Aicha")</f>
        <v>Lily, Aicha</v>
      </c>
      <c r="C61" s="29" t="str">
        <f>IFERROR(__xludf.DUMMYFUNCTION("""COMPUTED_VALUE"""),"GOODBLIN LIMITED haCOO")</f>
        <v>GOODBLIN LIMITED haCOO</v>
      </c>
      <c r="D61" s="29" t="str">
        <f>IFERROR(__xludf.DUMMYFUNCTION("""COMPUTED_VALUE"""),"F250059")</f>
        <v>F250059</v>
      </c>
      <c r="E61" s="241">
        <f>IFERROR(__xludf.DUMMYFUNCTION("""COMPUTED_VALUE"""),1050.0)</f>
        <v>1050</v>
      </c>
      <c r="F61" s="241">
        <f>IFERROR(__xludf.DUMMYFUNCTION("""COMPUTED_VALUE"""),315.0)</f>
        <v>315</v>
      </c>
      <c r="G61" s="241">
        <f>IFERROR(__xludf.DUMMYFUNCTION("""COMPUTED_VALUE"""),735.0)</f>
        <v>735</v>
      </c>
      <c r="H61" s="29" t="b">
        <f>IFERROR(__xludf.DUMMYFUNCTION("""COMPUTED_VALUE"""),TRUE)</f>
        <v>1</v>
      </c>
      <c r="I61" s="257"/>
      <c r="J61" s="29"/>
      <c r="K61" s="32">
        <f>IFERROR(__xludf.DUMMYFUNCTION("""COMPUTED_VALUE"""),45777.0)</f>
        <v>45777</v>
      </c>
      <c r="L61" s="29"/>
      <c r="M61" s="29"/>
      <c r="N61" s="29"/>
    </row>
    <row r="62">
      <c r="A62" s="32">
        <f>IFERROR(__xludf.DUMMYFUNCTION("""COMPUTED_VALUE"""),45757.0)</f>
        <v>45757</v>
      </c>
      <c r="B62" s="29" t="str">
        <f>IFERROR(__xludf.DUMMYFUNCTION("""COMPUTED_VALUE"""),"Anaïs")</f>
        <v>Anaïs</v>
      </c>
      <c r="C62" s="29" t="str">
        <f>IFERROR(__xludf.DUMMYFUNCTION("""COMPUTED_VALUE"""),"Woo Inava")</f>
        <v>Woo Inava</v>
      </c>
      <c r="D62" s="29" t="str">
        <f>IFERROR(__xludf.DUMMYFUNCTION("""COMPUTED_VALUE"""),"F250066")</f>
        <v>F250066</v>
      </c>
      <c r="E62" s="241">
        <f>IFERROR(__xludf.DUMMYFUNCTION("""COMPUTED_VALUE"""),1200.0)</f>
        <v>1200</v>
      </c>
      <c r="F62" s="241">
        <f>IFERROR(__xludf.DUMMYFUNCTION("""COMPUTED_VALUE"""),360.0)</f>
        <v>360</v>
      </c>
      <c r="G62" s="241">
        <f>IFERROR(__xludf.DUMMYFUNCTION("""COMPUTED_VALUE"""),840.0)</f>
        <v>840</v>
      </c>
      <c r="H62" s="29" t="b">
        <f>IFERROR(__xludf.DUMMYFUNCTION("""COMPUTED_VALUE"""),FALSE)</f>
        <v>0</v>
      </c>
      <c r="I62" s="257"/>
      <c r="J62" s="29"/>
      <c r="K62" s="32">
        <f>IFERROR(__xludf.DUMMYFUNCTION("""COMPUTED_VALUE"""),45808.0)</f>
        <v>45808</v>
      </c>
      <c r="L62" s="29"/>
      <c r="M62" s="29"/>
      <c r="N62" s="29"/>
    </row>
    <row r="63">
      <c r="A63" s="32">
        <f>IFERROR(__xludf.DUMMYFUNCTION("""COMPUTED_VALUE"""),45751.0)</f>
        <v>45751</v>
      </c>
      <c r="B63" s="29" t="str">
        <f>IFERROR(__xludf.DUMMYFUNCTION("""COMPUTED_VALUE"""),"Lola")</f>
        <v>Lola</v>
      </c>
      <c r="C63" s="29" t="str">
        <f>IFERROR(__xludf.DUMMYFUNCTION("""COMPUTED_VALUE"""),"Yepoda")</f>
        <v>Yepoda</v>
      </c>
      <c r="D63" s="29" t="str">
        <f>IFERROR(__xludf.DUMMYFUNCTION("""COMPUTED_VALUE"""),"F250061")</f>
        <v>F250061</v>
      </c>
      <c r="E63" s="241">
        <f>IFERROR(__xludf.DUMMYFUNCTION("""COMPUTED_VALUE"""),200.0)</f>
        <v>200</v>
      </c>
      <c r="F63" s="241">
        <f>IFERROR(__xludf.DUMMYFUNCTION("""COMPUTED_VALUE"""),60.0)</f>
        <v>60</v>
      </c>
      <c r="G63" s="241">
        <f>IFERROR(__xludf.DUMMYFUNCTION("""COMPUTED_VALUE"""),140.0)</f>
        <v>140</v>
      </c>
      <c r="H63" s="29" t="b">
        <f>IFERROR(__xludf.DUMMYFUNCTION("""COMPUTED_VALUE"""),TRUE)</f>
        <v>1</v>
      </c>
      <c r="I63" s="257"/>
      <c r="J63" s="29"/>
      <c r="K63" s="32">
        <f>IFERROR(__xludf.DUMMYFUNCTION("""COMPUTED_VALUE"""),45781.0)</f>
        <v>45781</v>
      </c>
      <c r="L63" s="29"/>
      <c r="M63" s="29"/>
      <c r="N63" s="29"/>
    </row>
    <row r="64">
      <c r="A64" s="32">
        <f>IFERROR(__xludf.DUMMYFUNCTION("""COMPUTED_VALUE"""),45761.0)</f>
        <v>45761</v>
      </c>
      <c r="B64" s="29" t="str">
        <f>IFERROR(__xludf.DUMMYFUNCTION("""COMPUTED_VALUE"""),"Camille")</f>
        <v>Camille</v>
      </c>
      <c r="C64" s="29" t="str">
        <f>IFERROR(__xludf.DUMMYFUNCTION("""COMPUTED_VALUE"""),"Sekaya Musc")</f>
        <v>Sekaya Musc</v>
      </c>
      <c r="D64" s="29" t="str">
        <f>IFERROR(__xludf.DUMMYFUNCTION("""COMPUTED_VALUE"""),"F250072")</f>
        <v>F250072</v>
      </c>
      <c r="E64" s="241">
        <f>IFERROR(__xludf.DUMMYFUNCTION("""COMPUTED_VALUE"""),500.0)</f>
        <v>500</v>
      </c>
      <c r="F64" s="241">
        <f>IFERROR(__xludf.DUMMYFUNCTION("""COMPUTED_VALUE"""),125.0)</f>
        <v>125</v>
      </c>
      <c r="G64" s="241">
        <f>IFERROR(__xludf.DUMMYFUNCTION("""COMPUTED_VALUE"""),375.0)</f>
        <v>375</v>
      </c>
      <c r="H64" s="29" t="b">
        <f>IFERROR(__xludf.DUMMYFUNCTION("""COMPUTED_VALUE"""),TRUE)</f>
        <v>1</v>
      </c>
      <c r="I64" s="257"/>
      <c r="J64" s="29"/>
      <c r="K64" s="32">
        <f>IFERROR(__xludf.DUMMYFUNCTION("""COMPUTED_VALUE"""),45781.0)</f>
        <v>45781</v>
      </c>
      <c r="L64" s="29"/>
      <c r="M64" s="29"/>
      <c r="N64" s="29"/>
    </row>
    <row r="65">
      <c r="A65" s="32">
        <f>IFERROR(__xludf.DUMMYFUNCTION("""COMPUTED_VALUE"""),45754.0)</f>
        <v>45754</v>
      </c>
      <c r="B65" s="29" t="str">
        <f>IFERROR(__xludf.DUMMYFUNCTION("""COMPUTED_VALUE"""),"Dounia")</f>
        <v>Dounia</v>
      </c>
      <c r="C65" s="29" t="str">
        <f>IFERROR(__xludf.DUMMYFUNCTION("""COMPUTED_VALUE"""),"Paalm Cosmetics")</f>
        <v>Paalm Cosmetics</v>
      </c>
      <c r="D65" s="29" t="str">
        <f>IFERROR(__xludf.DUMMYFUNCTION("""COMPUTED_VALUE"""),"F250063")</f>
        <v>F250063</v>
      </c>
      <c r="E65" s="241">
        <f>IFERROR(__xludf.DUMMYFUNCTION("""COMPUTED_VALUE"""),300.0)</f>
        <v>300</v>
      </c>
      <c r="F65" s="241">
        <f>IFERROR(__xludf.DUMMYFUNCTION("""COMPUTED_VALUE"""),90.0)</f>
        <v>90</v>
      </c>
      <c r="G65" s="241">
        <f>IFERROR(__xludf.DUMMYFUNCTION("""COMPUTED_VALUE"""),210.0)</f>
        <v>210</v>
      </c>
      <c r="H65" s="29" t="b">
        <f>IFERROR(__xludf.DUMMYFUNCTION("""COMPUTED_VALUE"""),TRUE)</f>
        <v>1</v>
      </c>
      <c r="I65" s="257"/>
      <c r="J65" s="29"/>
      <c r="K65" s="32">
        <f>IFERROR(__xludf.DUMMYFUNCTION("""COMPUTED_VALUE"""),45784.0)</f>
        <v>45784</v>
      </c>
      <c r="L65" s="29"/>
      <c r="M65" s="29"/>
      <c r="N65" s="29"/>
    </row>
    <row r="66">
      <c r="A66" s="32">
        <f>IFERROR(__xludf.DUMMYFUNCTION("""COMPUTED_VALUE"""),45754.0)</f>
        <v>45754</v>
      </c>
      <c r="B66" s="29" t="str">
        <f>IFERROR(__xludf.DUMMYFUNCTION("""COMPUTED_VALUE"""),"Juliane")</f>
        <v>Juliane</v>
      </c>
      <c r="C66" s="29" t="str">
        <f>IFERROR(__xludf.DUMMYFUNCTION("""COMPUTED_VALUE"""),"Naali")</f>
        <v>Naali</v>
      </c>
      <c r="D66" s="29" t="str">
        <f>IFERROR(__xludf.DUMMYFUNCTION("""COMPUTED_VALUE"""),"F250064")</f>
        <v>F250064</v>
      </c>
      <c r="E66" s="241">
        <f>IFERROR(__xludf.DUMMYFUNCTION("""COMPUTED_VALUE"""),300.0)</f>
        <v>300</v>
      </c>
      <c r="F66" s="241">
        <f>IFERROR(__xludf.DUMMYFUNCTION("""COMPUTED_VALUE"""),90.0)</f>
        <v>90</v>
      </c>
      <c r="G66" s="241">
        <f>IFERROR(__xludf.DUMMYFUNCTION("""COMPUTED_VALUE"""),210.0)</f>
        <v>210</v>
      </c>
      <c r="H66" s="29" t="b">
        <f>IFERROR(__xludf.DUMMYFUNCTION("""COMPUTED_VALUE"""),TRUE)</f>
        <v>1</v>
      </c>
      <c r="I66" s="257"/>
      <c r="J66" s="29"/>
      <c r="K66" s="32">
        <f>IFERROR(__xludf.DUMMYFUNCTION("""COMPUTED_VALUE"""),45784.0)</f>
        <v>45784</v>
      </c>
      <c r="L66" s="29"/>
      <c r="M66" s="29"/>
      <c r="N66" s="29"/>
    </row>
    <row r="67">
      <c r="A67" s="32">
        <f>IFERROR(__xludf.DUMMYFUNCTION("""COMPUTED_VALUE"""),45768.0)</f>
        <v>45768</v>
      </c>
      <c r="B67" s="29" t="str">
        <f>IFERROR(__xludf.DUMMYFUNCTION("""COMPUTED_VALUE"""),"Eloise")</f>
        <v>Eloise</v>
      </c>
      <c r="C67" s="29" t="str">
        <f>IFERROR(__xludf.DUMMYFUNCTION("""COMPUTED_VALUE"""),"CAUDALIE ")</f>
        <v>CAUDALIE </v>
      </c>
      <c r="D67" s="29" t="str">
        <f>IFERROR(__xludf.DUMMYFUNCTION("""COMPUTED_VALUE"""),"F250076")</f>
        <v>F250076</v>
      </c>
      <c r="E67" s="241">
        <f>IFERROR(__xludf.DUMMYFUNCTION("""COMPUTED_VALUE"""),600.0)</f>
        <v>600</v>
      </c>
      <c r="F67" s="241">
        <f>IFERROR(__xludf.DUMMYFUNCTION("""COMPUTED_VALUE"""),180.0)</f>
        <v>180</v>
      </c>
      <c r="G67" s="241">
        <f>IFERROR(__xludf.DUMMYFUNCTION("""COMPUTED_VALUE"""),420.0)</f>
        <v>420</v>
      </c>
      <c r="H67" s="29" t="b">
        <f>IFERROR(__xludf.DUMMYFUNCTION("""COMPUTED_VALUE"""),TRUE)</f>
        <v>1</v>
      </c>
      <c r="I67" s="257"/>
      <c r="J67" s="29"/>
      <c r="K67" s="32">
        <f>IFERROR(__xludf.DUMMYFUNCTION("""COMPUTED_VALUE"""),45784.0)</f>
        <v>45784</v>
      </c>
      <c r="L67" s="29"/>
      <c r="M67" s="29"/>
      <c r="N67" s="29"/>
    </row>
    <row r="68">
      <c r="A68" s="32">
        <f>IFERROR(__xludf.DUMMYFUNCTION("""COMPUTED_VALUE"""),45758.0)</f>
        <v>45758</v>
      </c>
      <c r="B68" s="29" t="str">
        <f>IFERROR(__xludf.DUMMYFUNCTION("""COMPUTED_VALUE"""),"Lily Noël")</f>
        <v>Lily Noël</v>
      </c>
      <c r="C68" s="29" t="str">
        <f>IFERROR(__xludf.DUMMYFUNCTION("""COMPUTED_VALUE"""),"WOO NYX Butter")</f>
        <v>WOO NYX Butter</v>
      </c>
      <c r="D68" s="29" t="str">
        <f>IFERROR(__xludf.DUMMYFUNCTION("""COMPUTED_VALUE"""),"F250067")</f>
        <v>F250067</v>
      </c>
      <c r="E68" s="241">
        <f>IFERROR(__xludf.DUMMYFUNCTION("""COMPUTED_VALUE"""),810.0)</f>
        <v>810</v>
      </c>
      <c r="F68" s="241">
        <f>IFERROR(__xludf.DUMMYFUNCTION("""COMPUTED_VALUE"""),202.5)</f>
        <v>202.5</v>
      </c>
      <c r="G68" s="241">
        <f>IFERROR(__xludf.DUMMYFUNCTION("""COMPUTED_VALUE"""),607.5)</f>
        <v>607.5</v>
      </c>
      <c r="H68" s="29" t="b">
        <f>IFERROR(__xludf.DUMMYFUNCTION("""COMPUTED_VALUE"""),TRUE)</f>
        <v>1</v>
      </c>
      <c r="I68" s="257"/>
      <c r="J68" s="29"/>
      <c r="K68" s="32">
        <f>IFERROR(__xludf.DUMMYFUNCTION("""COMPUTED_VALUE"""),45808.0)</f>
        <v>45808</v>
      </c>
      <c r="L68" s="29"/>
      <c r="M68" s="29"/>
      <c r="N68" s="29"/>
    </row>
    <row r="69">
      <c r="A69" s="32">
        <f>IFERROR(__xludf.DUMMYFUNCTION("""COMPUTED_VALUE"""),45762.0)</f>
        <v>45762</v>
      </c>
      <c r="B69" s="29" t="str">
        <f>IFERROR(__xludf.DUMMYFUNCTION("""COMPUTED_VALUE"""),"Morgane")</f>
        <v>Morgane</v>
      </c>
      <c r="C69" s="29" t="str">
        <f>IFERROR(__xludf.DUMMYFUNCTION("""COMPUTED_VALUE"""),"WOO Garnier")</f>
        <v>WOO Garnier</v>
      </c>
      <c r="D69" s="29" t="str">
        <f>IFERROR(__xludf.DUMMYFUNCTION("""COMPUTED_VALUE"""),"F250073")</f>
        <v>F250073</v>
      </c>
      <c r="E69" s="241">
        <f>IFERROR(__xludf.DUMMYFUNCTION("""COMPUTED_VALUE"""),500.0)</f>
        <v>500</v>
      </c>
      <c r="F69" s="241">
        <f>IFERROR(__xludf.DUMMYFUNCTION("""COMPUTED_VALUE"""),150.0)</f>
        <v>150</v>
      </c>
      <c r="G69" s="241">
        <f>IFERROR(__xludf.DUMMYFUNCTION("""COMPUTED_VALUE"""),350.0)</f>
        <v>350</v>
      </c>
      <c r="H69" s="29" t="b">
        <f>IFERROR(__xludf.DUMMYFUNCTION("""COMPUTED_VALUE"""),TRUE)</f>
        <v>1</v>
      </c>
      <c r="I69" s="257"/>
      <c r="J69" s="29"/>
      <c r="K69" s="32">
        <f>IFERROR(__xludf.DUMMYFUNCTION("""COMPUTED_VALUE"""),45808.0)</f>
        <v>45808</v>
      </c>
      <c r="L69" s="29"/>
      <c r="M69" s="29"/>
      <c r="N69" s="29"/>
    </row>
    <row r="70">
      <c r="A70" s="32">
        <f>IFERROR(__xludf.DUMMYFUNCTION("""COMPUTED_VALUE"""),45729.0)</f>
        <v>45729</v>
      </c>
      <c r="B70" s="29" t="str">
        <f>IFERROR(__xludf.DUMMYFUNCTION("""COMPUTED_VALUE"""),"Dounia/Sirine")</f>
        <v>Dounia/Sirine</v>
      </c>
      <c r="C70" s="29" t="str">
        <f>IFERROR(__xludf.DUMMYFUNCTION("""COMPUTED_VALUE"""),"Sekaya Musc")</f>
        <v>Sekaya Musc</v>
      </c>
      <c r="D70" s="29" t="str">
        <f>IFERROR(__xludf.DUMMYFUNCTION("""COMPUTED_VALUE"""),"F250043")</f>
        <v>F250043</v>
      </c>
      <c r="E70" s="241">
        <f>IFERROR(__xludf.DUMMYFUNCTION("""COMPUTED_VALUE"""),900.0)</f>
        <v>900</v>
      </c>
      <c r="F70" s="241">
        <f>IFERROR(__xludf.DUMMYFUNCTION("""COMPUTED_VALUE"""),270.0)</f>
        <v>270</v>
      </c>
      <c r="G70" s="241">
        <f>IFERROR(__xludf.DUMMYFUNCTION("""COMPUTED_VALUE"""),630.0)</f>
        <v>630</v>
      </c>
      <c r="H70" s="29" t="b">
        <f>IFERROR(__xludf.DUMMYFUNCTION("""COMPUTED_VALUE"""),TRUE)</f>
        <v>1</v>
      </c>
      <c r="I70" s="257"/>
      <c r="J70" s="29"/>
      <c r="K70" s="32">
        <f>IFERROR(__xludf.DUMMYFUNCTION("""COMPUTED_VALUE"""),45759.0)</f>
        <v>45759</v>
      </c>
      <c r="L70" s="29"/>
      <c r="M70" s="29"/>
      <c r="N70" s="29"/>
    </row>
    <row r="71">
      <c r="A71" s="32">
        <f>IFERROR(__xludf.DUMMYFUNCTION("""COMPUTED_VALUE"""),45759.0)</f>
        <v>45759</v>
      </c>
      <c r="B71" s="29" t="str">
        <f>IFERROR(__xludf.DUMMYFUNCTION("""COMPUTED_VALUE"""),"Pauline")</f>
        <v>Pauline</v>
      </c>
      <c r="C71" s="29" t="str">
        <f>IFERROR(__xludf.DUMMYFUNCTION("""COMPUTED_VALUE"""),"Shavest &amp; Co")</f>
        <v>Shavest &amp; Co</v>
      </c>
      <c r="D71" s="29" t="str">
        <f>IFERROR(__xludf.DUMMYFUNCTION("""COMPUTED_VALUE"""),"F250069")</f>
        <v>F250069</v>
      </c>
      <c r="E71" s="241">
        <f>IFERROR(__xludf.DUMMYFUNCTION("""COMPUTED_VALUE"""),200.0)</f>
        <v>200</v>
      </c>
      <c r="F71" s="241">
        <f>IFERROR(__xludf.DUMMYFUNCTION("""COMPUTED_VALUE"""),40.0)</f>
        <v>40</v>
      </c>
      <c r="G71" s="241">
        <f>IFERROR(__xludf.DUMMYFUNCTION("""COMPUTED_VALUE"""),160.0)</f>
        <v>160</v>
      </c>
      <c r="H71" s="29" t="b">
        <f>IFERROR(__xludf.DUMMYFUNCTION("""COMPUTED_VALUE"""),TRUE)</f>
        <v>1</v>
      </c>
      <c r="I71" s="257"/>
      <c r="J71" s="29"/>
      <c r="K71" s="32">
        <f>IFERROR(__xludf.DUMMYFUNCTION("""COMPUTED_VALUE"""),45759.0)</f>
        <v>45759</v>
      </c>
      <c r="L71" s="29"/>
      <c r="M71" s="29"/>
      <c r="N71" s="29"/>
    </row>
    <row r="72">
      <c r="A72" s="32">
        <f>IFERROR(__xludf.DUMMYFUNCTION("""COMPUTED_VALUE"""),45760.0)</f>
        <v>45760</v>
      </c>
      <c r="B72" s="29" t="str">
        <f>IFERROR(__xludf.DUMMYFUNCTION("""COMPUTED_VALUE"""),"Melissa Moped")</f>
        <v>Melissa Moped</v>
      </c>
      <c r="C72" s="29" t="str">
        <f>IFERROR(__xludf.DUMMYFUNCTION("""COMPUTED_VALUE"""),"KYRENA")</f>
        <v>KYRENA</v>
      </c>
      <c r="D72" s="29" t="str">
        <f>IFERROR(__xludf.DUMMYFUNCTION("""COMPUTED_VALUE"""),"F250070")</f>
        <v>F250070</v>
      </c>
      <c r="E72" s="241">
        <f>IFERROR(__xludf.DUMMYFUNCTION("""COMPUTED_VALUE"""),700.0)</f>
        <v>700</v>
      </c>
      <c r="F72" s="241">
        <f>IFERROR(__xludf.DUMMYFUNCTION("""COMPUTED_VALUE"""),700.0)</f>
        <v>700</v>
      </c>
      <c r="G72" s="241"/>
      <c r="H72" s="29" t="b">
        <f>IFERROR(__xludf.DUMMYFUNCTION("""COMPUTED_VALUE"""),TRUE)</f>
        <v>1</v>
      </c>
      <c r="I72" s="257"/>
      <c r="J72" s="29"/>
      <c r="K72" s="32">
        <f>IFERROR(__xludf.DUMMYFUNCTION("""COMPUTED_VALUE"""),45789.0)</f>
        <v>45789</v>
      </c>
      <c r="L72" s="29"/>
      <c r="M72" s="29" t="str">
        <f>IFERROR(__xludf.DUMMYFUNCTION("""COMPUTED_VALUE"""),"relance le 14/05")</f>
        <v>relance le 14/05</v>
      </c>
      <c r="N72" s="29"/>
    </row>
    <row r="73">
      <c r="A73" s="32">
        <f>IFERROR(__xludf.DUMMYFUNCTION("""COMPUTED_VALUE"""),45761.0)</f>
        <v>45761</v>
      </c>
      <c r="B73" s="29" t="str">
        <f>IFERROR(__xludf.DUMMYFUNCTION("""COMPUTED_VALUE"""),"Marine")</f>
        <v>Marine</v>
      </c>
      <c r="C73" s="29" t="str">
        <f>IFERROR(__xludf.DUMMYFUNCTION("""COMPUTED_VALUE"""),"Shavest &amp; Co")</f>
        <v>Shavest &amp; Co</v>
      </c>
      <c r="D73" s="29" t="str">
        <f>IFERROR(__xludf.DUMMYFUNCTION("""COMPUTED_VALUE"""),"F250071")</f>
        <v>F250071</v>
      </c>
      <c r="E73" s="241">
        <f>IFERROR(__xludf.DUMMYFUNCTION("""COMPUTED_VALUE"""),250.0)</f>
        <v>250</v>
      </c>
      <c r="F73" s="241">
        <f>IFERROR(__xludf.DUMMYFUNCTION("""COMPUTED_VALUE"""),75.0)</f>
        <v>75</v>
      </c>
      <c r="G73" s="241">
        <f>IFERROR(__xludf.DUMMYFUNCTION("""COMPUTED_VALUE"""),175.0)</f>
        <v>175</v>
      </c>
      <c r="H73" s="29" t="b">
        <f>IFERROR(__xludf.DUMMYFUNCTION("""COMPUTED_VALUE"""),TRUE)</f>
        <v>1</v>
      </c>
      <c r="I73" s="257"/>
      <c r="J73" s="29"/>
      <c r="K73" s="32">
        <f>IFERROR(__xludf.DUMMYFUNCTION("""COMPUTED_VALUE"""),45790.0)</f>
        <v>45790</v>
      </c>
      <c r="L73" s="29"/>
      <c r="M73" s="29"/>
      <c r="N73" s="29"/>
    </row>
    <row r="74">
      <c r="A74" s="32">
        <f>IFERROR(__xludf.DUMMYFUNCTION("""COMPUTED_VALUE"""),45768.0)</f>
        <v>45768</v>
      </c>
      <c r="B74" s="29" t="str">
        <f>IFERROR(__xludf.DUMMYFUNCTION("""COMPUTED_VALUE"""),"Camille")</f>
        <v>Camille</v>
      </c>
      <c r="C74" s="29" t="str">
        <f>IFERROR(__xludf.DUMMYFUNCTION("""COMPUTED_VALUE"""),"WOO Garnier bronzant")</f>
        <v>WOO Garnier bronzant</v>
      </c>
      <c r="D74" s="29" t="str">
        <f>IFERROR(__xludf.DUMMYFUNCTION("""COMPUTED_VALUE"""),"F250075")</f>
        <v>F250075</v>
      </c>
      <c r="E74" s="241">
        <f>IFERROR(__xludf.DUMMYFUNCTION("""COMPUTED_VALUE"""),1250.0)</f>
        <v>1250</v>
      </c>
      <c r="F74" s="241">
        <f>IFERROR(__xludf.DUMMYFUNCTION("""COMPUTED_VALUE"""),312.5)</f>
        <v>312.5</v>
      </c>
      <c r="G74" s="241">
        <f>IFERROR(__xludf.DUMMYFUNCTION("""COMPUTED_VALUE"""),937.5)</f>
        <v>937.5</v>
      </c>
      <c r="H74" s="29" t="b">
        <f>IFERROR(__xludf.DUMMYFUNCTION("""COMPUTED_VALUE"""),FALSE)</f>
        <v>0</v>
      </c>
      <c r="I74" s="257"/>
      <c r="J74" s="29"/>
      <c r="K74" s="32">
        <f>IFERROR(__xludf.DUMMYFUNCTION("""COMPUTED_VALUE"""),45808.0)</f>
        <v>45808</v>
      </c>
      <c r="L74" s="29"/>
      <c r="M74" s="29"/>
      <c r="N74" s="29"/>
    </row>
    <row r="75">
      <c r="A75" s="32">
        <f>IFERROR(__xludf.DUMMYFUNCTION("""COMPUTED_VALUE"""),45768.0)</f>
        <v>45768</v>
      </c>
      <c r="B75" s="29" t="str">
        <f>IFERROR(__xludf.DUMMYFUNCTION("""COMPUTED_VALUE"""),"Lola")</f>
        <v>Lola</v>
      </c>
      <c r="C75" s="29" t="str">
        <f>IFERROR(__xludf.DUMMYFUNCTION("""COMPUTED_VALUE"""),"Laboratoires Vitarmonyl Vitavea")</f>
        <v>Laboratoires Vitarmonyl Vitavea</v>
      </c>
      <c r="D75" s="29" t="str">
        <f>IFERROR(__xludf.DUMMYFUNCTION("""COMPUTED_VALUE"""),"F250077")</f>
        <v>F250077</v>
      </c>
      <c r="E75" s="241">
        <f>IFERROR(__xludf.DUMMYFUNCTION("""COMPUTED_VALUE"""),500.0)</f>
        <v>500</v>
      </c>
      <c r="F75" s="241">
        <f>IFERROR(__xludf.DUMMYFUNCTION("""COMPUTED_VALUE"""),150.0)</f>
        <v>150</v>
      </c>
      <c r="G75" s="241">
        <f>IFERROR(__xludf.DUMMYFUNCTION("""COMPUTED_VALUE"""),350.0)</f>
        <v>350</v>
      </c>
      <c r="H75" s="29" t="b">
        <f>IFERROR(__xludf.DUMMYFUNCTION("""COMPUTED_VALUE"""),TRUE)</f>
        <v>1</v>
      </c>
      <c r="I75" s="257"/>
      <c r="J75" s="29"/>
      <c r="K75" s="32">
        <f>IFERROR(__xludf.DUMMYFUNCTION("""COMPUTED_VALUE"""),45828.0)</f>
        <v>45828</v>
      </c>
      <c r="L75" s="29"/>
      <c r="M75" s="29"/>
      <c r="N75" s="29"/>
    </row>
    <row r="76">
      <c r="A76" s="32">
        <f>IFERROR(__xludf.DUMMYFUNCTION("""COMPUTED_VALUE"""),45763.0)</f>
        <v>45763</v>
      </c>
      <c r="B76" s="29" t="str">
        <f>IFERROR(__xludf.DUMMYFUNCTION("""COMPUTED_VALUE"""),"Lily Noël")</f>
        <v>Lily Noël</v>
      </c>
      <c r="C76" s="29" t="str">
        <f>IFERROR(__xludf.DUMMYFUNCTION("""COMPUTED_VALUE"""),"Aries Network Limited Voghion")</f>
        <v>Aries Network Limited Voghion</v>
      </c>
      <c r="D76" s="29" t="str">
        <f>IFERROR(__xludf.DUMMYFUNCTION("""COMPUTED_VALUE"""),"F250074")</f>
        <v>F250074</v>
      </c>
      <c r="E76" s="241">
        <f>IFERROR(__xludf.DUMMYFUNCTION("""COMPUTED_VALUE"""),500.0)</f>
        <v>500</v>
      </c>
      <c r="F76" s="241">
        <f>IFERROR(__xludf.DUMMYFUNCTION("""COMPUTED_VALUE"""),125.0)</f>
        <v>125</v>
      </c>
      <c r="G76" s="241">
        <f>IFERROR(__xludf.DUMMYFUNCTION("""COMPUTED_VALUE"""),375.0)</f>
        <v>375</v>
      </c>
      <c r="H76" s="29" t="b">
        <f>IFERROR(__xludf.DUMMYFUNCTION("""COMPUTED_VALUE"""),TRUE)</f>
        <v>1</v>
      </c>
      <c r="I76" s="257"/>
      <c r="J76" s="29"/>
      <c r="K76" s="32">
        <f>IFERROR(__xludf.DUMMYFUNCTION("""COMPUTED_VALUE"""),45798.0)</f>
        <v>45798</v>
      </c>
      <c r="L76" s="29"/>
      <c r="M76" s="29"/>
      <c r="N76" s="29"/>
    </row>
    <row r="77">
      <c r="A77" s="32">
        <f>IFERROR(__xludf.DUMMYFUNCTION("""COMPUTED_VALUE"""),45768.0)</f>
        <v>45768</v>
      </c>
      <c r="B77" s="29" t="str">
        <f>IFERROR(__xludf.DUMMYFUNCTION("""COMPUTED_VALUE"""),"Marine")</f>
        <v>Marine</v>
      </c>
      <c r="C77" s="29" t="str">
        <f>IFERROR(__xludf.DUMMYFUNCTION("""COMPUTED_VALUE"""),"Wandernana")</f>
        <v>Wandernana</v>
      </c>
      <c r="D77" s="29" t="str">
        <f>IFERROR(__xludf.DUMMYFUNCTION("""COMPUTED_VALUE"""),"F250078")</f>
        <v>F250078</v>
      </c>
      <c r="E77" s="241">
        <f>IFERROR(__xludf.DUMMYFUNCTION("""COMPUTED_VALUE"""),300.0)</f>
        <v>300</v>
      </c>
      <c r="F77" s="241">
        <f>IFERROR(__xludf.DUMMYFUNCTION("""COMPUTED_VALUE"""),90.0)</f>
        <v>90</v>
      </c>
      <c r="G77" s="241">
        <f>IFERROR(__xludf.DUMMYFUNCTION("""COMPUTED_VALUE"""),210.0)</f>
        <v>210</v>
      </c>
      <c r="H77" s="29" t="b">
        <f>IFERROR(__xludf.DUMMYFUNCTION("""COMPUTED_VALUE"""),TRUE)</f>
        <v>1</v>
      </c>
      <c r="I77" s="257"/>
      <c r="J77" s="29"/>
      <c r="K77" s="32">
        <f>IFERROR(__xludf.DUMMYFUNCTION("""COMPUTED_VALUE"""),45793.0)</f>
        <v>45793</v>
      </c>
      <c r="L77" s="29"/>
      <c r="M77" s="29"/>
      <c r="N77" s="29"/>
    </row>
    <row r="78">
      <c r="A78" s="32">
        <f>IFERROR(__xludf.DUMMYFUNCTION("""COMPUTED_VALUE"""),45756.0)</f>
        <v>45756</v>
      </c>
      <c r="B78" s="29" t="str">
        <f>IFERROR(__xludf.DUMMYFUNCTION("""COMPUTED_VALUE"""),"Anaïs")</f>
        <v>Anaïs</v>
      </c>
      <c r="C78" s="29" t="str">
        <f>IFERROR(__xludf.DUMMYFUNCTION("""COMPUTED_VALUE"""),"Feel My Skin")</f>
        <v>Feel My Skin</v>
      </c>
      <c r="D78" s="29" t="str">
        <f>IFERROR(__xludf.DUMMYFUNCTION("""COMPUTED_VALUE"""),"F250065")</f>
        <v>F250065</v>
      </c>
      <c r="E78" s="241">
        <f>IFERROR(__xludf.DUMMYFUNCTION("""COMPUTED_VALUE"""),1200.0)</f>
        <v>1200</v>
      </c>
      <c r="F78" s="241">
        <f>IFERROR(__xludf.DUMMYFUNCTION("""COMPUTED_VALUE"""),360.0)</f>
        <v>360</v>
      </c>
      <c r="G78" s="241">
        <f>IFERROR(__xludf.DUMMYFUNCTION("""COMPUTED_VALUE"""),840.0)</f>
        <v>840</v>
      </c>
      <c r="H78" s="29" t="b">
        <f>IFERROR(__xludf.DUMMYFUNCTION("""COMPUTED_VALUE"""),TRUE)</f>
        <v>1</v>
      </c>
      <c r="I78" s="257"/>
      <c r="J78" s="29" t="str">
        <f>IFERROR(__xludf.DUMMYFUNCTION("""COMPUTED_VALUE"""),"-150€ pour Biocyte")</f>
        <v>-150€ pour Biocyte</v>
      </c>
      <c r="K78" s="32">
        <f>IFERROR(__xludf.DUMMYFUNCTION("""COMPUTED_VALUE"""),45798.0)</f>
        <v>45798</v>
      </c>
      <c r="L78" s="29"/>
      <c r="M78" s="29"/>
      <c r="N78" s="29"/>
    </row>
    <row r="79">
      <c r="A79" s="32">
        <f>IFERROR(__xludf.DUMMYFUNCTION("""COMPUTED_VALUE"""),45772.0)</f>
        <v>45772</v>
      </c>
      <c r="B79" s="29" t="str">
        <f>IFERROR(__xludf.DUMMYFUNCTION("""COMPUTED_VALUE"""),"Morgane")</f>
        <v>Morgane</v>
      </c>
      <c r="C79" s="29" t="str">
        <f>IFERROR(__xludf.DUMMYFUNCTION("""COMPUTED_VALUE"""),"WOO Garnier")</f>
        <v>WOO Garnier</v>
      </c>
      <c r="D79" s="29" t="str">
        <f>IFERROR(__xludf.DUMMYFUNCTION("""COMPUTED_VALUE"""),"F250082")</f>
        <v>F250082</v>
      </c>
      <c r="E79" s="241">
        <f>IFERROR(__xludf.DUMMYFUNCTION("""COMPUTED_VALUE"""),125.0)</f>
        <v>125</v>
      </c>
      <c r="F79" s="241">
        <f>IFERROR(__xludf.DUMMYFUNCTION("""COMPUTED_VALUE"""),37.5)</f>
        <v>37.5</v>
      </c>
      <c r="G79" s="241">
        <f>IFERROR(__xludf.DUMMYFUNCTION("""COMPUTED_VALUE"""),87.5)</f>
        <v>87.5</v>
      </c>
      <c r="H79" s="29" t="b">
        <f>IFERROR(__xludf.DUMMYFUNCTION("""COMPUTED_VALUE"""),TRUE)</f>
        <v>1</v>
      </c>
      <c r="I79" s="257"/>
      <c r="J79" s="29"/>
      <c r="K79" s="32">
        <f>IFERROR(__xludf.DUMMYFUNCTION("""COMPUTED_VALUE"""),45808.0)</f>
        <v>45808</v>
      </c>
      <c r="L79" s="29"/>
      <c r="M79" s="29"/>
      <c r="N79" s="29"/>
    </row>
    <row r="80">
      <c r="A80" s="32">
        <f>IFERROR(__xludf.DUMMYFUNCTION("""COMPUTED_VALUE"""),45774.0)</f>
        <v>45774</v>
      </c>
      <c r="B80" s="29" t="str">
        <f>IFERROR(__xludf.DUMMYFUNCTION("""COMPUTED_VALUE"""),"Imane, Juliane, Anaïs")</f>
        <v>Imane, Juliane, Anaïs</v>
      </c>
      <c r="C80" s="29" t="str">
        <f>IFERROR(__xludf.DUMMYFUNCTION("""COMPUTED_VALUE"""),"Seyaka Musc Intime")</f>
        <v>Seyaka Musc Intime</v>
      </c>
      <c r="D80" s="29" t="str">
        <f>IFERROR(__xludf.DUMMYFUNCTION("""COMPUTED_VALUE"""),"F250084")</f>
        <v>F250084</v>
      </c>
      <c r="E80" s="241">
        <f>IFERROR(__xludf.DUMMYFUNCTION("""COMPUTED_VALUE"""),1550.0)</f>
        <v>1550</v>
      </c>
      <c r="F80" s="241">
        <f>IFERROR(__xludf.DUMMYFUNCTION("""COMPUTED_VALUE"""),465.0)</f>
        <v>465</v>
      </c>
      <c r="G80" s="241">
        <f>IFERROR(__xludf.DUMMYFUNCTION("""COMPUTED_VALUE"""),1085.0)</f>
        <v>1085</v>
      </c>
      <c r="H80" s="29" t="b">
        <f>IFERROR(__xludf.DUMMYFUNCTION("""COMPUTED_VALUE"""),TRUE)</f>
        <v>1</v>
      </c>
      <c r="I80" s="257"/>
      <c r="J80" s="29"/>
      <c r="K80" s="32">
        <f>IFERROR(__xludf.DUMMYFUNCTION("""COMPUTED_VALUE"""),45802.0)</f>
        <v>45802</v>
      </c>
      <c r="L80" s="29"/>
      <c r="M80" s="29"/>
      <c r="N80" s="29"/>
    </row>
    <row r="81">
      <c r="A81" s="32">
        <f>IFERROR(__xludf.DUMMYFUNCTION("""COMPUTED_VALUE"""),45769.0)</f>
        <v>45769</v>
      </c>
      <c r="B81" s="29" t="str">
        <f>IFERROR(__xludf.DUMMYFUNCTION("""COMPUTED_VALUE"""),"Amani + Hidaya")</f>
        <v>Amani + Hidaya</v>
      </c>
      <c r="C81" s="29" t="str">
        <f>IFERROR(__xludf.DUMMYFUNCTION("""COMPUTED_VALUE"""),"Craver SKIN1004")</f>
        <v>Craver SKIN1004</v>
      </c>
      <c r="D81" s="29" t="str">
        <f>IFERROR(__xludf.DUMMYFUNCTION("""COMPUTED_VALUE"""),"F250079")</f>
        <v>F250079</v>
      </c>
      <c r="E81" s="241">
        <f>IFERROR(__xludf.DUMMYFUNCTION("""COMPUTED_VALUE"""),4000.0)</f>
        <v>4000</v>
      </c>
      <c r="F81" s="241">
        <f>IFERROR(__xludf.DUMMYFUNCTION("""COMPUTED_VALUE"""),1200.0)</f>
        <v>1200</v>
      </c>
      <c r="G81" s="241">
        <f>IFERROR(__xludf.DUMMYFUNCTION("""COMPUTED_VALUE"""),2800.0)</f>
        <v>2800</v>
      </c>
      <c r="H81" s="29" t="b">
        <f>IFERROR(__xludf.DUMMYFUNCTION("""COMPUTED_VALUE"""),TRUE)</f>
        <v>1</v>
      </c>
      <c r="I81" s="257"/>
      <c r="J81" s="29"/>
      <c r="K81" s="32">
        <f>IFERROR(__xludf.DUMMYFUNCTION("""COMPUTED_VALUE"""),45804.0)</f>
        <v>45804</v>
      </c>
      <c r="L81" s="29"/>
      <c r="M81" s="29"/>
      <c r="N81" s="29"/>
    </row>
    <row r="82">
      <c r="A82" s="32">
        <f>IFERROR(__xludf.DUMMYFUNCTION("""COMPUTED_VALUE"""),45770.0)</f>
        <v>45770</v>
      </c>
      <c r="B82" s="29" t="str">
        <f>IFERROR(__xludf.DUMMYFUNCTION("""COMPUTED_VALUE"""),"Sofia")</f>
        <v>Sofia</v>
      </c>
      <c r="C82" s="29" t="str">
        <f>IFERROR(__xludf.DUMMYFUNCTION("""COMPUTED_VALUE"""),"Voodoo Sofia")</f>
        <v>Voodoo Sofia</v>
      </c>
      <c r="D82" s="29" t="str">
        <f>IFERROR(__xludf.DUMMYFUNCTION("""COMPUTED_VALUE"""),"F250080")</f>
        <v>F250080</v>
      </c>
      <c r="E82" s="241">
        <f>IFERROR(__xludf.DUMMYFUNCTION("""COMPUTED_VALUE"""),200.0)</f>
        <v>200</v>
      </c>
      <c r="F82" s="241">
        <f>IFERROR(__xludf.DUMMYFUNCTION("""COMPUTED_VALUE"""),60.0)</f>
        <v>60</v>
      </c>
      <c r="G82" s="241">
        <f>IFERROR(__xludf.DUMMYFUNCTION("""COMPUTED_VALUE"""),140.0)</f>
        <v>140</v>
      </c>
      <c r="H82" s="29" t="b">
        <f>IFERROR(__xludf.DUMMYFUNCTION("""COMPUTED_VALUE"""),TRUE)</f>
        <v>1</v>
      </c>
      <c r="I82" s="257"/>
      <c r="J82" s="29"/>
      <c r="K82" s="32">
        <f>IFERROR(__xludf.DUMMYFUNCTION("""COMPUTED_VALUE"""),45799.0)</f>
        <v>45799</v>
      </c>
      <c r="L82" s="29"/>
      <c r="M82" s="29"/>
      <c r="N82" s="29"/>
    </row>
    <row r="83">
      <c r="A83" s="32">
        <f>IFERROR(__xludf.DUMMYFUNCTION("""COMPUTED_VALUE"""),45775.0)</f>
        <v>45775</v>
      </c>
      <c r="B83" s="29" t="str">
        <f>IFERROR(__xludf.DUMMYFUNCTION("""COMPUTED_VALUE"""),"Pauline")</f>
        <v>Pauline</v>
      </c>
      <c r="C83" s="29" t="str">
        <f>IFERROR(__xludf.DUMMYFUNCTION("""COMPUTED_VALUE"""),"Laboratoires Vitarmonyl Vitavea")</f>
        <v>Laboratoires Vitarmonyl Vitavea</v>
      </c>
      <c r="D83" s="29" t="str">
        <f>IFERROR(__xludf.DUMMYFUNCTION("""COMPUTED_VALUE"""),"F250085")</f>
        <v>F250085</v>
      </c>
      <c r="E83" s="241">
        <f>IFERROR(__xludf.DUMMYFUNCTION("""COMPUTED_VALUE"""),250.0)</f>
        <v>250</v>
      </c>
      <c r="F83" s="241">
        <f>IFERROR(__xludf.DUMMYFUNCTION("""COMPUTED_VALUE"""),50.0)</f>
        <v>50</v>
      </c>
      <c r="G83" s="241">
        <f>IFERROR(__xludf.DUMMYFUNCTION("""COMPUTED_VALUE"""),200.0)</f>
        <v>200</v>
      </c>
      <c r="H83" s="29" t="b">
        <f>IFERROR(__xludf.DUMMYFUNCTION("""COMPUTED_VALUE"""),TRUE)</f>
        <v>1</v>
      </c>
      <c r="I83" s="257"/>
      <c r="J83" s="29" t="str">
        <f>IFERROR(__xludf.DUMMYFUNCTION("""COMPUTED_VALUE"""),"-200 pour pauline")</f>
        <v>-200 pour pauline</v>
      </c>
      <c r="K83" s="32">
        <f>IFERROR(__xludf.DUMMYFUNCTION("""COMPUTED_VALUE"""),45830.0)</f>
        <v>45830</v>
      </c>
      <c r="L83" s="29"/>
      <c r="M83" s="29"/>
      <c r="N83" s="29"/>
    </row>
    <row r="84">
      <c r="A84" s="32">
        <f>IFERROR(__xludf.DUMMYFUNCTION("""COMPUTED_VALUE"""),45779.0)</f>
        <v>45779</v>
      </c>
      <c r="B84" s="29" t="str">
        <f>IFERROR(__xludf.DUMMYFUNCTION("""COMPUTED_VALUE"""),"Sirine")</f>
        <v>Sirine</v>
      </c>
      <c r="C84" s="29" t="str">
        <f>IFERROR(__xludf.DUMMYFUNCTION("""COMPUTED_VALUE"""),"Wandernana")</f>
        <v>Wandernana</v>
      </c>
      <c r="D84" s="29" t="str">
        <f>IFERROR(__xludf.DUMMYFUNCTION("""COMPUTED_VALUE"""),"F250086")</f>
        <v>F250086</v>
      </c>
      <c r="E84" s="241">
        <f>IFERROR(__xludf.DUMMYFUNCTION("""COMPUTED_VALUE"""),400.0)</f>
        <v>400</v>
      </c>
      <c r="F84" s="241">
        <f>IFERROR(__xludf.DUMMYFUNCTION("""COMPUTED_VALUE"""),120.0)</f>
        <v>120</v>
      </c>
      <c r="G84" s="241">
        <f>IFERROR(__xludf.DUMMYFUNCTION("""COMPUTED_VALUE"""),280.0)</f>
        <v>280</v>
      </c>
      <c r="H84" s="29" t="b">
        <f>IFERROR(__xludf.DUMMYFUNCTION("""COMPUTED_VALUE"""),TRUE)</f>
        <v>1</v>
      </c>
      <c r="I84" s="257"/>
      <c r="J84" s="29"/>
      <c r="K84" s="32">
        <f>IFERROR(__xludf.DUMMYFUNCTION("""COMPUTED_VALUE"""),45805.0)</f>
        <v>45805</v>
      </c>
      <c r="L84" s="29"/>
      <c r="M84" s="29"/>
      <c r="N84" s="29"/>
    </row>
    <row r="85">
      <c r="A85" s="32">
        <f>IFERROR(__xludf.DUMMYFUNCTION("""COMPUTED_VALUE"""),45774.0)</f>
        <v>45774</v>
      </c>
      <c r="B85" s="29" t="str">
        <f>IFERROR(__xludf.DUMMYFUNCTION("""COMPUTED_VALUE"""),"Sarah, Camille, Marine")</f>
        <v>Sarah, Camille, Marine</v>
      </c>
      <c r="C85" s="29" t="str">
        <f>IFERROR(__xludf.DUMMYFUNCTION("""COMPUTED_VALUE"""),"Haru Haru Wonder")</f>
        <v>Haru Haru Wonder</v>
      </c>
      <c r="D85" s="29" t="str">
        <f>IFERROR(__xludf.DUMMYFUNCTION("""COMPUTED_VALUE"""),"F250083")</f>
        <v>F250083</v>
      </c>
      <c r="E85" s="241">
        <f>IFERROR(__xludf.DUMMYFUNCTION("""COMPUTED_VALUE"""),2833.71)</f>
        <v>2833.71</v>
      </c>
      <c r="F85" s="241">
        <f>IFERROR(__xludf.DUMMYFUNCTION("""COMPUTED_VALUE"""),850.1129999999999)</f>
        <v>850.113</v>
      </c>
      <c r="G85" s="241">
        <f>IFERROR(__xludf.DUMMYFUNCTION("""COMPUTED_VALUE"""),1983.5970000000002)</f>
        <v>1983.597</v>
      </c>
      <c r="H85" s="29" t="b">
        <f>IFERROR(__xludf.DUMMYFUNCTION("""COMPUTED_VALUE"""),TRUE)</f>
        <v>1</v>
      </c>
      <c r="I85" s="257"/>
      <c r="J85" s="29"/>
      <c r="K85" s="32">
        <f>IFERROR(__xludf.DUMMYFUNCTION("""COMPUTED_VALUE"""),45809.0)</f>
        <v>45809</v>
      </c>
      <c r="L85" s="29"/>
      <c r="M85" s="29"/>
      <c r="N85" s="29"/>
    </row>
    <row r="86">
      <c r="A86" s="32">
        <f>IFERROR(__xludf.DUMMYFUNCTION("""COMPUTED_VALUE"""),45779.0)</f>
        <v>45779</v>
      </c>
      <c r="B86" s="29" t="str">
        <f>IFERROR(__xludf.DUMMYFUNCTION("""COMPUTED_VALUE"""),"Aïcha")</f>
        <v>Aïcha</v>
      </c>
      <c r="C86" s="29" t="str">
        <f>IFERROR(__xludf.DUMMYFUNCTION("""COMPUTED_VALUE"""),"Aries Network Limited Voghion")</f>
        <v>Aries Network Limited Voghion</v>
      </c>
      <c r="D86" s="29" t="str">
        <f>IFERROR(__xludf.DUMMYFUNCTION("""COMPUTED_VALUE"""),"F250087")</f>
        <v>F250087</v>
      </c>
      <c r="E86" s="241">
        <f>IFERROR(__xludf.DUMMYFUNCTION("""COMPUTED_VALUE"""),250.0)</f>
        <v>250</v>
      </c>
      <c r="F86" s="241">
        <f>IFERROR(__xludf.DUMMYFUNCTION("""COMPUTED_VALUE"""),75.0)</f>
        <v>75</v>
      </c>
      <c r="G86" s="241">
        <f>IFERROR(__xludf.DUMMYFUNCTION("""COMPUTED_VALUE"""),175.0)</f>
        <v>175</v>
      </c>
      <c r="H86" s="29" t="b">
        <f>IFERROR(__xludf.DUMMYFUNCTION("""COMPUTED_VALUE"""),TRUE)</f>
        <v>1</v>
      </c>
      <c r="I86" s="257"/>
      <c r="J86" s="29"/>
      <c r="K86" s="32">
        <f>IFERROR(__xludf.DUMMYFUNCTION("""COMPUTED_VALUE"""),45804.0)</f>
        <v>45804</v>
      </c>
      <c r="L86" s="29"/>
      <c r="M86" s="29"/>
      <c r="N86" s="29"/>
    </row>
    <row r="87">
      <c r="A87" s="32">
        <f>IFERROR(__xludf.DUMMYFUNCTION("""COMPUTED_VALUE"""),45781.0)</f>
        <v>45781</v>
      </c>
      <c r="B87" s="29" t="str">
        <f>IFERROR(__xludf.DUMMYFUNCTION("""COMPUTED_VALUE"""),"Lily Noël")</f>
        <v>Lily Noël</v>
      </c>
      <c r="C87" s="29" t="str">
        <f>IFERROR(__xludf.DUMMYFUNCTION("""COMPUTED_VALUE"""),"WOO MNY")</f>
        <v>WOO MNY</v>
      </c>
      <c r="D87" s="29" t="str">
        <f>IFERROR(__xludf.DUMMYFUNCTION("""COMPUTED_VALUE"""),"F250089")</f>
        <v>F250089</v>
      </c>
      <c r="E87" s="241">
        <f>IFERROR(__xludf.DUMMYFUNCTION("""COMPUTED_VALUE"""),1125.0)</f>
        <v>1125</v>
      </c>
      <c r="F87" s="241">
        <f>IFERROR(__xludf.DUMMYFUNCTION("""COMPUTED_VALUE"""),281.25)</f>
        <v>281.25</v>
      </c>
      <c r="G87" s="241">
        <f>IFERROR(__xludf.DUMMYFUNCTION("""COMPUTED_VALUE"""),843.75)</f>
        <v>843.75</v>
      </c>
      <c r="H87" s="29" t="b">
        <f>IFERROR(__xludf.DUMMYFUNCTION("""COMPUTED_VALUE"""),FALSE)</f>
        <v>0</v>
      </c>
      <c r="I87" s="257"/>
      <c r="J87" s="29"/>
      <c r="K87" s="32">
        <f>IFERROR(__xludf.DUMMYFUNCTION("""COMPUTED_VALUE"""),45808.0)</f>
        <v>45808</v>
      </c>
      <c r="L87" s="29"/>
      <c r="M87" s="29"/>
      <c r="N87" s="29"/>
    </row>
    <row r="88">
      <c r="A88" s="32">
        <f>IFERROR(__xludf.DUMMYFUNCTION("""COMPUTED_VALUE"""),45784.0)</f>
        <v>45784</v>
      </c>
      <c r="B88" s="29" t="str">
        <f>IFERROR(__xludf.DUMMYFUNCTION("""COMPUTED_VALUE"""),"---")</f>
        <v>---</v>
      </c>
      <c r="C88" s="29" t="str">
        <f>IFERROR(__xludf.DUMMYFUNCTION("""COMPUTED_VALUE"""),"Myriam K")</f>
        <v>Myriam K</v>
      </c>
      <c r="D88" s="29" t="str">
        <f>IFERROR(__xludf.DUMMYFUNCTION("""COMPUTED_VALUE"""),"F250092")</f>
        <v>F250092</v>
      </c>
      <c r="E88" s="241">
        <f>IFERROR(__xludf.DUMMYFUNCTION("""COMPUTED_VALUE"""),3740.0)</f>
        <v>3740</v>
      </c>
      <c r="F88" s="241">
        <f>IFERROR(__xludf.DUMMYFUNCTION("""COMPUTED_VALUE"""),1165.0)</f>
        <v>1165</v>
      </c>
      <c r="G88" s="241">
        <f>IFERROR(__xludf.DUMMYFUNCTION("""COMPUTED_VALUE"""),2575.0)</f>
        <v>2575</v>
      </c>
      <c r="H88" s="29" t="b">
        <f>IFERROR(__xludf.DUMMYFUNCTION("""COMPUTED_VALUE"""),TRUE)</f>
        <v>1</v>
      </c>
      <c r="I88" s="257"/>
      <c r="J88" s="29"/>
      <c r="K88" s="32">
        <f>IFERROR(__xludf.DUMMYFUNCTION("""COMPUTED_VALUE"""),45811.0)</f>
        <v>45811</v>
      </c>
      <c r="L88" s="29"/>
      <c r="M88" s="29"/>
      <c r="N88" s="29"/>
    </row>
    <row r="89">
      <c r="A89" s="32">
        <f>IFERROR(__xludf.DUMMYFUNCTION("""COMPUTED_VALUE"""),45772.0)</f>
        <v>45772</v>
      </c>
      <c r="B89" s="29" t="str">
        <f>IFERROR(__xludf.DUMMYFUNCTION("""COMPUTED_VALUE"""),"Anaïs")</f>
        <v>Anaïs</v>
      </c>
      <c r="C89" s="29" t="str">
        <f>IFERROR(__xludf.DUMMYFUNCTION("""COMPUTED_VALUE"""),"Current Body The Beauty Tech")</f>
        <v>Current Body The Beauty Tech</v>
      </c>
      <c r="D89" s="29" t="str">
        <f>IFERROR(__xludf.DUMMYFUNCTION("""COMPUTED_VALUE"""),"F250081")</f>
        <v>F250081</v>
      </c>
      <c r="E89" s="241">
        <f>IFERROR(__xludf.DUMMYFUNCTION("""COMPUTED_VALUE"""),800.0)</f>
        <v>800</v>
      </c>
      <c r="F89" s="241">
        <f>IFERROR(__xludf.DUMMYFUNCTION("""COMPUTED_VALUE"""),240.0)</f>
        <v>240</v>
      </c>
      <c r="G89" s="241">
        <f>IFERROR(__xludf.DUMMYFUNCTION("""COMPUTED_VALUE"""),560.0)</f>
        <v>560</v>
      </c>
      <c r="H89" s="29" t="b">
        <f>IFERROR(__xludf.DUMMYFUNCTION("""COMPUTED_VALUE"""),TRUE)</f>
        <v>1</v>
      </c>
      <c r="I89" s="257"/>
      <c r="J89" s="29"/>
      <c r="K89" s="32">
        <f>IFERROR(__xludf.DUMMYFUNCTION("""COMPUTED_VALUE"""),45814.0)</f>
        <v>45814</v>
      </c>
      <c r="L89" s="29"/>
      <c r="M89" s="29"/>
      <c r="N89" s="29"/>
    </row>
    <row r="90">
      <c r="A90" s="32">
        <f>IFERROR(__xludf.DUMMYFUNCTION("""COMPUTED_VALUE"""),45781.0)</f>
        <v>45781</v>
      </c>
      <c r="B90" s="29" t="str">
        <f>IFERROR(__xludf.DUMMYFUNCTION("""COMPUTED_VALUE"""),"---")</f>
        <v>---</v>
      </c>
      <c r="C90" s="29" t="str">
        <f>IFERROR(__xludf.DUMMYFUNCTION("""COMPUTED_VALUE"""),"Glamstar / Stylevana")</f>
        <v>Glamstar / Stylevana</v>
      </c>
      <c r="D90" s="29" t="str">
        <f>IFERROR(__xludf.DUMMYFUNCTION("""COMPUTED_VALUE"""),"F250088")</f>
        <v>F250088</v>
      </c>
      <c r="E90" s="241">
        <f>IFERROR(__xludf.DUMMYFUNCTION("""COMPUTED_VALUE"""),2800.0)</f>
        <v>2800</v>
      </c>
      <c r="F90" s="241">
        <f>IFERROR(__xludf.DUMMYFUNCTION("""COMPUTED_VALUE"""),840.0)</f>
        <v>840</v>
      </c>
      <c r="G90" s="241">
        <f>IFERROR(__xludf.DUMMYFUNCTION("""COMPUTED_VALUE"""),1960.0)</f>
        <v>1960</v>
      </c>
      <c r="H90" s="29" t="b">
        <f>IFERROR(__xludf.DUMMYFUNCTION("""COMPUTED_VALUE"""),TRUE)</f>
        <v>1</v>
      </c>
      <c r="I90" s="257"/>
      <c r="J90" s="29"/>
      <c r="K90" s="32">
        <f>IFERROR(__xludf.DUMMYFUNCTION("""COMPUTED_VALUE"""),45802.0)</f>
        <v>45802</v>
      </c>
      <c r="L90" s="29"/>
      <c r="M90" s="29"/>
      <c r="N90" s="29"/>
    </row>
    <row r="91">
      <c r="A91" s="32">
        <f>IFERROR(__xludf.DUMMYFUNCTION("""COMPUTED_VALUE"""),45714.0)</f>
        <v>45714</v>
      </c>
      <c r="B91" s="29" t="str">
        <f>IFERROR(__xludf.DUMMYFUNCTION("""COMPUTED_VALUE"""),"Lily Noël")</f>
        <v>Lily Noël</v>
      </c>
      <c r="C91" s="29" t="str">
        <f>IFERROR(__xludf.DUMMYFUNCTION("""COMPUTED_VALUE"""),"WOO NYX")</f>
        <v>WOO NYX</v>
      </c>
      <c r="D91" s="29" t="str">
        <f>IFERROR(__xludf.DUMMYFUNCTION("""COMPUTED_VALUE"""),"F250023")</f>
        <v>F250023</v>
      </c>
      <c r="E91" s="241">
        <f>IFERROR(__xludf.DUMMYFUNCTION("""COMPUTED_VALUE"""),810.0)</f>
        <v>810</v>
      </c>
      <c r="F91" s="241">
        <f>IFERROR(__xludf.DUMMYFUNCTION("""COMPUTED_VALUE"""),202.5)</f>
        <v>202.5</v>
      </c>
      <c r="G91" s="241">
        <f>IFERROR(__xludf.DUMMYFUNCTION("""COMPUTED_VALUE"""),607.5)</f>
        <v>607.5</v>
      </c>
      <c r="H91" s="29" t="b">
        <f>IFERROR(__xludf.DUMMYFUNCTION("""COMPUTED_VALUE"""),TRUE)</f>
        <v>1</v>
      </c>
      <c r="I91" s="257"/>
      <c r="J91" s="29"/>
      <c r="K91" s="32">
        <f>IFERROR(__xludf.DUMMYFUNCTION("""COMPUTED_VALUE"""),45747.0)</f>
        <v>45747</v>
      </c>
      <c r="L91" s="29"/>
      <c r="M91" s="29"/>
      <c r="N91" s="29"/>
    </row>
    <row r="92">
      <c r="A92" s="32">
        <f>IFERROR(__xludf.DUMMYFUNCTION("""COMPUTED_VALUE"""),45781.0)</f>
        <v>45781</v>
      </c>
      <c r="B92" s="29" t="str">
        <f>IFERROR(__xludf.DUMMYFUNCTION("""COMPUTED_VALUE"""),"Orane / Camille")</f>
        <v>Orane / Camille</v>
      </c>
      <c r="C92" s="29" t="str">
        <f>IFERROR(__xludf.DUMMYFUNCTION("""COMPUTED_VALUE"""),"BYS ")</f>
        <v>BYS </v>
      </c>
      <c r="D92" s="29" t="str">
        <f>IFERROR(__xludf.DUMMYFUNCTION("""COMPUTED_VALUE"""),"F250090")</f>
        <v>F250090</v>
      </c>
      <c r="E92" s="241">
        <f>IFERROR(__xludf.DUMMYFUNCTION("""COMPUTED_VALUE"""),1800.0)</f>
        <v>1800</v>
      </c>
      <c r="F92" s="241">
        <f>IFERROR(__xludf.DUMMYFUNCTION("""COMPUTED_VALUE"""),513.0)</f>
        <v>513</v>
      </c>
      <c r="G92" s="241">
        <f>IFERROR(__xludf.DUMMYFUNCTION("""COMPUTED_VALUE"""),1287.0)</f>
        <v>1287</v>
      </c>
      <c r="H92" s="29" t="b">
        <f>IFERROR(__xludf.DUMMYFUNCTION("""COMPUTED_VALUE"""),TRUE)</f>
        <v>1</v>
      </c>
      <c r="I92" s="257"/>
      <c r="J92" s="29"/>
      <c r="K92" s="32">
        <f>IFERROR(__xludf.DUMMYFUNCTION("""COMPUTED_VALUE"""),45744.0)</f>
        <v>45744</v>
      </c>
      <c r="L92" s="29"/>
      <c r="M92" s="29"/>
      <c r="N92" s="29"/>
    </row>
    <row r="93">
      <c r="A93" s="32">
        <f>IFERROR(__xludf.DUMMYFUNCTION("""COMPUTED_VALUE"""),45759.0)</f>
        <v>45759</v>
      </c>
      <c r="B93" s="29" t="str">
        <f>IFERROR(__xludf.DUMMYFUNCTION("""COMPUTED_VALUE"""),"---")</f>
        <v>---</v>
      </c>
      <c r="C93" s="29" t="str">
        <f>IFERROR(__xludf.DUMMYFUNCTION("""COMPUTED_VALUE"""),"Myriam K")</f>
        <v>Myriam K</v>
      </c>
      <c r="D93" s="29" t="str">
        <f>IFERROR(__xludf.DUMMYFUNCTION("""COMPUTED_VALUE"""),"F250068")</f>
        <v>F250068</v>
      </c>
      <c r="E93" s="241">
        <f>IFERROR(__xludf.DUMMYFUNCTION("""COMPUTED_VALUE"""),4595.0)</f>
        <v>4595</v>
      </c>
      <c r="F93" s="241">
        <f>IFERROR(__xludf.DUMMYFUNCTION("""COMPUTED_VALUE"""),1148.75)</f>
        <v>1148.75</v>
      </c>
      <c r="G93" s="241">
        <f>IFERROR(__xludf.DUMMYFUNCTION("""COMPUTED_VALUE"""),3446.25)</f>
        <v>3446.25</v>
      </c>
      <c r="H93" s="29" t="b">
        <f>IFERROR(__xludf.DUMMYFUNCTION("""COMPUTED_VALUE"""),TRUE)</f>
        <v>1</v>
      </c>
      <c r="I93" s="257"/>
      <c r="J93" s="29"/>
      <c r="K93" s="32">
        <f>IFERROR(__xludf.DUMMYFUNCTION("""COMPUTED_VALUE"""),45811.0)</f>
        <v>45811</v>
      </c>
      <c r="L93" s="29"/>
      <c r="M93" s="29" t="str">
        <f>IFERROR(__xludf.DUMMYFUNCTION("""COMPUTED_VALUE"""),"relance le 14/05")</f>
        <v>relance le 14/05</v>
      </c>
      <c r="N93" s="29"/>
    </row>
    <row r="94">
      <c r="A94" s="32">
        <f>IFERROR(__xludf.DUMMYFUNCTION("""COMPUTED_VALUE"""),45791.0)</f>
        <v>45791</v>
      </c>
      <c r="B94" s="29" t="str">
        <f>IFERROR(__xludf.DUMMYFUNCTION("""COMPUTED_VALUE"""),"Sirine Dounia")</f>
        <v>Sirine Dounia</v>
      </c>
      <c r="C94" s="29" t="str">
        <f>IFERROR(__xludf.DUMMYFUNCTION("""COMPUTED_VALUE"""),"Seyaka Musc Intime")</f>
        <v>Seyaka Musc Intime</v>
      </c>
      <c r="D94" s="29" t="str">
        <f>IFERROR(__xludf.DUMMYFUNCTION("""COMPUTED_VALUE"""),"F250093")</f>
        <v>F250093</v>
      </c>
      <c r="E94" s="241">
        <f>IFERROR(__xludf.DUMMYFUNCTION("""COMPUTED_VALUE"""),1100.0)</f>
        <v>1100</v>
      </c>
      <c r="F94" s="241">
        <f>IFERROR(__xludf.DUMMYFUNCTION("""COMPUTED_VALUE"""),330.0)</f>
        <v>330</v>
      </c>
      <c r="G94" s="241">
        <f>IFERROR(__xludf.DUMMYFUNCTION("""COMPUTED_VALUE"""),770.0)</f>
        <v>770</v>
      </c>
      <c r="H94" s="29" t="b">
        <f>IFERROR(__xludf.DUMMYFUNCTION("""COMPUTED_VALUE"""),TRUE)</f>
        <v>1</v>
      </c>
      <c r="I94" s="257"/>
      <c r="J94" s="29"/>
      <c r="K94" s="32">
        <f>IFERROR(__xludf.DUMMYFUNCTION("""COMPUTED_VALUE"""),45821.0)</f>
        <v>45821</v>
      </c>
      <c r="L94" s="29"/>
      <c r="M94" s="29"/>
      <c r="N94" s="29"/>
    </row>
    <row r="95">
      <c r="A95" s="32">
        <f>IFERROR(__xludf.DUMMYFUNCTION("""COMPUTED_VALUE"""),45791.0)</f>
        <v>45791</v>
      </c>
      <c r="B95" s="29" t="str">
        <f>IFERROR(__xludf.DUMMYFUNCTION("""COMPUTED_VALUE"""),"Anaïs")</f>
        <v>Anaïs</v>
      </c>
      <c r="C95" s="29" t="str">
        <f>IFERROR(__xludf.DUMMYFUNCTION("""COMPUTED_VALUE"""),"1108 SOS Beauty")</f>
        <v>1108 SOS Beauty</v>
      </c>
      <c r="D95" s="29" t="str">
        <f>IFERROR(__xludf.DUMMYFUNCTION("""COMPUTED_VALUE"""),"F250094")</f>
        <v>F250094</v>
      </c>
      <c r="E95" s="241">
        <f>IFERROR(__xludf.DUMMYFUNCTION("""COMPUTED_VALUE"""),600.0)</f>
        <v>600</v>
      </c>
      <c r="F95" s="241">
        <f>IFERROR(__xludf.DUMMYFUNCTION("""COMPUTED_VALUE"""),180.0)</f>
        <v>180</v>
      </c>
      <c r="G95" s="241">
        <f>IFERROR(__xludf.DUMMYFUNCTION("""COMPUTED_VALUE"""),420.0)</f>
        <v>420</v>
      </c>
      <c r="H95" s="29" t="b">
        <f>IFERROR(__xludf.DUMMYFUNCTION("""COMPUTED_VALUE"""),TRUE)</f>
        <v>1</v>
      </c>
      <c r="I95" s="257"/>
      <c r="J95" s="29"/>
      <c r="K95" s="32">
        <f>IFERROR(__xludf.DUMMYFUNCTION("""COMPUTED_VALUE"""),45821.0)</f>
        <v>45821</v>
      </c>
      <c r="L95" s="29"/>
      <c r="M95" s="29"/>
      <c r="N95" s="29"/>
    </row>
    <row r="96">
      <c r="A96" s="32">
        <f>IFERROR(__xludf.DUMMYFUNCTION("""COMPUTED_VALUE"""),45791.0)</f>
        <v>45791</v>
      </c>
      <c r="B96" s="29" t="str">
        <f>IFERROR(__xludf.DUMMYFUNCTION("""COMPUTED_VALUE"""),"Morgane")</f>
        <v>Morgane</v>
      </c>
      <c r="C96" s="29" t="str">
        <f>IFERROR(__xludf.DUMMYFUNCTION("""COMPUTED_VALUE"""),"1108 SOS Beauty")</f>
        <v>1108 SOS Beauty</v>
      </c>
      <c r="D96" s="29" t="str">
        <f>IFERROR(__xludf.DUMMYFUNCTION("""COMPUTED_VALUE"""),"F250095")</f>
        <v>F250095</v>
      </c>
      <c r="E96" s="241">
        <f>IFERROR(__xludf.DUMMYFUNCTION("""COMPUTED_VALUE"""),500.0)</f>
        <v>500</v>
      </c>
      <c r="F96" s="241">
        <f>IFERROR(__xludf.DUMMYFUNCTION("""COMPUTED_VALUE"""),150.0)</f>
        <v>150</v>
      </c>
      <c r="G96" s="241">
        <f>IFERROR(__xludf.DUMMYFUNCTION("""COMPUTED_VALUE"""),350.0)</f>
        <v>350</v>
      </c>
      <c r="H96" s="29" t="b">
        <f>IFERROR(__xludf.DUMMYFUNCTION("""COMPUTED_VALUE"""),TRUE)</f>
        <v>1</v>
      </c>
      <c r="I96" s="257"/>
      <c r="J96" s="29"/>
      <c r="K96" s="32">
        <f>IFERROR(__xludf.DUMMYFUNCTION("""COMPUTED_VALUE"""),45821.0)</f>
        <v>45821</v>
      </c>
      <c r="L96" s="29"/>
      <c r="M96" s="29"/>
      <c r="N96" s="29"/>
    </row>
    <row r="97">
      <c r="A97" s="32">
        <f>IFERROR(__xludf.DUMMYFUNCTION("""COMPUTED_VALUE"""),45791.0)</f>
        <v>45791</v>
      </c>
      <c r="B97" s="29" t="str">
        <f>IFERROR(__xludf.DUMMYFUNCTION("""COMPUTED_VALUE"""),"Camille")</f>
        <v>Camille</v>
      </c>
      <c r="C97" s="29" t="str">
        <f>IFERROR(__xludf.DUMMYFUNCTION("""COMPUTED_VALUE"""),"Glamstar / Stylevana")</f>
        <v>Glamstar / Stylevana</v>
      </c>
      <c r="D97" s="29" t="str">
        <f>IFERROR(__xludf.DUMMYFUNCTION("""COMPUTED_VALUE"""),"F250096")</f>
        <v>F250096</v>
      </c>
      <c r="E97" s="241">
        <f>IFERROR(__xludf.DUMMYFUNCTION("""COMPUTED_VALUE"""),600.0)</f>
        <v>600</v>
      </c>
      <c r="F97" s="241">
        <f>IFERROR(__xludf.DUMMYFUNCTION("""COMPUTED_VALUE"""),150.0)</f>
        <v>150</v>
      </c>
      <c r="G97" s="241">
        <f>IFERROR(__xludf.DUMMYFUNCTION("""COMPUTED_VALUE"""),450.0)</f>
        <v>450</v>
      </c>
      <c r="H97" s="29" t="b">
        <f>IFERROR(__xludf.DUMMYFUNCTION("""COMPUTED_VALUE"""),TRUE)</f>
        <v>1</v>
      </c>
      <c r="I97" s="257"/>
      <c r="J97" s="29"/>
      <c r="K97" s="32">
        <f>IFERROR(__xludf.DUMMYFUNCTION("""COMPUTED_VALUE"""),45821.0)</f>
        <v>45821</v>
      </c>
      <c r="L97" s="29"/>
      <c r="M97" s="29"/>
      <c r="N97" s="29"/>
    </row>
    <row r="98">
      <c r="A98" s="32">
        <f>IFERROR(__xludf.DUMMYFUNCTION("""COMPUTED_VALUE"""),45793.0)</f>
        <v>45793</v>
      </c>
      <c r="B98" s="29" t="str">
        <f>IFERROR(__xludf.DUMMYFUNCTION("""COMPUTED_VALUE"""),"Sarah")</f>
        <v>Sarah</v>
      </c>
      <c r="C98" s="29" t="str">
        <f>IFERROR(__xludf.DUMMYFUNCTION("""COMPUTED_VALUE"""),"Aries Network Limited Voghion")</f>
        <v>Aries Network Limited Voghion</v>
      </c>
      <c r="D98" s="29" t="str">
        <f>IFERROR(__xludf.DUMMYFUNCTION("""COMPUTED_VALUE"""),"F250097")</f>
        <v>F250097</v>
      </c>
      <c r="E98" s="241">
        <f>IFERROR(__xludf.DUMMYFUNCTION("""COMPUTED_VALUE"""),500.0)</f>
        <v>500</v>
      </c>
      <c r="F98" s="241">
        <f>IFERROR(__xludf.DUMMYFUNCTION("""COMPUTED_VALUE"""),150.0)</f>
        <v>150</v>
      </c>
      <c r="G98" s="241">
        <f>IFERROR(__xludf.DUMMYFUNCTION("""COMPUTED_VALUE"""),350.0)</f>
        <v>350</v>
      </c>
      <c r="H98" s="29" t="b">
        <f>IFERROR(__xludf.DUMMYFUNCTION("""COMPUTED_VALUE"""),TRUE)</f>
        <v>1</v>
      </c>
      <c r="I98" s="257"/>
      <c r="J98" s="29"/>
      <c r="K98" s="32">
        <f>IFERROR(__xludf.DUMMYFUNCTION("""COMPUTED_VALUE"""),45823.0)</f>
        <v>45823</v>
      </c>
      <c r="L98" s="29"/>
      <c r="M98" s="29"/>
      <c r="N98" s="29"/>
    </row>
    <row r="99">
      <c r="A99" s="32">
        <f>IFERROR(__xludf.DUMMYFUNCTION("""COMPUTED_VALUE"""),45714.0)</f>
        <v>45714</v>
      </c>
      <c r="B99" s="29" t="str">
        <f>IFERROR(__xludf.DUMMYFUNCTION("""COMPUTED_VALUE"""),"Anaïs")</f>
        <v>Anaïs</v>
      </c>
      <c r="C99" s="29" t="str">
        <f>IFERROR(__xludf.DUMMYFUNCTION("""COMPUTED_VALUE"""),"Woo Uriage")</f>
        <v>Woo Uriage</v>
      </c>
      <c r="D99" s="29" t="str">
        <f>IFERROR(__xludf.DUMMYFUNCTION("""COMPUTED_VALUE"""),"F250026")</f>
        <v>F250026</v>
      </c>
      <c r="E99" s="241">
        <f>IFERROR(__xludf.DUMMYFUNCTION("""COMPUTED_VALUE"""),1200.0)</f>
        <v>1200</v>
      </c>
      <c r="F99" s="241">
        <f>IFERROR(__xludf.DUMMYFUNCTION("""COMPUTED_VALUE"""),360.0)</f>
        <v>360</v>
      </c>
      <c r="G99" s="241">
        <f>IFERROR(__xludf.DUMMYFUNCTION("""COMPUTED_VALUE"""),840.0)</f>
        <v>840</v>
      </c>
      <c r="H99" s="29" t="b">
        <f>IFERROR(__xludf.DUMMYFUNCTION("""COMPUTED_VALUE"""),TRUE)</f>
        <v>1</v>
      </c>
      <c r="I99" s="257"/>
      <c r="J99" s="29"/>
      <c r="K99" s="32">
        <f>IFERROR(__xludf.DUMMYFUNCTION("""COMPUTED_VALUE"""),45744.0)</f>
        <v>45744</v>
      </c>
      <c r="L99" s="29"/>
      <c r="M99" s="29"/>
      <c r="N99" s="29"/>
    </row>
    <row r="100">
      <c r="A100" s="32">
        <f>IFERROR(__xludf.DUMMYFUNCTION("""COMPUTED_VALUE"""),45793.0)</f>
        <v>45793</v>
      </c>
      <c r="B100" s="29" t="str">
        <f>IFERROR(__xludf.DUMMYFUNCTION("""COMPUTED_VALUE"""),"Asmae")</f>
        <v>Asmae</v>
      </c>
      <c r="C100" s="29" t="str">
        <f>IFERROR(__xludf.DUMMYFUNCTION("""COMPUTED_VALUE"""),"DFS Co., Ltd. Haru Haru")</f>
        <v>DFS Co., Ltd. Haru Haru</v>
      </c>
      <c r="D100" s="29" t="str">
        <f>IFERROR(__xludf.DUMMYFUNCTION("""COMPUTED_VALUE"""),"F250098")</f>
        <v>F250098</v>
      </c>
      <c r="E100" s="241"/>
      <c r="F100" s="241"/>
      <c r="G100" s="241"/>
      <c r="H100" s="29" t="b">
        <f>IFERROR(__xludf.DUMMYFUNCTION("""COMPUTED_VALUE"""),TRUE)</f>
        <v>1</v>
      </c>
      <c r="I100" s="257"/>
      <c r="J100" s="29"/>
      <c r="K100" s="32">
        <f>IFERROR(__xludf.DUMMYFUNCTION("""COMPUTED_VALUE"""),45823.0)</f>
        <v>45823</v>
      </c>
      <c r="L100" s="29"/>
      <c r="M100" s="29"/>
      <c r="N100" s="29"/>
    </row>
    <row r="101">
      <c r="A101" s="32">
        <f>IFERROR(__xludf.DUMMYFUNCTION("""COMPUTED_VALUE"""),45795.0)</f>
        <v>45795</v>
      </c>
      <c r="B101" s="29" t="str">
        <f>IFERROR(__xludf.DUMMYFUNCTION("""COMPUTED_VALUE"""),"Asmae")</f>
        <v>Asmae</v>
      </c>
      <c r="C101" s="29" t="str">
        <f>IFERROR(__xludf.DUMMYFUNCTION("""COMPUTED_VALUE"""),"The Beauty Tech Group / Current Body")</f>
        <v>The Beauty Tech Group / Current Body</v>
      </c>
      <c r="D101" s="29" t="str">
        <f>IFERROR(__xludf.DUMMYFUNCTION("""COMPUTED_VALUE"""),"F250100")</f>
        <v>F250100</v>
      </c>
      <c r="E101" s="241">
        <f>IFERROR(__xludf.DUMMYFUNCTION("""COMPUTED_VALUE"""),500.0)</f>
        <v>500</v>
      </c>
      <c r="F101" s="241">
        <f>IFERROR(__xludf.DUMMYFUNCTION("""COMPUTED_VALUE"""),150.0)</f>
        <v>150</v>
      </c>
      <c r="G101" s="241">
        <f>IFERROR(__xludf.DUMMYFUNCTION("""COMPUTED_VALUE"""),350.0)</f>
        <v>350</v>
      </c>
      <c r="H101" s="29" t="b">
        <f>IFERROR(__xludf.DUMMYFUNCTION("""COMPUTED_VALUE"""),TRUE)</f>
        <v>1</v>
      </c>
      <c r="I101" s="257"/>
      <c r="J101" s="29"/>
      <c r="K101" s="32">
        <f>IFERROR(__xludf.DUMMYFUNCTION("""COMPUTED_VALUE"""),45825.0)</f>
        <v>45825</v>
      </c>
      <c r="L101" s="29"/>
      <c r="M101" s="29"/>
      <c r="N101" s="29"/>
    </row>
    <row r="102">
      <c r="A102" s="32">
        <f>IFERROR(__xludf.DUMMYFUNCTION("""COMPUTED_VALUE"""),45795.0)</f>
        <v>45795</v>
      </c>
      <c r="B102" s="29" t="str">
        <f>IFERROR(__xludf.DUMMYFUNCTION("""COMPUTED_VALUE"""),"Lola")</f>
        <v>Lola</v>
      </c>
      <c r="C102" s="29" t="str">
        <f>IFERROR(__xludf.DUMMYFUNCTION("""COMPUTED_VALUE"""),"Yepoda")</f>
        <v>Yepoda</v>
      </c>
      <c r="D102" s="29" t="str">
        <f>IFERROR(__xludf.DUMMYFUNCTION("""COMPUTED_VALUE"""),"F250101")</f>
        <v>F250101</v>
      </c>
      <c r="E102" s="241">
        <f>IFERROR(__xludf.DUMMYFUNCTION("""COMPUTED_VALUE"""),300.0)</f>
        <v>300</v>
      </c>
      <c r="F102" s="241">
        <f>IFERROR(__xludf.DUMMYFUNCTION("""COMPUTED_VALUE"""),90.0)</f>
        <v>90</v>
      </c>
      <c r="G102" s="241">
        <f>IFERROR(__xludf.DUMMYFUNCTION("""COMPUTED_VALUE"""),210.0)</f>
        <v>210</v>
      </c>
      <c r="H102" s="29" t="b">
        <f>IFERROR(__xludf.DUMMYFUNCTION("""COMPUTED_VALUE"""),TRUE)</f>
        <v>1</v>
      </c>
      <c r="I102" s="257"/>
      <c r="J102" s="29" t="str">
        <f>IFERROR(__xludf.DUMMYFUNCTION("""COMPUTED_VALUE"""),"rajout de 50€ vs ancienne facture car oublie de 50€")</f>
        <v>rajout de 50€ vs ancienne facture car oublie de 50€</v>
      </c>
      <c r="K102" s="32">
        <f>IFERROR(__xludf.DUMMYFUNCTION("""COMPUTED_VALUE"""),45825.0)</f>
        <v>45825</v>
      </c>
      <c r="L102" s="29"/>
      <c r="M102" s="29"/>
      <c r="N102" s="29"/>
    </row>
    <row r="103">
      <c r="A103" s="32">
        <f>IFERROR(__xludf.DUMMYFUNCTION("""COMPUTED_VALUE"""),45796.0)</f>
        <v>45796</v>
      </c>
      <c r="B103" s="29" t="str">
        <f>IFERROR(__xludf.DUMMYFUNCTION("""COMPUTED_VALUE"""),"Marine")</f>
        <v>Marine</v>
      </c>
      <c r="C103" s="29" t="str">
        <f>IFERROR(__xludf.DUMMYFUNCTION("""COMPUTED_VALUE"""),"EMF Musc Intime")</f>
        <v>EMF Musc Intime</v>
      </c>
      <c r="D103" s="29" t="str">
        <f>IFERROR(__xludf.DUMMYFUNCTION("""COMPUTED_VALUE"""),"F250102")</f>
        <v>F250102</v>
      </c>
      <c r="E103" s="241">
        <f>IFERROR(__xludf.DUMMYFUNCTION("""COMPUTED_VALUE"""),300.0)</f>
        <v>300</v>
      </c>
      <c r="F103" s="241">
        <f>IFERROR(__xludf.DUMMYFUNCTION("""COMPUTED_VALUE"""),90.0)</f>
        <v>90</v>
      </c>
      <c r="G103" s="241">
        <f>IFERROR(__xludf.DUMMYFUNCTION("""COMPUTED_VALUE"""),210.0)</f>
        <v>210</v>
      </c>
      <c r="H103" s="29" t="b">
        <f>IFERROR(__xludf.DUMMYFUNCTION("""COMPUTED_VALUE"""),TRUE)</f>
        <v>1</v>
      </c>
      <c r="I103" s="257"/>
      <c r="J103" s="29"/>
      <c r="K103" s="32">
        <f>IFERROR(__xludf.DUMMYFUNCTION("""COMPUTED_VALUE"""),45826.0)</f>
        <v>45826</v>
      </c>
      <c r="L103" s="29"/>
      <c r="M103" s="29"/>
      <c r="N103" s="29"/>
    </row>
    <row r="104">
      <c r="A104" s="32">
        <f>IFERROR(__xludf.DUMMYFUNCTION("""COMPUTED_VALUE"""),45797.0)</f>
        <v>45797</v>
      </c>
      <c r="B104" s="29" t="str">
        <f>IFERROR(__xludf.DUMMYFUNCTION("""COMPUTED_VALUE"""),"Camille")</f>
        <v>Camille</v>
      </c>
      <c r="C104" s="29" t="str">
        <f>IFERROR(__xludf.DUMMYFUNCTION("""COMPUTED_VALUE"""),"The Beauty Tech Company ZIIP")</f>
        <v>The Beauty Tech Company ZIIP</v>
      </c>
      <c r="D104" s="29" t="str">
        <f>IFERROR(__xludf.DUMMYFUNCTION("""COMPUTED_VALUE"""),"F250103")</f>
        <v>F250103</v>
      </c>
      <c r="E104" s="241">
        <f>IFERROR(__xludf.DUMMYFUNCTION("""COMPUTED_VALUE"""),600.0)</f>
        <v>600</v>
      </c>
      <c r="F104" s="241">
        <f>IFERROR(__xludf.DUMMYFUNCTION("""COMPUTED_VALUE"""),150.0)</f>
        <v>150</v>
      </c>
      <c r="G104" s="241">
        <f>IFERROR(__xludf.DUMMYFUNCTION("""COMPUTED_VALUE"""),450.0)</f>
        <v>450</v>
      </c>
      <c r="H104" s="29" t="b">
        <f>IFERROR(__xludf.DUMMYFUNCTION("""COMPUTED_VALUE"""),TRUE)</f>
        <v>1</v>
      </c>
      <c r="I104" s="257"/>
      <c r="J104" s="29"/>
      <c r="K104" s="32">
        <f>IFERROR(__xludf.DUMMYFUNCTION("""COMPUTED_VALUE"""),45827.0)</f>
        <v>45827</v>
      </c>
      <c r="L104" s="29"/>
      <c r="M104" s="29"/>
      <c r="N104" s="29"/>
    </row>
    <row r="105">
      <c r="A105" s="32">
        <f>IFERROR(__xludf.DUMMYFUNCTION("""COMPUTED_VALUE"""),45798.0)</f>
        <v>45798</v>
      </c>
      <c r="B105" s="29" t="str">
        <f>IFERROR(__xludf.DUMMYFUNCTION("""COMPUTED_VALUE"""),"Sarah")</f>
        <v>Sarah</v>
      </c>
      <c r="C105" s="29" t="str">
        <f>IFERROR(__xludf.DUMMYFUNCTION("""COMPUTED_VALUE"""),"Naali QAAMIAB")</f>
        <v>Naali QAAMIAB</v>
      </c>
      <c r="D105" s="29" t="str">
        <f>IFERROR(__xludf.DUMMYFUNCTION("""COMPUTED_VALUE"""),"F250104")</f>
        <v>F250104</v>
      </c>
      <c r="E105" s="241">
        <f>IFERROR(__xludf.DUMMYFUNCTION("""COMPUTED_VALUE"""),450.0)</f>
        <v>450</v>
      </c>
      <c r="F105" s="241">
        <f>IFERROR(__xludf.DUMMYFUNCTION("""COMPUTED_VALUE"""),135.0)</f>
        <v>135</v>
      </c>
      <c r="G105" s="241">
        <f>IFERROR(__xludf.DUMMYFUNCTION("""COMPUTED_VALUE"""),315.0)</f>
        <v>315</v>
      </c>
      <c r="H105" s="29" t="b">
        <f>IFERROR(__xludf.DUMMYFUNCTION("""COMPUTED_VALUE"""),TRUE)</f>
        <v>1</v>
      </c>
      <c r="I105" s="257"/>
      <c r="J105" s="29"/>
      <c r="K105" s="32">
        <f>IFERROR(__xludf.DUMMYFUNCTION("""COMPUTED_VALUE"""),45828.0)</f>
        <v>45828</v>
      </c>
      <c r="L105" s="29"/>
      <c r="M105" s="29"/>
      <c r="N105" s="29"/>
    </row>
    <row r="106">
      <c r="A106" s="32">
        <f>IFERROR(__xludf.DUMMYFUNCTION("""COMPUTED_VALUE"""),45802.0)</f>
        <v>45802</v>
      </c>
      <c r="B106" s="29" t="str">
        <f>IFERROR(__xludf.DUMMYFUNCTION("""COMPUTED_VALUE"""),"Hidaya")</f>
        <v>Hidaya</v>
      </c>
      <c r="C106" s="29" t="str">
        <f>IFERROR(__xludf.DUMMYFUNCTION("""COMPUTED_VALUE"""),"DR Group Darry Ring")</f>
        <v>DR Group Darry Ring</v>
      </c>
      <c r="D106" s="29" t="str">
        <f>IFERROR(__xludf.DUMMYFUNCTION("""COMPUTED_VALUE"""),"F250105")</f>
        <v>F250105</v>
      </c>
      <c r="E106" s="241">
        <f>IFERROR(__xludf.DUMMYFUNCTION("""COMPUTED_VALUE"""),1068.0)</f>
        <v>1068</v>
      </c>
      <c r="F106" s="241">
        <f>IFERROR(__xludf.DUMMYFUNCTION("""COMPUTED_VALUE"""),320.4)</f>
        <v>320.4</v>
      </c>
      <c r="G106" s="241">
        <f>IFERROR(__xludf.DUMMYFUNCTION("""COMPUTED_VALUE"""),747.6)</f>
        <v>747.6</v>
      </c>
      <c r="H106" s="29" t="b">
        <f>IFERROR(__xludf.DUMMYFUNCTION("""COMPUTED_VALUE"""),TRUE)</f>
        <v>1</v>
      </c>
      <c r="I106" s="257"/>
      <c r="J106" s="29"/>
      <c r="K106" s="32">
        <f>IFERROR(__xludf.DUMMYFUNCTION("""COMPUTED_VALUE"""),45832.0)</f>
        <v>45832</v>
      </c>
      <c r="L106" s="29"/>
      <c r="M106" s="29"/>
      <c r="N106" s="29"/>
    </row>
    <row r="107">
      <c r="A107" s="32">
        <f>IFERROR(__xludf.DUMMYFUNCTION("""COMPUTED_VALUE"""),45720.0)</f>
        <v>45720</v>
      </c>
      <c r="B107" s="29" t="str">
        <f>IFERROR(__xludf.DUMMYFUNCTION("""COMPUTED_VALUE"""),"Perrine")</f>
        <v>Perrine</v>
      </c>
      <c r="C107" s="29" t="str">
        <f>IFERROR(__xludf.DUMMYFUNCTION("""COMPUTED_VALUE"""),"WOO Mixa")</f>
        <v>WOO Mixa</v>
      </c>
      <c r="D107" s="29" t="str">
        <f>IFERROR(__xludf.DUMMYFUNCTION("""COMPUTED_VALUE"""),"F250037")</f>
        <v>F250037</v>
      </c>
      <c r="E107" s="241">
        <f>IFERROR(__xludf.DUMMYFUNCTION("""COMPUTED_VALUE"""),1850.0)</f>
        <v>1850</v>
      </c>
      <c r="F107" s="241">
        <f>IFERROR(__xludf.DUMMYFUNCTION("""COMPUTED_VALUE"""),555.0)</f>
        <v>555</v>
      </c>
      <c r="G107" s="241">
        <f>IFERROR(__xludf.DUMMYFUNCTION("""COMPUTED_VALUE"""),1295.0)</f>
        <v>1295</v>
      </c>
      <c r="H107" s="29" t="b">
        <f>IFERROR(__xludf.DUMMYFUNCTION("""COMPUTED_VALUE"""),TRUE)</f>
        <v>1</v>
      </c>
      <c r="I107" s="257"/>
      <c r="J107" s="29"/>
      <c r="K107" s="32">
        <f>IFERROR(__xludf.DUMMYFUNCTION("""COMPUTED_VALUE"""),45777.0)</f>
        <v>45777</v>
      </c>
      <c r="L107" s="29"/>
      <c r="M107" s="29"/>
      <c r="N107" s="29"/>
    </row>
    <row r="108">
      <c r="A108" s="32">
        <f>IFERROR(__xludf.DUMMYFUNCTION("""COMPUTED_VALUE"""),45803.0)</f>
        <v>45803</v>
      </c>
      <c r="B108" s="29" t="str">
        <f>IFERROR(__xludf.DUMMYFUNCTION("""COMPUTED_VALUE"""),"Nidal")</f>
        <v>Nidal</v>
      </c>
      <c r="C108" s="29" t="str">
        <f>IFERROR(__xludf.DUMMYFUNCTION("""COMPUTED_VALUE"""),"Dropery BYD")</f>
        <v>Dropery BYD</v>
      </c>
      <c r="D108" s="29" t="str">
        <f>IFERROR(__xludf.DUMMYFUNCTION("""COMPUTED_VALUE"""),"F250106")</f>
        <v>F250106</v>
      </c>
      <c r="E108" s="241">
        <f>IFERROR(__xludf.DUMMYFUNCTION("""COMPUTED_VALUE"""),350.0)</f>
        <v>350</v>
      </c>
      <c r="F108" s="241">
        <f>IFERROR(__xludf.DUMMYFUNCTION("""COMPUTED_VALUE"""),105.0)</f>
        <v>105</v>
      </c>
      <c r="G108" s="241">
        <f>IFERROR(__xludf.DUMMYFUNCTION("""COMPUTED_VALUE"""),245.0)</f>
        <v>245</v>
      </c>
      <c r="H108" s="29" t="b">
        <f>IFERROR(__xludf.DUMMYFUNCTION("""COMPUTED_VALUE"""),TRUE)</f>
        <v>1</v>
      </c>
      <c r="I108" s="257"/>
      <c r="J108" s="29"/>
      <c r="K108" s="32">
        <f>IFERROR(__xludf.DUMMYFUNCTION("""COMPUTED_VALUE"""),45833.0)</f>
        <v>45833</v>
      </c>
      <c r="L108" s="29"/>
      <c r="M108" s="29"/>
      <c r="N108" s="29"/>
    </row>
    <row r="109">
      <c r="A109" s="32">
        <f>IFERROR(__xludf.DUMMYFUNCTION("""COMPUTED_VALUE"""),45804.0)</f>
        <v>45804</v>
      </c>
      <c r="B109" s="29" t="str">
        <f>IFERROR(__xludf.DUMMYFUNCTION("""COMPUTED_VALUE"""),"Anaïs")</f>
        <v>Anaïs</v>
      </c>
      <c r="C109" s="29" t="str">
        <f>IFERROR(__xludf.DUMMYFUNCTION("""COMPUTED_VALUE"""),"Accompte Mavatys")</f>
        <v>Accompte Mavatys</v>
      </c>
      <c r="D109" s="29" t="str">
        <f>IFERROR(__xludf.DUMMYFUNCTION("""COMPUTED_VALUE"""),"F250107")</f>
        <v>F250107</v>
      </c>
      <c r="E109" s="241">
        <f>IFERROR(__xludf.DUMMYFUNCTION("""COMPUTED_VALUE"""),600.0)</f>
        <v>600</v>
      </c>
      <c r="F109" s="241">
        <f>IFERROR(__xludf.DUMMYFUNCTION("""COMPUTED_VALUE"""),180.0)</f>
        <v>180</v>
      </c>
      <c r="G109" s="241">
        <f>IFERROR(__xludf.DUMMYFUNCTION("""COMPUTED_VALUE"""),420.0)</f>
        <v>420</v>
      </c>
      <c r="H109" s="29" t="b">
        <f>IFERROR(__xludf.DUMMYFUNCTION("""COMPUTED_VALUE"""),TRUE)</f>
        <v>1</v>
      </c>
      <c r="I109" s="257"/>
      <c r="J109" s="29"/>
      <c r="K109" s="32">
        <f>IFERROR(__xludf.DUMMYFUNCTION("""COMPUTED_VALUE"""),45834.0)</f>
        <v>45834</v>
      </c>
      <c r="L109" s="29"/>
      <c r="M109" s="29"/>
      <c r="N109" s="29"/>
    </row>
    <row r="110">
      <c r="A110" s="32">
        <f>IFERROR(__xludf.DUMMYFUNCTION("""COMPUTED_VALUE"""),45804.0)</f>
        <v>45804</v>
      </c>
      <c r="B110" s="29" t="str">
        <f>IFERROR(__xludf.DUMMYFUNCTION("""COMPUTED_VALUE"""),"Sarah")</f>
        <v>Sarah</v>
      </c>
      <c r="C110" s="29" t="str">
        <f>IFERROR(__xludf.DUMMYFUNCTION("""COMPUTED_VALUE"""),"Content Lab Ali Express")</f>
        <v>Content Lab Ali Express</v>
      </c>
      <c r="D110" s="29" t="str">
        <f>IFERROR(__xludf.DUMMYFUNCTION("""COMPUTED_VALUE"""),"F250108")</f>
        <v>F250108</v>
      </c>
      <c r="E110" s="241">
        <f>IFERROR(__xludf.DUMMYFUNCTION("""COMPUTED_VALUE"""),395.09)</f>
        <v>395.09</v>
      </c>
      <c r="F110" s="241">
        <f>IFERROR(__xludf.DUMMYFUNCTION("""COMPUTED_VALUE"""),118.52699999999999)</f>
        <v>118.527</v>
      </c>
      <c r="G110" s="241">
        <f>IFERROR(__xludf.DUMMYFUNCTION("""COMPUTED_VALUE"""),276.563)</f>
        <v>276.563</v>
      </c>
      <c r="H110" s="29" t="b">
        <f>IFERROR(__xludf.DUMMYFUNCTION("""COMPUTED_VALUE"""),TRUE)</f>
        <v>1</v>
      </c>
      <c r="I110" s="257"/>
      <c r="J110" s="29"/>
      <c r="K110" s="32">
        <f>IFERROR(__xludf.DUMMYFUNCTION("""COMPUTED_VALUE"""),45834.0)</f>
        <v>45834</v>
      </c>
      <c r="L110" s="29"/>
      <c r="M110" s="29"/>
      <c r="N110" s="29"/>
    </row>
    <row r="111">
      <c r="A111" s="32">
        <f>IFERROR(__xludf.DUMMYFUNCTION("""COMPUTED_VALUE"""),45804.0)</f>
        <v>45804</v>
      </c>
      <c r="B111" s="29" t="str">
        <f>IFERROR(__xludf.DUMMYFUNCTION("""COMPUTED_VALUE"""),"Anaïs")</f>
        <v>Anaïs</v>
      </c>
      <c r="C111" s="29" t="str">
        <f>IFERROR(__xludf.DUMMYFUNCTION("""COMPUTED_VALUE"""),"BOLT Ducray")</f>
        <v>BOLT Ducray</v>
      </c>
      <c r="D111" s="29" t="str">
        <f>IFERROR(__xludf.DUMMYFUNCTION("""COMPUTED_VALUE"""),"F250109")</f>
        <v>F250109</v>
      </c>
      <c r="E111" s="241">
        <f>IFERROR(__xludf.DUMMYFUNCTION("""COMPUTED_VALUE"""),1500.0)</f>
        <v>1500</v>
      </c>
      <c r="F111" s="241">
        <f>IFERROR(__xludf.DUMMYFUNCTION("""COMPUTED_VALUE"""),450.0)</f>
        <v>450</v>
      </c>
      <c r="G111" s="241">
        <f>IFERROR(__xludf.DUMMYFUNCTION("""COMPUTED_VALUE"""),1050.0)</f>
        <v>1050</v>
      </c>
      <c r="H111" s="29" t="b">
        <f>IFERROR(__xludf.DUMMYFUNCTION("""COMPUTED_VALUE"""),FALSE)</f>
        <v>0</v>
      </c>
      <c r="I111" s="257"/>
      <c r="J111" s="29"/>
      <c r="K111" s="32">
        <f>IFERROR(__xludf.DUMMYFUNCTION("""COMPUTED_VALUE"""),45864.0)</f>
        <v>45864</v>
      </c>
      <c r="L111" s="29"/>
      <c r="M111" s="29"/>
      <c r="N111" s="29"/>
    </row>
    <row r="112">
      <c r="A112" s="32">
        <f>IFERROR(__xludf.DUMMYFUNCTION("""COMPUTED_VALUE"""),45810.0)</f>
        <v>45810</v>
      </c>
      <c r="B112" s="29" t="str">
        <f>IFERROR(__xludf.DUMMYFUNCTION("""COMPUTED_VALUE"""),"Pauline Asmae")</f>
        <v>Pauline Asmae</v>
      </c>
      <c r="C112" s="29" t="str">
        <f>IFERROR(__xludf.DUMMYFUNCTION("""COMPUTED_VALUE"""),"ISIS Pharma")</f>
        <v>ISIS Pharma</v>
      </c>
      <c r="D112" s="29" t="str">
        <f>IFERROR(__xludf.DUMMYFUNCTION("""COMPUTED_VALUE"""),"F250110")</f>
        <v>F250110</v>
      </c>
      <c r="E112" s="241">
        <f>IFERROR(__xludf.DUMMYFUNCTION("""COMPUTED_VALUE"""),800.0)</f>
        <v>800</v>
      </c>
      <c r="F112" s="241">
        <f>IFERROR(__xludf.DUMMYFUNCTION("""COMPUTED_VALUE"""),210.0)</f>
        <v>210</v>
      </c>
      <c r="G112" s="241">
        <f>IFERROR(__xludf.DUMMYFUNCTION("""COMPUTED_VALUE"""),590.0)</f>
        <v>590</v>
      </c>
      <c r="H112" s="29" t="b">
        <f>IFERROR(__xludf.DUMMYFUNCTION("""COMPUTED_VALUE"""),TRUE)</f>
        <v>1</v>
      </c>
      <c r="I112" s="257"/>
      <c r="J112" s="29" t="str">
        <f>IFERROR(__xludf.DUMMYFUNCTION("""COMPUTED_VALUE"""),"-155 pour Pauline")</f>
        <v>-155 pour Pauline</v>
      </c>
      <c r="K112" s="32">
        <f>IFERROR(__xludf.DUMMYFUNCTION("""COMPUTED_VALUE"""),45840.0)</f>
        <v>45840</v>
      </c>
      <c r="L112" s="29"/>
      <c r="M112" s="29"/>
      <c r="N112" s="29"/>
    </row>
    <row r="113">
      <c r="A113" s="32">
        <f>IFERROR(__xludf.DUMMYFUNCTION("""COMPUTED_VALUE"""),45810.0)</f>
        <v>45810</v>
      </c>
      <c r="B113" s="29" t="str">
        <f>IFERROR(__xludf.DUMMYFUNCTION("""COMPUTED_VALUE"""),"Jeanne")</f>
        <v>Jeanne</v>
      </c>
      <c r="C113" s="29" t="str">
        <f>IFERROR(__xludf.DUMMYFUNCTION("""COMPUTED_VALUE"""),"Musc Intime Sekaya")</f>
        <v>Musc Intime Sekaya</v>
      </c>
      <c r="D113" s="29" t="str">
        <f>IFERROR(__xludf.DUMMYFUNCTION("""COMPUTED_VALUE"""),"F250111")</f>
        <v>F250111</v>
      </c>
      <c r="E113" s="241">
        <f>IFERROR(__xludf.DUMMYFUNCTION("""COMPUTED_VALUE"""),400.0)</f>
        <v>400</v>
      </c>
      <c r="F113" s="241">
        <f>IFERROR(__xludf.DUMMYFUNCTION("""COMPUTED_VALUE"""),120.0)</f>
        <v>120</v>
      </c>
      <c r="G113" s="241">
        <f>IFERROR(__xludf.DUMMYFUNCTION("""COMPUTED_VALUE"""),280.0)</f>
        <v>280</v>
      </c>
      <c r="H113" s="29" t="b">
        <f>IFERROR(__xludf.DUMMYFUNCTION("""COMPUTED_VALUE"""),TRUE)</f>
        <v>1</v>
      </c>
      <c r="I113" s="257"/>
      <c r="J113" s="29"/>
      <c r="K113" s="32">
        <f>IFERROR(__xludf.DUMMYFUNCTION("""COMPUTED_VALUE"""),45840.0)</f>
        <v>45840</v>
      </c>
      <c r="L113" s="29"/>
      <c r="M113" s="29"/>
      <c r="N113" s="29"/>
    </row>
    <row r="114">
      <c r="A114" s="32">
        <f>IFERROR(__xludf.DUMMYFUNCTION("""COMPUTED_VALUE"""),45810.0)</f>
        <v>45810</v>
      </c>
      <c r="B114" s="29" t="str">
        <f>IFERROR(__xludf.DUMMYFUNCTION("""COMPUTED_VALUE"""),"Melissa")</f>
        <v>Melissa</v>
      </c>
      <c r="C114" s="29" t="str">
        <f>IFERROR(__xludf.DUMMYFUNCTION("""COMPUTED_VALUE"""),"Native Com. Sanytol")</f>
        <v>Native Com. Sanytol</v>
      </c>
      <c r="D114" s="29" t="str">
        <f>IFERROR(__xludf.DUMMYFUNCTION("""COMPUTED_VALUE"""),"F250112")</f>
        <v>F250112</v>
      </c>
      <c r="E114" s="241">
        <f>IFERROR(__xludf.DUMMYFUNCTION("""COMPUTED_VALUE"""),600.0)</f>
        <v>600</v>
      </c>
      <c r="F114" s="241">
        <f>IFERROR(__xludf.DUMMYFUNCTION("""COMPUTED_VALUE"""),180.0)</f>
        <v>180</v>
      </c>
      <c r="G114" s="241">
        <f>IFERROR(__xludf.DUMMYFUNCTION("""COMPUTED_VALUE"""),420.0)</f>
        <v>420</v>
      </c>
      <c r="H114" s="29" t="b">
        <f>IFERROR(__xludf.DUMMYFUNCTION("""COMPUTED_VALUE"""),TRUE)</f>
        <v>1</v>
      </c>
      <c r="I114" s="257"/>
      <c r="J114" s="29"/>
      <c r="K114" s="32">
        <f>IFERROR(__xludf.DUMMYFUNCTION("""COMPUTED_VALUE"""),45840.0)</f>
        <v>45840</v>
      </c>
      <c r="L114" s="29"/>
      <c r="M114" s="29"/>
      <c r="N114" s="29"/>
    </row>
    <row r="115">
      <c r="A115" s="32">
        <f>IFERROR(__xludf.DUMMYFUNCTION("""COMPUTED_VALUE"""),45783.0)</f>
        <v>45783</v>
      </c>
      <c r="B115" s="29" t="str">
        <f>IFERROR(__xludf.DUMMYFUNCTION("""COMPUTED_VALUE"""),"Anaïs")</f>
        <v>Anaïs</v>
      </c>
      <c r="C115" s="29" t="str">
        <f>IFERROR(__xludf.DUMMYFUNCTION("""COMPUTED_VALUE"""),"MAVATYS")</f>
        <v>MAVATYS</v>
      </c>
      <c r="D115" s="29" t="str">
        <f>IFERROR(__xludf.DUMMYFUNCTION("""COMPUTED_VALUE"""),"F250113")</f>
        <v>F250113</v>
      </c>
      <c r="E115" s="241">
        <f>IFERROR(__xludf.DUMMYFUNCTION("""COMPUTED_VALUE"""),600.0)</f>
        <v>600</v>
      </c>
      <c r="F115" s="241">
        <f>IFERROR(__xludf.DUMMYFUNCTION("""COMPUTED_VALUE"""),180.0)</f>
        <v>180</v>
      </c>
      <c r="G115" s="241">
        <f>IFERROR(__xludf.DUMMYFUNCTION("""COMPUTED_VALUE"""),420.0)</f>
        <v>420</v>
      </c>
      <c r="H115" s="29" t="b">
        <f>IFERROR(__xludf.DUMMYFUNCTION("""COMPUTED_VALUE"""),TRUE)</f>
        <v>1</v>
      </c>
      <c r="I115" s="257"/>
      <c r="J115" s="29"/>
      <c r="K115" s="32">
        <f>IFERROR(__xludf.DUMMYFUNCTION("""COMPUTED_VALUE"""),45813.0)</f>
        <v>45813</v>
      </c>
      <c r="L115" s="29"/>
      <c r="M115" s="29"/>
      <c r="N115" s="29"/>
    </row>
    <row r="116">
      <c r="A116" s="32">
        <f>IFERROR(__xludf.DUMMYFUNCTION("""COMPUTED_VALUE"""),45783.0)</f>
        <v>45783</v>
      </c>
      <c r="B116" s="29" t="str">
        <f>IFERROR(__xludf.DUMMYFUNCTION("""COMPUTED_VALUE"""),"Morgane")</f>
        <v>Morgane</v>
      </c>
      <c r="C116" s="29" t="str">
        <f>IFERROR(__xludf.DUMMYFUNCTION("""COMPUTED_VALUE"""),"Keracare Laseen")</f>
        <v>Keracare Laseen</v>
      </c>
      <c r="D116" s="29" t="str">
        <f>IFERROR(__xludf.DUMMYFUNCTION("""COMPUTED_VALUE"""),"F250114")</f>
        <v>F250114</v>
      </c>
      <c r="E116" s="241">
        <f>IFERROR(__xludf.DUMMYFUNCTION("""COMPUTED_VALUE"""),325.0)</f>
        <v>325</v>
      </c>
      <c r="F116" s="241">
        <f>IFERROR(__xludf.DUMMYFUNCTION("""COMPUTED_VALUE"""),97.5)</f>
        <v>97.5</v>
      </c>
      <c r="G116" s="241">
        <f>IFERROR(__xludf.DUMMYFUNCTION("""COMPUTED_VALUE"""),227.5)</f>
        <v>227.5</v>
      </c>
      <c r="H116" s="29" t="b">
        <f>IFERROR(__xludf.DUMMYFUNCTION("""COMPUTED_VALUE"""),TRUE)</f>
        <v>1</v>
      </c>
      <c r="I116" s="257"/>
      <c r="J116" s="29"/>
      <c r="K116" s="32">
        <f>IFERROR(__xludf.DUMMYFUNCTION("""COMPUTED_VALUE"""),45843.0)</f>
        <v>45843</v>
      </c>
      <c r="L116" s="29"/>
      <c r="M116" s="29"/>
      <c r="N116" s="29"/>
    </row>
    <row r="117">
      <c r="A117" s="32">
        <f>IFERROR(__xludf.DUMMYFUNCTION("""COMPUTED_VALUE"""),45817.0)</f>
        <v>45817</v>
      </c>
      <c r="B117" s="29" t="str">
        <f>IFERROR(__xludf.DUMMYFUNCTION("""COMPUTED_VALUE"""),"Lily Noël")</f>
        <v>Lily Noël</v>
      </c>
      <c r="C117" s="29" t="str">
        <f>IFERROR(__xludf.DUMMYFUNCTION("""COMPUTED_VALUE"""),"WOO NYX SMUSHY")</f>
        <v>WOO NYX SMUSHY</v>
      </c>
      <c r="D117" s="29" t="str">
        <f>IFERROR(__xludf.DUMMYFUNCTION("""COMPUTED_VALUE"""),"F250115")</f>
        <v>F250115</v>
      </c>
      <c r="E117" s="241">
        <f>IFERROR(__xludf.DUMMYFUNCTION("""COMPUTED_VALUE"""),810.0)</f>
        <v>810</v>
      </c>
      <c r="F117" s="241">
        <f>IFERROR(__xludf.DUMMYFUNCTION("""COMPUTED_VALUE"""),202.5)</f>
        <v>202.5</v>
      </c>
      <c r="G117" s="241">
        <f>IFERROR(__xludf.DUMMYFUNCTION("""COMPUTED_VALUE"""),607.5)</f>
        <v>607.5</v>
      </c>
      <c r="H117" s="29" t="b">
        <f>IFERROR(__xludf.DUMMYFUNCTION("""COMPUTED_VALUE"""),FALSE)</f>
        <v>0</v>
      </c>
      <c r="I117" s="257"/>
      <c r="J117" s="29"/>
      <c r="K117" s="32">
        <f>IFERROR(__xludf.DUMMYFUNCTION("""COMPUTED_VALUE"""),45869.0)</f>
        <v>45869</v>
      </c>
      <c r="L117" s="29"/>
      <c r="M117" s="29"/>
      <c r="N117" s="29"/>
    </row>
    <row r="118">
      <c r="A118" s="32">
        <f>IFERROR(__xludf.DUMMYFUNCTION("""COMPUTED_VALUE"""),45817.0)</f>
        <v>45817</v>
      </c>
      <c r="B118" s="29" t="str">
        <f>IFERROR(__xludf.DUMMYFUNCTION("""COMPUTED_VALUE"""),"Aïcha")</f>
        <v>Aïcha</v>
      </c>
      <c r="C118" s="29" t="str">
        <f>IFERROR(__xludf.DUMMYFUNCTION("""COMPUTED_VALUE"""),"Wandernana")</f>
        <v>Wandernana</v>
      </c>
      <c r="D118" s="29" t="str">
        <f>IFERROR(__xludf.DUMMYFUNCTION("""COMPUTED_VALUE"""),"F250116")</f>
        <v>F250116</v>
      </c>
      <c r="E118" s="241">
        <f>IFERROR(__xludf.DUMMYFUNCTION("""COMPUTED_VALUE"""),200.0)</f>
        <v>200</v>
      </c>
      <c r="F118" s="241">
        <f>IFERROR(__xludf.DUMMYFUNCTION("""COMPUTED_VALUE"""),60.0)</f>
        <v>60</v>
      </c>
      <c r="G118" s="241">
        <f>IFERROR(__xludf.DUMMYFUNCTION("""COMPUTED_VALUE"""),140.0)</f>
        <v>140</v>
      </c>
      <c r="H118" s="29" t="b">
        <f>IFERROR(__xludf.DUMMYFUNCTION("""COMPUTED_VALUE"""),TRUE)</f>
        <v>1</v>
      </c>
      <c r="I118" s="257"/>
      <c r="J118" s="29"/>
      <c r="K118" s="32">
        <f>IFERROR(__xludf.DUMMYFUNCTION("""COMPUTED_VALUE"""),45847.0)</f>
        <v>45847</v>
      </c>
      <c r="L118" s="29"/>
      <c r="M118" s="29"/>
      <c r="N118" s="29"/>
    </row>
    <row r="119">
      <c r="A119" s="32">
        <f>IFERROR(__xludf.DUMMYFUNCTION("""COMPUTED_VALUE"""),45817.0)</f>
        <v>45817</v>
      </c>
      <c r="B119" s="29" t="str">
        <f>IFERROR(__xludf.DUMMYFUNCTION("""COMPUTED_VALUE"""),"Anaïs")</f>
        <v>Anaïs</v>
      </c>
      <c r="C119" s="29" t="str">
        <f>IFERROR(__xludf.DUMMYFUNCTION("""COMPUTED_VALUE"""),"BOLT Ducray")</f>
        <v>BOLT Ducray</v>
      </c>
      <c r="D119" s="29" t="str">
        <f>IFERROR(__xludf.DUMMYFUNCTION("""COMPUTED_VALUE"""),"F250117")</f>
        <v>F250117</v>
      </c>
      <c r="E119" s="241">
        <f>IFERROR(__xludf.DUMMYFUNCTION("""COMPUTED_VALUE"""),1000.0)</f>
        <v>1000</v>
      </c>
      <c r="F119" s="241">
        <f>IFERROR(__xludf.DUMMYFUNCTION("""COMPUTED_VALUE"""),300.0)</f>
        <v>300</v>
      </c>
      <c r="G119" s="241">
        <f>IFERROR(__xludf.DUMMYFUNCTION("""COMPUTED_VALUE"""),700.0)</f>
        <v>700</v>
      </c>
      <c r="H119" s="29" t="b">
        <f>IFERROR(__xludf.DUMMYFUNCTION("""COMPUTED_VALUE"""),FALSE)</f>
        <v>0</v>
      </c>
      <c r="I119" s="257"/>
      <c r="J119" s="29"/>
      <c r="K119" s="32">
        <f>IFERROR(__xludf.DUMMYFUNCTION("""COMPUTED_VALUE"""),45877.0)</f>
        <v>45877</v>
      </c>
      <c r="L119" s="29"/>
      <c r="M119" s="29"/>
      <c r="N119" s="29"/>
    </row>
    <row r="120">
      <c r="A120" s="32">
        <f>IFERROR(__xludf.DUMMYFUNCTION("""COMPUTED_VALUE"""),45823.0)</f>
        <v>45823</v>
      </c>
      <c r="B120" s="29" t="str">
        <f>IFERROR(__xludf.DUMMYFUNCTION("""COMPUTED_VALUE"""),"Morgane Asmae")</f>
        <v>Morgane Asmae</v>
      </c>
      <c r="C120" s="29" t="str">
        <f>IFERROR(__xludf.DUMMYFUNCTION("""COMPUTED_VALUE"""),"DFS Co., Ltd. Haru Haru")</f>
        <v>DFS Co., Ltd. Haru Haru</v>
      </c>
      <c r="D120" s="29" t="str">
        <f>IFERROR(__xludf.DUMMYFUNCTION("""COMPUTED_VALUE"""),"F250118")</f>
        <v>F250118</v>
      </c>
      <c r="E120" s="241">
        <f>IFERROR(__xludf.DUMMYFUNCTION("""COMPUTED_VALUE"""),1100.0)</f>
        <v>1100</v>
      </c>
      <c r="F120" s="241">
        <f>IFERROR(__xludf.DUMMYFUNCTION("""COMPUTED_VALUE"""),330.0)</f>
        <v>330</v>
      </c>
      <c r="G120" s="241">
        <f>IFERROR(__xludf.DUMMYFUNCTION("""COMPUTED_VALUE"""),770.0)</f>
        <v>770</v>
      </c>
      <c r="H120" s="29" t="b">
        <f>IFERROR(__xludf.DUMMYFUNCTION("""COMPUTED_VALUE"""),TRUE)</f>
        <v>1</v>
      </c>
      <c r="I120" s="257"/>
      <c r="J120" s="29"/>
      <c r="K120" s="32">
        <f>IFERROR(__xludf.DUMMYFUNCTION("""COMPUTED_VALUE"""),45853.0)</f>
        <v>45853</v>
      </c>
      <c r="L120" s="29"/>
      <c r="M120" s="29"/>
      <c r="N120" s="29"/>
    </row>
    <row r="121">
      <c r="A121" s="32">
        <f>IFERROR(__xludf.DUMMYFUNCTION("""COMPUTED_VALUE"""),45823.0)</f>
        <v>45823</v>
      </c>
      <c r="B121" s="29" t="str">
        <f>IFERROR(__xludf.DUMMYFUNCTION("""COMPUTED_VALUE"""),"---")</f>
        <v>---</v>
      </c>
      <c r="C121" s="29" t="str">
        <f>IFERROR(__xludf.DUMMYFUNCTION("""COMPUTED_VALUE"""),"Myriam K")</f>
        <v>Myriam K</v>
      </c>
      <c r="D121" s="29" t="str">
        <f>IFERROR(__xludf.DUMMYFUNCTION("""COMPUTED_VALUE"""),"F250119")</f>
        <v>F250119</v>
      </c>
      <c r="E121" s="241">
        <f>IFERROR(__xludf.DUMMYFUNCTION("""COMPUTED_VALUE"""),4900.0)</f>
        <v>4900</v>
      </c>
      <c r="F121" s="241">
        <f>IFERROR(__xludf.DUMMYFUNCTION("""COMPUTED_VALUE"""),1345.0)</f>
        <v>1345</v>
      </c>
      <c r="G121" s="241">
        <f>IFERROR(__xludf.DUMMYFUNCTION("""COMPUTED_VALUE"""),3555.0)</f>
        <v>3555</v>
      </c>
      <c r="H121" s="29" t="b">
        <f>IFERROR(__xludf.DUMMYFUNCTION("""COMPUTED_VALUE"""),TRUE)</f>
        <v>1</v>
      </c>
      <c r="I121" s="257"/>
      <c r="J121" s="29"/>
      <c r="K121" s="32">
        <f>IFERROR(__xludf.DUMMYFUNCTION("""COMPUTED_VALUE"""),45853.0)</f>
        <v>45853</v>
      </c>
      <c r="L121" s="29"/>
      <c r="M121" s="29"/>
      <c r="N121" s="29"/>
    </row>
    <row r="122">
      <c r="A122" s="32">
        <f>IFERROR(__xludf.DUMMYFUNCTION("""COMPUTED_VALUE"""),45824.0)</f>
        <v>45824</v>
      </c>
      <c r="B122" s="29" t="str">
        <f>IFERROR(__xludf.DUMMYFUNCTION("""COMPUTED_VALUE"""),"Lola")</f>
        <v>Lola</v>
      </c>
      <c r="C122" s="29" t="str">
        <f>IFERROR(__xludf.DUMMYFUNCTION("""COMPUTED_VALUE"""),"My Little Box")</f>
        <v>My Little Box</v>
      </c>
      <c r="D122" s="29" t="str">
        <f>IFERROR(__xludf.DUMMYFUNCTION("""COMPUTED_VALUE"""),"F250120")</f>
        <v>F250120</v>
      </c>
      <c r="E122" s="241">
        <f>IFERROR(__xludf.DUMMYFUNCTION("""COMPUTED_VALUE"""),450.0)</f>
        <v>450</v>
      </c>
      <c r="F122" s="241">
        <f>IFERROR(__xludf.DUMMYFUNCTION("""COMPUTED_VALUE"""),135.0)</f>
        <v>135</v>
      </c>
      <c r="G122" s="241">
        <f>IFERROR(__xludf.DUMMYFUNCTION("""COMPUTED_VALUE"""),315.0)</f>
        <v>315</v>
      </c>
      <c r="H122" s="29" t="b">
        <f>IFERROR(__xludf.DUMMYFUNCTION("""COMPUTED_VALUE"""),TRUE)</f>
        <v>1</v>
      </c>
      <c r="I122" s="257"/>
      <c r="J122" s="29"/>
      <c r="K122" s="32">
        <f>IFERROR(__xludf.DUMMYFUNCTION("""COMPUTED_VALUE"""),45854.0)</f>
        <v>45854</v>
      </c>
      <c r="L122" s="29"/>
      <c r="M122" s="29"/>
      <c r="N122" s="29"/>
    </row>
    <row r="123">
      <c r="A123" s="32">
        <f>IFERROR(__xludf.DUMMYFUNCTION("""COMPUTED_VALUE"""),45824.0)</f>
        <v>45824</v>
      </c>
      <c r="B123" s="29" t="str">
        <f>IFERROR(__xludf.DUMMYFUNCTION("""COMPUTED_VALUE"""),"Lola H")</f>
        <v>Lola H</v>
      </c>
      <c r="C123" s="29" t="str">
        <f>IFERROR(__xludf.DUMMYFUNCTION("""COMPUTED_VALUE"""),"Soeurrette Sanex")</f>
        <v>Soeurrette Sanex</v>
      </c>
      <c r="D123" s="29" t="str">
        <f>IFERROR(__xludf.DUMMYFUNCTION("""COMPUTED_VALUE"""),"F250121")</f>
        <v>F250121</v>
      </c>
      <c r="E123" s="241">
        <f>IFERROR(__xludf.DUMMYFUNCTION("""COMPUTED_VALUE"""),1200.0)</f>
        <v>1200</v>
      </c>
      <c r="F123" s="241">
        <f>IFERROR(__xludf.DUMMYFUNCTION("""COMPUTED_VALUE"""),360.0)</f>
        <v>360</v>
      </c>
      <c r="G123" s="241">
        <f>IFERROR(__xludf.DUMMYFUNCTION("""COMPUTED_VALUE"""),840.0)</f>
        <v>840</v>
      </c>
      <c r="H123" s="29" t="b">
        <f>IFERROR(__xludf.DUMMYFUNCTION("""COMPUTED_VALUE"""),FALSE)</f>
        <v>0</v>
      </c>
      <c r="I123" s="257"/>
      <c r="J123" s="29"/>
      <c r="K123" s="32">
        <f>IFERROR(__xludf.DUMMYFUNCTION("""COMPUTED_VALUE"""),45884.0)</f>
        <v>45884</v>
      </c>
      <c r="L123" s="29"/>
      <c r="M123" s="29"/>
      <c r="N123" s="29"/>
    </row>
    <row r="124">
      <c r="A124" s="32">
        <f>IFERROR(__xludf.DUMMYFUNCTION("""COMPUTED_VALUE"""),45826.0)</f>
        <v>45826</v>
      </c>
      <c r="B124" s="29" t="str">
        <f>IFERROR(__xludf.DUMMYFUNCTION("""COMPUTED_VALUE"""),"Aicha")</f>
        <v>Aicha</v>
      </c>
      <c r="C124" s="29" t="str">
        <f>IFERROR(__xludf.DUMMYFUNCTION("""COMPUTED_VALUE"""),"GOODBLIN LIMITED haCOO")</f>
        <v>GOODBLIN LIMITED haCOO</v>
      </c>
      <c r="D124" s="29" t="str">
        <f>IFERROR(__xludf.DUMMYFUNCTION("""COMPUTED_VALUE"""),"F250122")</f>
        <v>F250122</v>
      </c>
      <c r="E124" s="241">
        <f>IFERROR(__xludf.DUMMYFUNCTION("""COMPUTED_VALUE"""),50.0)</f>
        <v>50</v>
      </c>
      <c r="F124" s="241">
        <f>IFERROR(__xludf.DUMMYFUNCTION("""COMPUTED_VALUE"""),50.0)</f>
        <v>50</v>
      </c>
      <c r="G124" s="241">
        <f>IFERROR(__xludf.DUMMYFUNCTION("""COMPUTED_VALUE"""),0.0)</f>
        <v>0</v>
      </c>
      <c r="H124" s="29" t="b">
        <f>IFERROR(__xludf.DUMMYFUNCTION("""COMPUTED_VALUE"""),TRUE)</f>
        <v>1</v>
      </c>
      <c r="I124" s="257"/>
      <c r="J124" s="29"/>
      <c r="K124" s="32">
        <f>IFERROR(__xludf.DUMMYFUNCTION("""COMPUTED_VALUE"""),45856.0)</f>
        <v>45856</v>
      </c>
      <c r="L124" s="29"/>
      <c r="M124" s="29"/>
      <c r="N124" s="29"/>
    </row>
    <row r="125">
      <c r="A125" s="32">
        <f>IFERROR(__xludf.DUMMYFUNCTION("""COMPUTED_VALUE"""),45826.0)</f>
        <v>45826</v>
      </c>
      <c r="B125" s="29" t="str">
        <f>IFERROR(__xludf.DUMMYFUNCTION("""COMPUTED_VALUE"""),"Gurbet")</f>
        <v>Gurbet</v>
      </c>
      <c r="C125" s="29" t="str">
        <f>IFERROR(__xludf.DUMMYFUNCTION("""COMPUTED_VALUE"""),"Lazartigue")</f>
        <v>Lazartigue</v>
      </c>
      <c r="D125" s="29" t="str">
        <f>IFERROR(__xludf.DUMMYFUNCTION("""COMPUTED_VALUE"""),"F250123")</f>
        <v>F250123</v>
      </c>
      <c r="E125" s="241">
        <f>IFERROR(__xludf.DUMMYFUNCTION("""COMPUTED_VALUE"""),1200.0)</f>
        <v>1200</v>
      </c>
      <c r="F125" s="241">
        <f>IFERROR(__xludf.DUMMYFUNCTION("""COMPUTED_VALUE"""),360.0)</f>
        <v>360</v>
      </c>
      <c r="G125" s="241">
        <f>IFERROR(__xludf.DUMMYFUNCTION("""COMPUTED_VALUE"""),840.0)</f>
        <v>840</v>
      </c>
      <c r="H125" s="29" t="b">
        <f>IFERROR(__xludf.DUMMYFUNCTION("""COMPUTED_VALUE"""),TRUE)</f>
        <v>1</v>
      </c>
      <c r="I125" s="257"/>
      <c r="J125" s="29"/>
      <c r="K125" s="32">
        <f>IFERROR(__xludf.DUMMYFUNCTION("""COMPUTED_VALUE"""),45856.0)</f>
        <v>45856</v>
      </c>
      <c r="L125" s="29"/>
      <c r="M125" s="29"/>
      <c r="N125" s="29"/>
    </row>
    <row r="126">
      <c r="A126" s="32">
        <f>IFERROR(__xludf.DUMMYFUNCTION("""COMPUTED_VALUE"""),45826.0)</f>
        <v>45826</v>
      </c>
      <c r="B126" s="29" t="str">
        <f>IFERROR(__xludf.DUMMYFUNCTION("""COMPUTED_VALUE"""),"Sofia")</f>
        <v>Sofia</v>
      </c>
      <c r="C126" s="29" t="str">
        <f>IFERROR(__xludf.DUMMYFUNCTION("""COMPUTED_VALUE"""),"EMF Musc Intime")</f>
        <v>EMF Musc Intime</v>
      </c>
      <c r="D126" s="29" t="str">
        <f>IFERROR(__xludf.DUMMYFUNCTION("""COMPUTED_VALUE"""),"F250124")</f>
        <v>F250124</v>
      </c>
      <c r="E126" s="241">
        <f>IFERROR(__xludf.DUMMYFUNCTION("""COMPUTED_VALUE"""),300.0)</f>
        <v>300</v>
      </c>
      <c r="F126" s="241">
        <f>IFERROR(__xludf.DUMMYFUNCTION("""COMPUTED_VALUE"""),90.0)</f>
        <v>90</v>
      </c>
      <c r="G126" s="241">
        <f>IFERROR(__xludf.DUMMYFUNCTION("""COMPUTED_VALUE"""),210.0)</f>
        <v>210</v>
      </c>
      <c r="H126" s="29" t="b">
        <f>IFERROR(__xludf.DUMMYFUNCTION("""COMPUTED_VALUE"""),FALSE)</f>
        <v>0</v>
      </c>
      <c r="I126" s="257"/>
      <c r="J126" s="29"/>
      <c r="K126" s="32">
        <f>IFERROR(__xludf.DUMMYFUNCTION("""COMPUTED_VALUE"""),45856.0)</f>
        <v>45856</v>
      </c>
      <c r="L126" s="29"/>
      <c r="M126" s="29"/>
      <c r="N126" s="29"/>
    </row>
    <row r="127">
      <c r="A127" s="32">
        <f>IFERROR(__xludf.DUMMYFUNCTION("""COMPUTED_VALUE"""),45827.0)</f>
        <v>45827</v>
      </c>
      <c r="B127" s="29" t="str">
        <f>IFERROR(__xludf.DUMMYFUNCTION("""COMPUTED_VALUE"""),"Lola")</f>
        <v>Lola</v>
      </c>
      <c r="C127" s="29" t="str">
        <f>IFERROR(__xludf.DUMMYFUNCTION("""COMPUTED_VALUE"""),"Drunk Ele. Sparkle")</f>
        <v>Drunk Ele. Sparkle</v>
      </c>
      <c r="D127" s="29" t="str">
        <f>IFERROR(__xludf.DUMMYFUNCTION("""COMPUTED_VALUE"""),"F250125")</f>
        <v>F250125</v>
      </c>
      <c r="E127" s="241">
        <f>IFERROR(__xludf.DUMMYFUNCTION("""COMPUTED_VALUE"""),150.0)</f>
        <v>150</v>
      </c>
      <c r="F127" s="241">
        <f>IFERROR(__xludf.DUMMYFUNCTION("""COMPUTED_VALUE"""),45.0)</f>
        <v>45</v>
      </c>
      <c r="G127" s="241">
        <f>IFERROR(__xludf.DUMMYFUNCTION("""COMPUTED_VALUE"""),105.0)</f>
        <v>105</v>
      </c>
      <c r="H127" s="29" t="b">
        <f>IFERROR(__xludf.DUMMYFUNCTION("""COMPUTED_VALUE"""),FALSE)</f>
        <v>0</v>
      </c>
      <c r="I127" s="257"/>
      <c r="J127" s="29"/>
      <c r="K127" s="32">
        <f>IFERROR(__xludf.DUMMYFUNCTION("""COMPUTED_VALUE"""),45857.0)</f>
        <v>45857</v>
      </c>
      <c r="L127" s="29"/>
      <c r="M127" s="29"/>
      <c r="N127" s="29"/>
    </row>
    <row r="128">
      <c r="A128" s="32">
        <f>IFERROR(__xludf.DUMMYFUNCTION("""COMPUTED_VALUE"""),45830.0)</f>
        <v>45830</v>
      </c>
      <c r="B128" s="29" t="str">
        <f>IFERROR(__xludf.DUMMYFUNCTION("""COMPUTED_VALUE"""),"Lola")</f>
        <v>Lola</v>
      </c>
      <c r="C128" s="29" t="str">
        <f>IFERROR(__xludf.DUMMYFUNCTION("""COMPUTED_VALUE"""),"WOO LRP")</f>
        <v>WOO LRP</v>
      </c>
      <c r="D128" s="29" t="str">
        <f>IFERROR(__xludf.DUMMYFUNCTION("""COMPUTED_VALUE"""),"F250126")</f>
        <v>F250126</v>
      </c>
      <c r="E128" s="241">
        <f>IFERROR(__xludf.DUMMYFUNCTION("""COMPUTED_VALUE"""),750.0)</f>
        <v>750</v>
      </c>
      <c r="F128" s="241">
        <f>IFERROR(__xludf.DUMMYFUNCTION("""COMPUTED_VALUE"""),225.0)</f>
        <v>225</v>
      </c>
      <c r="G128" s="241">
        <f>IFERROR(__xludf.DUMMYFUNCTION("""COMPUTED_VALUE"""),525.0)</f>
        <v>525</v>
      </c>
      <c r="H128" s="29" t="b">
        <f>IFERROR(__xludf.DUMMYFUNCTION("""COMPUTED_VALUE"""),FALSE)</f>
        <v>0</v>
      </c>
      <c r="I128" s="257"/>
      <c r="J128" s="29"/>
      <c r="K128" s="32">
        <f>IFERROR(__xludf.DUMMYFUNCTION("""COMPUTED_VALUE"""),45869.0)</f>
        <v>45869</v>
      </c>
      <c r="L128" s="29"/>
      <c r="M128" s="29"/>
      <c r="N128" s="29"/>
    </row>
    <row r="129">
      <c r="A129" s="32">
        <f>IFERROR(__xludf.DUMMYFUNCTION("""COMPUTED_VALUE"""),45832.0)</f>
        <v>45832</v>
      </c>
      <c r="B129" s="29" t="str">
        <f>IFERROR(__xludf.DUMMYFUNCTION("""COMPUTED_VALUE"""),"Aicha")</f>
        <v>Aicha</v>
      </c>
      <c r="C129" s="29" t="str">
        <f>IFERROR(__xludf.DUMMYFUNCTION("""COMPUTED_VALUE"""),"Sekaya Musc")</f>
        <v>Sekaya Musc</v>
      </c>
      <c r="D129" s="29" t="str">
        <f>IFERROR(__xludf.DUMMYFUNCTION("""COMPUTED_VALUE"""),"F250127")</f>
        <v>F250127</v>
      </c>
      <c r="E129" s="241">
        <f>IFERROR(__xludf.DUMMYFUNCTION("""COMPUTED_VALUE"""),370.0)</f>
        <v>370</v>
      </c>
      <c r="F129" s="241">
        <f>IFERROR(__xludf.DUMMYFUNCTION("""COMPUTED_VALUE"""),111.0)</f>
        <v>111</v>
      </c>
      <c r="G129" s="241">
        <f>IFERROR(__xludf.DUMMYFUNCTION("""COMPUTED_VALUE"""),259.0)</f>
        <v>259</v>
      </c>
      <c r="H129" s="29" t="b">
        <f>IFERROR(__xludf.DUMMYFUNCTION("""COMPUTED_VALUE"""),TRUE)</f>
        <v>1</v>
      </c>
      <c r="I129" s="257"/>
      <c r="J129" s="29"/>
      <c r="K129" s="32">
        <f>IFERROR(__xludf.DUMMYFUNCTION("""COMPUTED_VALUE"""),45862.0)</f>
        <v>45862</v>
      </c>
      <c r="L129" s="29"/>
      <c r="M129" s="29"/>
      <c r="N129" s="29"/>
    </row>
    <row r="130">
      <c r="A130" s="32">
        <f>IFERROR(__xludf.DUMMYFUNCTION("""COMPUTED_VALUE"""),45833.0)</f>
        <v>45833</v>
      </c>
      <c r="B130" s="29" t="str">
        <f>IFERROR(__xludf.DUMMYFUNCTION("""COMPUTED_VALUE"""),"Camille")</f>
        <v>Camille</v>
      </c>
      <c r="C130" s="29" t="str">
        <f>IFERROR(__xludf.DUMMYFUNCTION("""COMPUTED_VALUE"""),"WOO Mediat Lancome")</f>
        <v>WOO Mediat Lancome</v>
      </c>
      <c r="D130" s="29" t="str">
        <f>IFERROR(__xludf.DUMMYFUNCTION("""COMPUTED_VALUE"""),"F250128")</f>
        <v>F250128</v>
      </c>
      <c r="E130" s="241">
        <f>IFERROR(__xludf.DUMMYFUNCTION("""COMPUTED_VALUE"""),300.0)</f>
        <v>300</v>
      </c>
      <c r="F130" s="241">
        <f>IFERROR(__xludf.DUMMYFUNCTION("""COMPUTED_VALUE"""),75.0)</f>
        <v>75</v>
      </c>
      <c r="G130" s="241">
        <f>IFERROR(__xludf.DUMMYFUNCTION("""COMPUTED_VALUE"""),225.0)</f>
        <v>225</v>
      </c>
      <c r="H130" s="29" t="b">
        <f>IFERROR(__xludf.DUMMYFUNCTION("""COMPUTED_VALUE"""),FALSE)</f>
        <v>0</v>
      </c>
      <c r="I130" s="257"/>
      <c r="J130" s="29"/>
      <c r="K130" s="32">
        <f>IFERROR(__xludf.DUMMYFUNCTION("""COMPUTED_VALUE"""),45869.0)</f>
        <v>45869</v>
      </c>
      <c r="L130" s="29"/>
      <c r="M130" s="29"/>
      <c r="N130" s="29"/>
    </row>
    <row r="131">
      <c r="A131" s="32">
        <f>IFERROR(__xludf.DUMMYFUNCTION("""COMPUTED_VALUE"""),45833.0)</f>
        <v>45833</v>
      </c>
      <c r="B131" s="29" t="str">
        <f>IFERROR(__xludf.DUMMYFUNCTION("""COMPUTED_VALUE"""),"Camille")</f>
        <v>Camille</v>
      </c>
      <c r="C131" s="29" t="str">
        <f>IFERROR(__xludf.DUMMYFUNCTION("""COMPUTED_VALUE"""),"WOO Mediat Lancome")</f>
        <v>WOO Mediat Lancome</v>
      </c>
      <c r="D131" s="29" t="str">
        <f>IFERROR(__xludf.DUMMYFUNCTION("""COMPUTED_VALUE"""),"F250129")</f>
        <v>F250129</v>
      </c>
      <c r="E131" s="241">
        <f>IFERROR(__xludf.DUMMYFUNCTION("""COMPUTED_VALUE"""),500.0)</f>
        <v>500</v>
      </c>
      <c r="F131" s="241">
        <f>IFERROR(__xludf.DUMMYFUNCTION("""COMPUTED_VALUE"""),125.0)</f>
        <v>125</v>
      </c>
      <c r="G131" s="241">
        <f>IFERROR(__xludf.DUMMYFUNCTION("""COMPUTED_VALUE"""),375.0)</f>
        <v>375</v>
      </c>
      <c r="H131" s="29" t="b">
        <f>IFERROR(__xludf.DUMMYFUNCTION("""COMPUTED_VALUE"""),FALSE)</f>
        <v>0</v>
      </c>
      <c r="I131" s="257"/>
      <c r="J131" s="29"/>
      <c r="K131" s="32">
        <f>IFERROR(__xludf.DUMMYFUNCTION("""COMPUTED_VALUE"""),45869.0)</f>
        <v>45869</v>
      </c>
      <c r="L131" s="29"/>
      <c r="M131" s="29"/>
      <c r="N131" s="29"/>
    </row>
    <row r="132">
      <c r="A132" s="32">
        <f>IFERROR(__xludf.DUMMYFUNCTION("""COMPUTED_VALUE"""),45834.0)</f>
        <v>45834</v>
      </c>
      <c r="B132" s="29" t="str">
        <f>IFERROR(__xludf.DUMMYFUNCTION("""COMPUTED_VALUE"""),"Lily Noël")</f>
        <v>Lily Noël</v>
      </c>
      <c r="C132" s="29" t="str">
        <f>IFERROR(__xludf.DUMMYFUNCTION("""COMPUTED_VALUE"""),"Content Lab Ali Express")</f>
        <v>Content Lab Ali Express</v>
      </c>
      <c r="D132" s="29" t="str">
        <f>IFERROR(__xludf.DUMMYFUNCTION("""COMPUTED_VALUE"""),"F250130")</f>
        <v>F250130</v>
      </c>
      <c r="E132" s="241">
        <f>IFERROR(__xludf.DUMMYFUNCTION("""COMPUTED_VALUE"""),471.27)</f>
        <v>471.27</v>
      </c>
      <c r="F132" s="241">
        <f>IFERROR(__xludf.DUMMYFUNCTION("""COMPUTED_VALUE"""),117.8175)</f>
        <v>117.8175</v>
      </c>
      <c r="G132" s="241">
        <f>IFERROR(__xludf.DUMMYFUNCTION("""COMPUTED_VALUE"""),353.4525)</f>
        <v>353.4525</v>
      </c>
      <c r="H132" s="29" t="b">
        <f>IFERROR(__xludf.DUMMYFUNCTION("""COMPUTED_VALUE"""),TRUE)</f>
        <v>1</v>
      </c>
      <c r="I132" s="257"/>
      <c r="J132" s="29"/>
      <c r="K132" s="32">
        <f>IFERROR(__xludf.DUMMYFUNCTION("""COMPUTED_VALUE"""),45864.0)</f>
        <v>45864</v>
      </c>
      <c r="L132" s="29"/>
      <c r="M132" s="29"/>
      <c r="N132" s="29"/>
    </row>
    <row r="133">
      <c r="A133" s="32">
        <f>IFERROR(__xludf.DUMMYFUNCTION("""COMPUTED_VALUE"""),45834.0)</f>
        <v>45834</v>
      </c>
      <c r="B133" s="29" t="str">
        <f>IFERROR(__xludf.DUMMYFUNCTION("""COMPUTED_VALUE"""),"Gurbet")</f>
        <v>Gurbet</v>
      </c>
      <c r="C133" s="29" t="str">
        <f>IFERROR(__xludf.DUMMYFUNCTION("""COMPUTED_VALUE"""),"Grin Live RoseSkinCo")</f>
        <v>Grin Live RoseSkinCo</v>
      </c>
      <c r="D133" s="29" t="str">
        <f>IFERROR(__xludf.DUMMYFUNCTION("""COMPUTED_VALUE"""),"F250131")</f>
        <v>F250131</v>
      </c>
      <c r="E133" s="241">
        <f>IFERROR(__xludf.DUMMYFUNCTION("""COMPUTED_VALUE"""),550.13)</f>
        <v>550.13</v>
      </c>
      <c r="F133" s="241">
        <f>IFERROR(__xludf.DUMMYFUNCTION("""COMPUTED_VALUE"""),165.039)</f>
        <v>165.039</v>
      </c>
      <c r="G133" s="241">
        <f>IFERROR(__xludf.DUMMYFUNCTION("""COMPUTED_VALUE"""),385.091)</f>
        <v>385.091</v>
      </c>
      <c r="H133" s="29" t="b">
        <f>IFERROR(__xludf.DUMMYFUNCTION("""COMPUTED_VALUE"""),TRUE)</f>
        <v>1</v>
      </c>
      <c r="I133" s="257"/>
      <c r="J133" s="29"/>
      <c r="K133" s="32">
        <f>IFERROR(__xludf.DUMMYFUNCTION("""COMPUTED_VALUE"""),45864.0)</f>
        <v>45864</v>
      </c>
      <c r="L133" s="29"/>
      <c r="M133" s="29"/>
      <c r="N133" s="29"/>
    </row>
    <row r="134">
      <c r="A134" s="32">
        <f>IFERROR(__xludf.DUMMYFUNCTION("""COMPUTED_VALUE"""),45834.0)</f>
        <v>45834</v>
      </c>
      <c r="B134" s="29" t="str">
        <f>IFERROR(__xludf.DUMMYFUNCTION("""COMPUTED_VALUE"""),"Perrine")</f>
        <v>Perrine</v>
      </c>
      <c r="C134" s="29" t="str">
        <f>IFERROR(__xludf.DUMMYFUNCTION("""COMPUTED_VALUE"""),"Grin Live RoseSkinCo")</f>
        <v>Grin Live RoseSkinCo</v>
      </c>
      <c r="D134" s="29" t="str">
        <f>IFERROR(__xludf.DUMMYFUNCTION("""COMPUTED_VALUE"""),"F250132")</f>
        <v>F250132</v>
      </c>
      <c r="E134" s="241">
        <f>IFERROR(__xludf.DUMMYFUNCTION("""COMPUTED_VALUE"""),508.3)</f>
        <v>508.3</v>
      </c>
      <c r="F134" s="241">
        <f>IFERROR(__xludf.DUMMYFUNCTION("""COMPUTED_VALUE"""),152.49)</f>
        <v>152.49</v>
      </c>
      <c r="G134" s="241">
        <f>IFERROR(__xludf.DUMMYFUNCTION("""COMPUTED_VALUE"""),355.81)</f>
        <v>355.81</v>
      </c>
      <c r="H134" s="29" t="b">
        <f>IFERROR(__xludf.DUMMYFUNCTION("""COMPUTED_VALUE"""),TRUE)</f>
        <v>1</v>
      </c>
      <c r="I134" s="257"/>
      <c r="J134" s="29"/>
      <c r="K134" s="32">
        <f>IFERROR(__xludf.DUMMYFUNCTION("""COMPUTED_VALUE"""),45864.0)</f>
        <v>45864</v>
      </c>
      <c r="L134" s="29"/>
      <c r="M134" s="29"/>
      <c r="N134" s="29"/>
    </row>
    <row r="135">
      <c r="A135" s="32">
        <f>IFERROR(__xludf.DUMMYFUNCTION("""COMPUTED_VALUE"""),45834.0)</f>
        <v>45834</v>
      </c>
      <c r="B135" s="29" t="str">
        <f>IFERROR(__xludf.DUMMYFUNCTION("""COMPUTED_VALUE"""),"Anaïs")</f>
        <v>Anaïs</v>
      </c>
      <c r="C135" s="29" t="str">
        <f>IFERROR(__xludf.DUMMYFUNCTION("""COMPUTED_VALUE"""),"Solinotes Parfums Corania")</f>
        <v>Solinotes Parfums Corania</v>
      </c>
      <c r="D135" s="29" t="str">
        <f>IFERROR(__xludf.DUMMYFUNCTION("""COMPUTED_VALUE"""),"F250133")</f>
        <v>F250133</v>
      </c>
      <c r="E135" s="241">
        <f>IFERROR(__xludf.DUMMYFUNCTION("""COMPUTED_VALUE"""),800.0)</f>
        <v>800</v>
      </c>
      <c r="F135" s="241">
        <f>IFERROR(__xludf.DUMMYFUNCTION("""COMPUTED_VALUE"""),240.0)</f>
        <v>240</v>
      </c>
      <c r="G135" s="241">
        <f>IFERROR(__xludf.DUMMYFUNCTION("""COMPUTED_VALUE"""),560.0)</f>
        <v>560</v>
      </c>
      <c r="H135" s="29" t="b">
        <f>IFERROR(__xludf.DUMMYFUNCTION("""COMPUTED_VALUE"""),FALSE)</f>
        <v>0</v>
      </c>
      <c r="I135" s="257"/>
      <c r="J135" s="29"/>
      <c r="K135" s="32">
        <f>IFERROR(__xludf.DUMMYFUNCTION("""COMPUTED_VALUE"""),45864.0)</f>
        <v>45864</v>
      </c>
      <c r="L135" s="29"/>
      <c r="M135" s="29"/>
      <c r="N135" s="29"/>
    </row>
    <row r="136">
      <c r="A136" s="32">
        <f>IFERROR(__xludf.DUMMYFUNCTION("""COMPUTED_VALUE"""),45835.0)</f>
        <v>45835</v>
      </c>
      <c r="B136" s="29" t="str">
        <f>IFERROR(__xludf.DUMMYFUNCTION("""COMPUTED_VALUE"""),"---")</f>
        <v>---</v>
      </c>
      <c r="C136" s="29" t="str">
        <f>IFERROR(__xludf.DUMMYFUNCTION("""COMPUTED_VALUE"""),"Craver SKIN1004")</f>
        <v>Craver SKIN1004</v>
      </c>
      <c r="D136" s="29" t="str">
        <f>IFERROR(__xludf.DUMMYFUNCTION("""COMPUTED_VALUE"""),"F250134")</f>
        <v>F250134</v>
      </c>
      <c r="E136" s="241">
        <f>IFERROR(__xludf.DUMMYFUNCTION("""COMPUTED_VALUE"""),5700.0)</f>
        <v>5700</v>
      </c>
      <c r="F136" s="241">
        <f>IFERROR(__xludf.DUMMYFUNCTION("""COMPUTED_VALUE"""),1710.0)</f>
        <v>1710</v>
      </c>
      <c r="G136" s="241">
        <f>IFERROR(__xludf.DUMMYFUNCTION("""COMPUTED_VALUE"""),3990.0)</f>
        <v>3990</v>
      </c>
      <c r="H136" s="29" t="b">
        <f>IFERROR(__xludf.DUMMYFUNCTION("""COMPUTED_VALUE"""),TRUE)</f>
        <v>1</v>
      </c>
      <c r="I136" s="257"/>
      <c r="J136" s="29"/>
      <c r="K136" s="32">
        <f>IFERROR(__xludf.DUMMYFUNCTION("""COMPUTED_VALUE"""),45865.0)</f>
        <v>45865</v>
      </c>
      <c r="L136" s="29"/>
      <c r="M136" s="29"/>
      <c r="N136" s="29"/>
    </row>
    <row r="137">
      <c r="A137" s="32">
        <f>IFERROR(__xludf.DUMMYFUNCTION("""COMPUTED_VALUE"""),45837.0)</f>
        <v>45837</v>
      </c>
      <c r="B137" s="29" t="str">
        <f>IFERROR(__xludf.DUMMYFUNCTION("""COMPUTED_VALUE"""),"Gurbet")</f>
        <v>Gurbet</v>
      </c>
      <c r="C137" s="29" t="str">
        <f>IFERROR(__xludf.DUMMYFUNCTION("""COMPUTED_VALUE"""),"The Beauty Tech Group / Current Body")</f>
        <v>The Beauty Tech Group / Current Body</v>
      </c>
      <c r="D137" s="29" t="str">
        <f>IFERROR(__xludf.DUMMYFUNCTION("""COMPUTED_VALUE"""),"F250135")</f>
        <v>F250135</v>
      </c>
      <c r="E137" s="241">
        <f>IFERROR(__xludf.DUMMYFUNCTION("""COMPUTED_VALUE"""),700.0)</f>
        <v>700</v>
      </c>
      <c r="F137" s="241">
        <f>IFERROR(__xludf.DUMMYFUNCTION("""COMPUTED_VALUE"""),210.0)</f>
        <v>210</v>
      </c>
      <c r="G137" s="241">
        <f>IFERROR(__xludf.DUMMYFUNCTION("""COMPUTED_VALUE"""),490.0)</f>
        <v>490</v>
      </c>
      <c r="H137" s="29" t="b">
        <f>IFERROR(__xludf.DUMMYFUNCTION("""COMPUTED_VALUE"""),FALSE)</f>
        <v>0</v>
      </c>
      <c r="I137" s="257"/>
      <c r="J137" s="29"/>
      <c r="K137" s="32">
        <f>IFERROR(__xludf.DUMMYFUNCTION("""COMPUTED_VALUE"""),45867.0)</f>
        <v>45867</v>
      </c>
      <c r="L137" s="29"/>
      <c r="M137" s="29"/>
      <c r="N137" s="29"/>
    </row>
    <row r="138">
      <c r="A138" s="32">
        <f>IFERROR(__xludf.DUMMYFUNCTION("""COMPUTED_VALUE"""),45837.0)</f>
        <v>45837</v>
      </c>
      <c r="B138" s="29" t="str">
        <f>IFERROR(__xludf.DUMMYFUNCTION("""COMPUTED_VALUE"""),"Anaïs")</f>
        <v>Anaïs</v>
      </c>
      <c r="C138" s="29" t="str">
        <f>IFERROR(__xludf.DUMMYFUNCTION("""COMPUTED_VALUE"""),"Influencer LTD - Head Shoulder")</f>
        <v>Influencer LTD - Head Shoulder</v>
      </c>
      <c r="D138" s="29" t="str">
        <f>IFERROR(__xludf.DUMMYFUNCTION("""COMPUTED_VALUE"""),"F250136")</f>
        <v>F250136</v>
      </c>
      <c r="E138" s="241">
        <f>IFERROR(__xludf.DUMMYFUNCTION("""COMPUTED_VALUE"""),2000.0)</f>
        <v>2000</v>
      </c>
      <c r="F138" s="241">
        <f>IFERROR(__xludf.DUMMYFUNCTION("""COMPUTED_VALUE"""),600.0)</f>
        <v>600</v>
      </c>
      <c r="G138" s="241">
        <f>IFERROR(__xludf.DUMMYFUNCTION("""COMPUTED_VALUE"""),1400.0)</f>
        <v>1400</v>
      </c>
      <c r="H138" s="29" t="b">
        <f>IFERROR(__xludf.DUMMYFUNCTION("""COMPUTED_VALUE"""),FALSE)</f>
        <v>0</v>
      </c>
      <c r="I138" s="257"/>
      <c r="J138" s="29"/>
      <c r="K138" s="32">
        <f>IFERROR(__xludf.DUMMYFUNCTION("""COMPUTED_VALUE"""),45867.0)</f>
        <v>45867</v>
      </c>
      <c r="L138" s="29"/>
      <c r="M138" s="29"/>
      <c r="N138" s="29"/>
    </row>
    <row r="139">
      <c r="A139" s="32">
        <f>IFERROR(__xludf.DUMMYFUNCTION("""COMPUTED_VALUE"""),45840.0)</f>
        <v>45840</v>
      </c>
      <c r="B139" s="29" t="str">
        <f>IFERROR(__xludf.DUMMYFUNCTION("""COMPUTED_VALUE"""),"Hidaya")</f>
        <v>Hidaya</v>
      </c>
      <c r="C139" s="29" t="str">
        <f>IFERROR(__xludf.DUMMYFUNCTION("""COMPUTED_VALUE"""),"APR Medicube")</f>
        <v>APR Medicube</v>
      </c>
      <c r="D139" s="29" t="str">
        <f>IFERROR(__xludf.DUMMYFUNCTION("""COMPUTED_VALUE"""),"F250137")</f>
        <v>F250137</v>
      </c>
      <c r="E139" s="241">
        <f>IFERROR(__xludf.DUMMYFUNCTION("""COMPUTED_VALUE"""),3298.92)</f>
        <v>3298.92</v>
      </c>
      <c r="F139" s="241">
        <f>IFERROR(__xludf.DUMMYFUNCTION("""COMPUTED_VALUE"""),989.6759999999999)</f>
        <v>989.676</v>
      </c>
      <c r="G139" s="241">
        <f>IFERROR(__xludf.DUMMYFUNCTION("""COMPUTED_VALUE"""),2309.244)</f>
        <v>2309.244</v>
      </c>
      <c r="H139" s="29" t="b">
        <f>IFERROR(__xludf.DUMMYFUNCTION("""COMPUTED_VALUE"""),TRUE)</f>
        <v>1</v>
      </c>
      <c r="I139" s="257"/>
      <c r="J139" s="29"/>
      <c r="K139" s="32">
        <f>IFERROR(__xludf.DUMMYFUNCTION("""COMPUTED_VALUE"""),45870.0)</f>
        <v>45870</v>
      </c>
      <c r="L139" s="29"/>
      <c r="M139" s="29"/>
      <c r="N139" s="29"/>
    </row>
    <row r="140">
      <c r="A140" s="32">
        <f>IFERROR(__xludf.DUMMYFUNCTION("""COMPUTED_VALUE"""),45840.0)</f>
        <v>45840</v>
      </c>
      <c r="B140" s="29" t="str">
        <f>IFERROR(__xludf.DUMMYFUNCTION("""COMPUTED_VALUE"""),"Amani  ")</f>
        <v>Amani  </v>
      </c>
      <c r="C140" s="29" t="str">
        <f>IFERROR(__xludf.DUMMYFUNCTION("""COMPUTED_VALUE"""),"Torras")</f>
        <v>Torras</v>
      </c>
      <c r="D140" s="29" t="str">
        <f>IFERROR(__xludf.DUMMYFUNCTION("""COMPUTED_VALUE"""),"F250138")</f>
        <v>F250138</v>
      </c>
      <c r="E140" s="241">
        <f>IFERROR(__xludf.DUMMYFUNCTION("""COMPUTED_VALUE"""),847.0)</f>
        <v>847</v>
      </c>
      <c r="F140" s="241">
        <f>IFERROR(__xludf.DUMMYFUNCTION("""COMPUTED_VALUE"""),254.1)</f>
        <v>254.1</v>
      </c>
      <c r="G140" s="241">
        <f>IFERROR(__xludf.DUMMYFUNCTION("""COMPUTED_VALUE"""),592.9)</f>
        <v>592.9</v>
      </c>
      <c r="H140" s="29" t="b">
        <f>IFERROR(__xludf.DUMMYFUNCTION("""COMPUTED_VALUE"""),FALSE)</f>
        <v>0</v>
      </c>
      <c r="I140" s="257"/>
      <c r="J140" s="29"/>
      <c r="K140" s="32">
        <f>IFERROR(__xludf.DUMMYFUNCTION("""COMPUTED_VALUE"""),45870.0)</f>
        <v>45870</v>
      </c>
      <c r="L140" s="29"/>
      <c r="M140" s="29"/>
      <c r="N140" s="29"/>
    </row>
    <row r="141">
      <c r="A141" s="32">
        <f>IFERROR(__xludf.DUMMYFUNCTION("""COMPUTED_VALUE"""),45840.0)</f>
        <v>45840</v>
      </c>
      <c r="B141" s="29" t="str">
        <f>IFERROR(__xludf.DUMMYFUNCTION("""COMPUTED_VALUE"""),"Sirine + Juliette")</f>
        <v>Sirine + Juliette</v>
      </c>
      <c r="C141" s="29" t="str">
        <f>IFERROR(__xludf.DUMMYFUNCTION("""COMPUTED_VALUE"""),"Sekaya Musc")</f>
        <v>Sekaya Musc</v>
      </c>
      <c r="D141" s="29" t="str">
        <f>IFERROR(__xludf.DUMMYFUNCTION("""COMPUTED_VALUE"""),"F250139")</f>
        <v>F250139</v>
      </c>
      <c r="E141" s="241">
        <f>IFERROR(__xludf.DUMMYFUNCTION("""COMPUTED_VALUE"""),1050.0)</f>
        <v>1050</v>
      </c>
      <c r="F141" s="241">
        <f>IFERROR(__xludf.DUMMYFUNCTION("""COMPUTED_VALUE"""),315.0)</f>
        <v>315</v>
      </c>
      <c r="G141" s="241">
        <f>IFERROR(__xludf.DUMMYFUNCTION("""COMPUTED_VALUE"""),735.0)</f>
        <v>735</v>
      </c>
      <c r="H141" s="29" t="b">
        <f>IFERROR(__xludf.DUMMYFUNCTION("""COMPUTED_VALUE"""),FALSE)</f>
        <v>0</v>
      </c>
      <c r="I141" s="257"/>
      <c r="J141" s="29"/>
      <c r="K141" s="32">
        <f>IFERROR(__xludf.DUMMYFUNCTION("""COMPUTED_VALUE"""),45870.0)</f>
        <v>45870</v>
      </c>
      <c r="L141" s="29"/>
      <c r="M141" s="29"/>
      <c r="N141" s="29"/>
    </row>
    <row r="142">
      <c r="A142" s="32">
        <f>IFERROR(__xludf.DUMMYFUNCTION("""COMPUTED_VALUE"""),45844.0)</f>
        <v>45844</v>
      </c>
      <c r="B142" s="29" t="str">
        <f>IFERROR(__xludf.DUMMYFUNCTION("""COMPUTED_VALUE"""),"Sirine")</f>
        <v>Sirine</v>
      </c>
      <c r="C142" s="29" t="str">
        <f>IFERROR(__xludf.DUMMYFUNCTION("""COMPUTED_VALUE"""),"GRUPO ZAVAZ S.L IT Fruit")</f>
        <v>GRUPO ZAVAZ S.L IT Fruit</v>
      </c>
      <c r="D142" s="29" t="str">
        <f>IFERROR(__xludf.DUMMYFUNCTION("""COMPUTED_VALUE"""),"F250140")</f>
        <v>F250140</v>
      </c>
      <c r="E142" s="241">
        <f>IFERROR(__xludf.DUMMYFUNCTION("""COMPUTED_VALUE"""),450.0)</f>
        <v>450</v>
      </c>
      <c r="F142" s="241">
        <f>IFERROR(__xludf.DUMMYFUNCTION("""COMPUTED_VALUE"""),135.0)</f>
        <v>135</v>
      </c>
      <c r="G142" s="241">
        <f>IFERROR(__xludf.DUMMYFUNCTION("""COMPUTED_VALUE"""),315.0)</f>
        <v>315</v>
      </c>
      <c r="H142" s="29" t="b">
        <f>IFERROR(__xludf.DUMMYFUNCTION("""COMPUTED_VALUE"""),FALSE)</f>
        <v>0</v>
      </c>
      <c r="I142" s="257">
        <f>IFERROR(__xludf.DUMMYFUNCTION("""COMPUTED_VALUE"""),94.5)</f>
        <v>94.5</v>
      </c>
      <c r="J142" s="29"/>
      <c r="K142" s="32">
        <f>IFERROR(__xludf.DUMMYFUNCTION("""COMPUTED_VALUE"""),45874.0)</f>
        <v>45874</v>
      </c>
      <c r="L142" s="29"/>
      <c r="M142" s="29"/>
      <c r="N142" s="29"/>
    </row>
    <row r="143">
      <c r="A143" s="32">
        <f>IFERROR(__xludf.DUMMYFUNCTION("""COMPUTED_VALUE"""),45845.0)</f>
        <v>45845</v>
      </c>
      <c r="B143" s="29" t="str">
        <f>IFERROR(__xludf.DUMMYFUNCTION("""COMPUTED_VALUE"""),"Anaïs")</f>
        <v>Anaïs</v>
      </c>
      <c r="C143" s="29" t="str">
        <f>IFERROR(__xludf.DUMMYFUNCTION("""COMPUTED_VALUE"""),"The Founder Inc ANUA")</f>
        <v>The Founder Inc ANUA</v>
      </c>
      <c r="D143" s="29" t="str">
        <f>IFERROR(__xludf.DUMMYFUNCTION("""COMPUTED_VALUE"""),"F250141")</f>
        <v>F250141</v>
      </c>
      <c r="E143" s="241">
        <f>IFERROR(__xludf.DUMMYFUNCTION("""COMPUTED_VALUE"""),1250.0)</f>
        <v>1250</v>
      </c>
      <c r="F143" s="241">
        <f>IFERROR(__xludf.DUMMYFUNCTION("""COMPUTED_VALUE"""),375.0)</f>
        <v>375</v>
      </c>
      <c r="G143" s="241">
        <f>IFERROR(__xludf.DUMMYFUNCTION("""COMPUTED_VALUE"""),875.0)</f>
        <v>875</v>
      </c>
      <c r="H143" s="29" t="b">
        <f>IFERROR(__xludf.DUMMYFUNCTION("""COMPUTED_VALUE"""),FALSE)</f>
        <v>0</v>
      </c>
      <c r="I143" s="257"/>
      <c r="J143" s="29"/>
      <c r="K143" s="32">
        <f>IFERROR(__xludf.DUMMYFUNCTION("""COMPUTED_VALUE"""),45875.0)</f>
        <v>45875</v>
      </c>
      <c r="L143" s="29"/>
      <c r="M143" s="29"/>
      <c r="N143" s="29"/>
    </row>
    <row r="144">
      <c r="A144" s="32">
        <f>IFERROR(__xludf.DUMMYFUNCTION("""COMPUTED_VALUE"""),45846.0)</f>
        <v>45846</v>
      </c>
      <c r="B144" s="29" t="str">
        <f>IFERROR(__xludf.DUMMYFUNCTION("""COMPUTED_VALUE"""),"Juliane")</f>
        <v>Juliane</v>
      </c>
      <c r="C144" s="29" t="str">
        <f>IFERROR(__xludf.DUMMYFUNCTION("""COMPUTED_VALUE"""),"GRUPO ZAVAZ S.L IT Fruit")</f>
        <v>GRUPO ZAVAZ S.L IT Fruit</v>
      </c>
      <c r="D144" s="29" t="str">
        <f>IFERROR(__xludf.DUMMYFUNCTION("""COMPUTED_VALUE"""),"F250142")</f>
        <v>F250142</v>
      </c>
      <c r="E144" s="241">
        <f>IFERROR(__xludf.DUMMYFUNCTION("""COMPUTED_VALUE"""),650.0)</f>
        <v>650</v>
      </c>
      <c r="F144" s="241">
        <f>IFERROR(__xludf.DUMMYFUNCTION("""COMPUTED_VALUE"""),195.0)</f>
        <v>195</v>
      </c>
      <c r="G144" s="241">
        <f>IFERROR(__xludf.DUMMYFUNCTION("""COMPUTED_VALUE"""),455.0)</f>
        <v>455</v>
      </c>
      <c r="H144" s="29" t="b">
        <f>IFERROR(__xludf.DUMMYFUNCTION("""COMPUTED_VALUE"""),FALSE)</f>
        <v>0</v>
      </c>
      <c r="I144" s="257">
        <f>IFERROR(__xludf.DUMMYFUNCTION("""COMPUTED_VALUE"""),136.5)</f>
        <v>136.5</v>
      </c>
      <c r="J144" s="29"/>
      <c r="K144" s="32">
        <f>IFERROR(__xludf.DUMMYFUNCTION("""COMPUTED_VALUE"""),45876.0)</f>
        <v>45876</v>
      </c>
      <c r="L144" s="29"/>
      <c r="M144" s="29"/>
      <c r="N144" s="29"/>
    </row>
    <row r="145">
      <c r="A145" s="32">
        <f>IFERROR(__xludf.DUMMYFUNCTION("""COMPUTED_VALUE"""),45847.0)</f>
        <v>45847</v>
      </c>
      <c r="B145" s="29" t="str">
        <f>IFERROR(__xludf.DUMMYFUNCTION("""COMPUTED_VALUE"""),"Hidaya")</f>
        <v>Hidaya</v>
      </c>
      <c r="C145" s="29" t="str">
        <f>IFERROR(__xludf.DUMMYFUNCTION("""COMPUTED_VALUE"""),"Sheglam Roki Management")</f>
        <v>Sheglam Roki Management</v>
      </c>
      <c r="D145" s="29" t="str">
        <f>IFERROR(__xludf.DUMMYFUNCTION("""COMPUTED_VALUE"""),"F250143")</f>
        <v>F250143</v>
      </c>
      <c r="E145" s="241">
        <f>IFERROR(__xludf.DUMMYFUNCTION("""COMPUTED_VALUE"""),595.0)</f>
        <v>595</v>
      </c>
      <c r="F145" s="241">
        <f>IFERROR(__xludf.DUMMYFUNCTION("""COMPUTED_VALUE"""),178.5)</f>
        <v>178.5</v>
      </c>
      <c r="G145" s="241">
        <f>IFERROR(__xludf.DUMMYFUNCTION("""COMPUTED_VALUE"""),416.5)</f>
        <v>416.5</v>
      </c>
      <c r="H145" s="29" t="b">
        <f>IFERROR(__xludf.DUMMYFUNCTION("""COMPUTED_VALUE"""),FALSE)</f>
        <v>0</v>
      </c>
      <c r="I145" s="257"/>
      <c r="J145" s="29"/>
      <c r="K145" s="32">
        <f>IFERROR(__xludf.DUMMYFUNCTION("""COMPUTED_VALUE"""),45877.0)</f>
        <v>45877</v>
      </c>
      <c r="L145" s="29"/>
      <c r="M145" s="29"/>
      <c r="N145" s="29"/>
    </row>
    <row r="146">
      <c r="A146" s="32">
        <f>IFERROR(__xludf.DUMMYFUNCTION("""COMPUTED_VALUE"""),45847.0)</f>
        <v>45847</v>
      </c>
      <c r="B146" s="29" t="str">
        <f>IFERROR(__xludf.DUMMYFUNCTION("""COMPUTED_VALUE"""),"Laura")</f>
        <v>Laura</v>
      </c>
      <c r="C146" s="29" t="str">
        <f>IFERROR(__xludf.DUMMYFUNCTION("""COMPUTED_VALUE"""),"Paalm Cosmetics")</f>
        <v>Paalm Cosmetics</v>
      </c>
      <c r="D146" s="29" t="str">
        <f>IFERROR(__xludf.DUMMYFUNCTION("""COMPUTED_VALUE"""),"F250144")</f>
        <v>F250144</v>
      </c>
      <c r="E146" s="241">
        <f>IFERROR(__xludf.DUMMYFUNCTION("""COMPUTED_VALUE"""),150.0)</f>
        <v>150</v>
      </c>
      <c r="F146" s="241">
        <f>IFERROR(__xludf.DUMMYFUNCTION("""COMPUTED_VALUE"""),45.0)</f>
        <v>45</v>
      </c>
      <c r="G146" s="241">
        <f>IFERROR(__xludf.DUMMYFUNCTION("""COMPUTED_VALUE"""),105.0)</f>
        <v>105</v>
      </c>
      <c r="H146" s="29" t="b">
        <f>IFERROR(__xludf.DUMMYFUNCTION("""COMPUTED_VALUE"""),FALSE)</f>
        <v>0</v>
      </c>
      <c r="I146" s="257"/>
      <c r="J146" s="29"/>
      <c r="K146" s="32">
        <f>IFERROR(__xludf.DUMMYFUNCTION("""COMPUTED_VALUE"""),45877.0)</f>
        <v>45877</v>
      </c>
      <c r="L146" s="29"/>
      <c r="M146" s="29"/>
      <c r="N146" s="29"/>
    </row>
    <row r="147">
      <c r="A147" s="32">
        <f>IFERROR(__xludf.DUMMYFUNCTION("""COMPUTED_VALUE"""),45848.0)</f>
        <v>45848</v>
      </c>
      <c r="B147" s="29" t="str">
        <f>IFERROR(__xludf.DUMMYFUNCTION("""COMPUTED_VALUE"""),"Anaïs")</f>
        <v>Anaïs</v>
      </c>
      <c r="C147" s="29" t="str">
        <f>IFERROR(__xludf.DUMMYFUNCTION("""COMPUTED_VALUE"""),"EMF Musc Intime")</f>
        <v>EMF Musc Intime</v>
      </c>
      <c r="D147" s="29" t="str">
        <f>IFERROR(__xludf.DUMMYFUNCTION("""COMPUTED_VALUE"""),"F250145")</f>
        <v>F250145</v>
      </c>
      <c r="E147" s="241">
        <f>IFERROR(__xludf.DUMMYFUNCTION("""COMPUTED_VALUE"""),150.0)</f>
        <v>150</v>
      </c>
      <c r="F147" s="241">
        <f>IFERROR(__xludf.DUMMYFUNCTION("""COMPUTED_VALUE"""),45.0)</f>
        <v>45</v>
      </c>
      <c r="G147" s="241">
        <f>IFERROR(__xludf.DUMMYFUNCTION("""COMPUTED_VALUE"""),105.0)</f>
        <v>105</v>
      </c>
      <c r="H147" s="29" t="b">
        <f>IFERROR(__xludf.DUMMYFUNCTION("""COMPUTED_VALUE"""),FALSE)</f>
        <v>0</v>
      </c>
      <c r="I147" s="257"/>
      <c r="J147" s="29"/>
      <c r="K147" s="32">
        <f>IFERROR(__xludf.DUMMYFUNCTION("""COMPUTED_VALUE"""),45878.0)</f>
        <v>45878</v>
      </c>
      <c r="L147" s="29"/>
      <c r="M147" s="29"/>
      <c r="N147" s="29"/>
    </row>
    <row r="148">
      <c r="A148" s="32">
        <f>IFERROR(__xludf.DUMMYFUNCTION("""COMPUTED_VALUE"""),45848.0)</f>
        <v>45848</v>
      </c>
      <c r="B148" s="29" t="str">
        <f>IFERROR(__xludf.DUMMYFUNCTION("""COMPUTED_VALUE"""),"Dounia")</f>
        <v>Dounia</v>
      </c>
      <c r="C148" s="29" t="str">
        <f>IFERROR(__xludf.DUMMYFUNCTION("""COMPUTED_VALUE"""),"Sekaya Musc")</f>
        <v>Sekaya Musc</v>
      </c>
      <c r="D148" s="29" t="str">
        <f>IFERROR(__xludf.DUMMYFUNCTION("""COMPUTED_VALUE"""),"F250146")</f>
        <v>F250146</v>
      </c>
      <c r="E148" s="241">
        <f>IFERROR(__xludf.DUMMYFUNCTION("""COMPUTED_VALUE"""),550.0)</f>
        <v>550</v>
      </c>
      <c r="F148" s="241">
        <f>IFERROR(__xludf.DUMMYFUNCTION("""COMPUTED_VALUE"""),165.0)</f>
        <v>165</v>
      </c>
      <c r="G148" s="241">
        <f>IFERROR(__xludf.DUMMYFUNCTION("""COMPUTED_VALUE"""),385.0)</f>
        <v>385</v>
      </c>
      <c r="H148" s="29" t="b">
        <f>IFERROR(__xludf.DUMMYFUNCTION("""COMPUTED_VALUE"""),FALSE)</f>
        <v>0</v>
      </c>
      <c r="I148" s="257"/>
      <c r="J148" s="29"/>
      <c r="K148" s="32">
        <f>IFERROR(__xludf.DUMMYFUNCTION("""COMPUTED_VALUE"""),45878.0)</f>
        <v>45878</v>
      </c>
      <c r="L148" s="29"/>
      <c r="M148" s="29"/>
      <c r="N148" s="29"/>
    </row>
    <row r="149">
      <c r="A149" s="32">
        <f>IFERROR(__xludf.DUMMYFUNCTION("""COMPUTED_VALUE"""),45848.0)</f>
        <v>45848</v>
      </c>
      <c r="B149" s="29" t="str">
        <f>IFERROR(__xludf.DUMMYFUNCTION("""COMPUTED_VALUE"""),"---")</f>
        <v>---</v>
      </c>
      <c r="C149" s="29" t="str">
        <f>IFERROR(__xludf.DUMMYFUNCTION("""COMPUTED_VALUE"""),"Myriam K")</f>
        <v>Myriam K</v>
      </c>
      <c r="D149" s="29" t="str">
        <f>IFERROR(__xludf.DUMMYFUNCTION("""COMPUTED_VALUE"""),"F250147")</f>
        <v>F250147</v>
      </c>
      <c r="E149" s="241">
        <f>IFERROR(__xludf.DUMMYFUNCTION("""COMPUTED_VALUE"""),1200.0)</f>
        <v>1200</v>
      </c>
      <c r="F149" s="241">
        <f>IFERROR(__xludf.DUMMYFUNCTION("""COMPUTED_VALUE"""),420.0)</f>
        <v>420</v>
      </c>
      <c r="G149" s="241">
        <f>IFERROR(__xludf.DUMMYFUNCTION("""COMPUTED_VALUE"""),780.0)</f>
        <v>780</v>
      </c>
      <c r="H149" s="29" t="b">
        <f>IFERROR(__xludf.DUMMYFUNCTION("""COMPUTED_VALUE"""),TRUE)</f>
        <v>1</v>
      </c>
      <c r="I149" s="257"/>
      <c r="J149" s="29"/>
      <c r="K149" s="32"/>
      <c r="L149" s="29"/>
      <c r="M149" s="29"/>
      <c r="N149" s="29"/>
    </row>
    <row r="150">
      <c r="A150" s="32">
        <f>IFERROR(__xludf.DUMMYFUNCTION("""COMPUTED_VALUE"""),45852.0)</f>
        <v>45852</v>
      </c>
      <c r="B150" s="29" t="str">
        <f>IFERROR(__xludf.DUMMYFUNCTION("""COMPUTED_VALUE"""),"Eiliassa")</f>
        <v>Eiliassa</v>
      </c>
      <c r="C150" s="29" t="str">
        <f>IFERROR(__xludf.DUMMYFUNCTION("""COMPUTED_VALUE"""),"Soeurrette Sanex")</f>
        <v>Soeurrette Sanex</v>
      </c>
      <c r="D150" s="29" t="str">
        <f>IFERROR(__xludf.DUMMYFUNCTION("""COMPUTED_VALUE"""),"F250148")</f>
        <v>F250148</v>
      </c>
      <c r="E150" s="241">
        <f>IFERROR(__xludf.DUMMYFUNCTION("""COMPUTED_VALUE"""),1100.0)</f>
        <v>1100</v>
      </c>
      <c r="F150" s="241">
        <f>IFERROR(__xludf.DUMMYFUNCTION("""COMPUTED_VALUE"""),330.0)</f>
        <v>330</v>
      </c>
      <c r="G150" s="241">
        <f>IFERROR(__xludf.DUMMYFUNCTION("""COMPUTED_VALUE"""),770.0)</f>
        <v>770</v>
      </c>
      <c r="H150" s="29" t="b">
        <f>IFERROR(__xludf.DUMMYFUNCTION("""COMPUTED_VALUE"""),FALSE)</f>
        <v>0</v>
      </c>
      <c r="I150" s="257"/>
      <c r="J150" s="29"/>
      <c r="K150" s="32">
        <f>IFERROR(__xludf.DUMMYFUNCTION("""COMPUTED_VALUE"""),45912.0)</f>
        <v>45912</v>
      </c>
      <c r="L150" s="29"/>
      <c r="M150" s="29"/>
      <c r="N150" s="29"/>
    </row>
    <row r="151">
      <c r="A151" s="32">
        <f>IFERROR(__xludf.DUMMYFUNCTION("""COMPUTED_VALUE"""),45852.0)</f>
        <v>45852</v>
      </c>
      <c r="B151" s="29" t="str">
        <f>IFERROR(__xludf.DUMMYFUNCTION("""COMPUTED_VALUE"""),"Orane / Juliane")</f>
        <v>Orane / Juliane</v>
      </c>
      <c r="C151" s="29" t="str">
        <f>IFERROR(__xludf.DUMMYFUNCTION("""COMPUTED_VALUE"""),"Shavest")</f>
        <v>Shavest</v>
      </c>
      <c r="D151" s="29" t="str">
        <f>IFERROR(__xludf.DUMMYFUNCTION("""COMPUTED_VALUE"""),"F250149")</f>
        <v>F250149</v>
      </c>
      <c r="E151" s="241">
        <f>IFERROR(__xludf.DUMMYFUNCTION("""COMPUTED_VALUE"""),600.0)</f>
        <v>600</v>
      </c>
      <c r="F151" s="241">
        <f>IFERROR(__xludf.DUMMYFUNCTION("""COMPUTED_VALUE"""),180.0)</f>
        <v>180</v>
      </c>
      <c r="G151" s="241">
        <f>IFERROR(__xludf.DUMMYFUNCTION("""COMPUTED_VALUE"""),420.0)</f>
        <v>420</v>
      </c>
      <c r="H151" s="29" t="b">
        <f>IFERROR(__xludf.DUMMYFUNCTION("""COMPUTED_VALUE"""),TRUE)</f>
        <v>1</v>
      </c>
      <c r="I151" s="257"/>
      <c r="J151" s="29"/>
      <c r="K151" s="32">
        <f>IFERROR(__xludf.DUMMYFUNCTION("""COMPUTED_VALUE"""),45882.0)</f>
        <v>45882</v>
      </c>
      <c r="L151" s="29"/>
      <c r="M151" s="29"/>
      <c r="N151" s="29"/>
    </row>
    <row r="152">
      <c r="A152" s="32">
        <f>IFERROR(__xludf.DUMMYFUNCTION("""COMPUTED_VALUE"""),45852.0)</f>
        <v>45852</v>
      </c>
      <c r="B152" s="29" t="str">
        <f>IFERROR(__xludf.DUMMYFUNCTION("""COMPUTED_VALUE"""),"Laura")</f>
        <v>Laura</v>
      </c>
      <c r="C152" s="29" t="str">
        <f>IFERROR(__xludf.DUMMYFUNCTION("""COMPUTED_VALUE"""),"Keemia Shein")</f>
        <v>Keemia Shein</v>
      </c>
      <c r="D152" s="29" t="str">
        <f>IFERROR(__xludf.DUMMYFUNCTION("""COMPUTED_VALUE"""),"F250150")</f>
        <v>F250150</v>
      </c>
      <c r="E152" s="241">
        <f>IFERROR(__xludf.DUMMYFUNCTION("""COMPUTED_VALUE"""),450.0)</f>
        <v>450</v>
      </c>
      <c r="F152" s="241">
        <f>IFERROR(__xludf.DUMMYFUNCTION("""COMPUTED_VALUE"""),135.0)</f>
        <v>135</v>
      </c>
      <c r="G152" s="241">
        <f>IFERROR(__xludf.DUMMYFUNCTION("""COMPUTED_VALUE"""),315.0)</f>
        <v>315</v>
      </c>
      <c r="H152" s="29" t="b">
        <f>IFERROR(__xludf.DUMMYFUNCTION("""COMPUTED_VALUE"""),FALSE)</f>
        <v>0</v>
      </c>
      <c r="I152" s="257"/>
      <c r="J152" s="29"/>
      <c r="K152" s="32">
        <f>IFERROR(__xludf.DUMMYFUNCTION("""COMPUTED_VALUE"""),45882.0)</f>
        <v>45882</v>
      </c>
      <c r="L152" s="29"/>
      <c r="M152" s="29"/>
      <c r="N152" s="29"/>
    </row>
    <row r="153">
      <c r="A153" s="32">
        <f>IFERROR(__xludf.DUMMYFUNCTION("""COMPUTED_VALUE"""),45853.0)</f>
        <v>45853</v>
      </c>
      <c r="B153" s="29" t="str">
        <f>IFERROR(__xludf.DUMMYFUNCTION("""COMPUTED_VALUE"""),"Laura")</f>
        <v>Laura</v>
      </c>
      <c r="C153" s="29" t="str">
        <f>IFERROR(__xludf.DUMMYFUNCTION("""COMPUTED_VALUE"""),"GOODBLIN LIMITED haCOO")</f>
        <v>GOODBLIN LIMITED haCOO</v>
      </c>
      <c r="D153" s="29" t="str">
        <f>IFERROR(__xludf.DUMMYFUNCTION("""COMPUTED_VALUE"""),"F250151")</f>
        <v>F250151</v>
      </c>
      <c r="E153" s="241">
        <f>IFERROR(__xludf.DUMMYFUNCTION("""COMPUTED_VALUE"""),2500.0)</f>
        <v>2500</v>
      </c>
      <c r="F153" s="241">
        <f>IFERROR(__xludf.DUMMYFUNCTION("""COMPUTED_VALUE"""),750.0)</f>
        <v>750</v>
      </c>
      <c r="G153" s="241">
        <f>IFERROR(__xludf.DUMMYFUNCTION("""COMPUTED_VALUE"""),1750.0)</f>
        <v>1750</v>
      </c>
      <c r="H153" s="29" t="b">
        <f>IFERROR(__xludf.DUMMYFUNCTION("""COMPUTED_VALUE"""),TRUE)</f>
        <v>1</v>
      </c>
      <c r="I153" s="257"/>
      <c r="J153" s="29"/>
      <c r="K153" s="32">
        <f>IFERROR(__xludf.DUMMYFUNCTION("""COMPUTED_VALUE"""),45883.0)</f>
        <v>45883</v>
      </c>
      <c r="L153" s="29"/>
      <c r="M153" s="29"/>
      <c r="N153" s="29"/>
    </row>
    <row r="154">
      <c r="A154" s="32">
        <f>IFERROR(__xludf.DUMMYFUNCTION("""COMPUTED_VALUE"""),45855.0)</f>
        <v>45855</v>
      </c>
      <c r="B154" s="29" t="str">
        <f>IFERROR(__xludf.DUMMYFUNCTION("""COMPUTED_VALUE"""),"---")</f>
        <v>---</v>
      </c>
      <c r="C154" s="29" t="str">
        <f>IFERROR(__xludf.DUMMYFUNCTION("""COMPUTED_VALUE"""),"Sekaya Musc")</f>
        <v>Sekaya Musc</v>
      </c>
      <c r="D154" s="29" t="str">
        <f>IFERROR(__xludf.DUMMYFUNCTION("""COMPUTED_VALUE"""),"F250152")</f>
        <v>F250152</v>
      </c>
      <c r="E154" s="241">
        <f>IFERROR(__xludf.DUMMYFUNCTION("""COMPUTED_VALUE"""),2970.0)</f>
        <v>2970</v>
      </c>
      <c r="F154" s="241">
        <f>IFERROR(__xludf.DUMMYFUNCTION("""COMPUTED_VALUE"""),891.0)</f>
        <v>891</v>
      </c>
      <c r="G154" s="241">
        <f>IFERROR(__xludf.DUMMYFUNCTION("""COMPUTED_VALUE"""),2079.0)</f>
        <v>2079</v>
      </c>
      <c r="H154" s="29" t="b">
        <f>IFERROR(__xludf.DUMMYFUNCTION("""COMPUTED_VALUE"""),FALSE)</f>
        <v>0</v>
      </c>
      <c r="I154" s="257"/>
      <c r="J154" s="29"/>
      <c r="K154" s="32">
        <f>IFERROR(__xludf.DUMMYFUNCTION("""COMPUTED_VALUE"""),45885.0)</f>
        <v>45885</v>
      </c>
      <c r="L154" s="29"/>
      <c r="M154" s="29"/>
      <c r="N154" s="29"/>
    </row>
    <row r="155">
      <c r="A155" s="32">
        <f>IFERROR(__xludf.DUMMYFUNCTION("""COMPUTED_VALUE"""),45855.0)</f>
        <v>45855</v>
      </c>
      <c r="B155" s="29" t="str">
        <f>IFERROR(__xludf.DUMMYFUNCTION("""COMPUTED_VALUE"""),"Anaïs")</f>
        <v>Anaïs</v>
      </c>
      <c r="C155" s="29" t="str">
        <f>IFERROR(__xludf.DUMMYFUNCTION("""COMPUTED_VALUE"""),"YKONE Etiaxil")</f>
        <v>YKONE Etiaxil</v>
      </c>
      <c r="D155" s="29" t="str">
        <f>IFERROR(__xludf.DUMMYFUNCTION("""COMPUTED_VALUE"""),"F250153")</f>
        <v>F250153</v>
      </c>
      <c r="E155" s="241">
        <f>IFERROR(__xludf.DUMMYFUNCTION("""COMPUTED_VALUE"""),3000.0)</f>
        <v>3000</v>
      </c>
      <c r="F155" s="241">
        <f>IFERROR(__xludf.DUMMYFUNCTION("""COMPUTED_VALUE"""),900.0)</f>
        <v>900</v>
      </c>
      <c r="G155" s="241">
        <f>IFERROR(__xludf.DUMMYFUNCTION("""COMPUTED_VALUE"""),2100.0)</f>
        <v>2100</v>
      </c>
      <c r="H155" s="29" t="b">
        <f>IFERROR(__xludf.DUMMYFUNCTION("""COMPUTED_VALUE"""),FALSE)</f>
        <v>0</v>
      </c>
      <c r="I155" s="257"/>
      <c r="J155" s="29"/>
      <c r="K155" s="32">
        <f>IFERROR(__xludf.DUMMYFUNCTION("""COMPUTED_VALUE"""),45885.0)</f>
        <v>45885</v>
      </c>
      <c r="L155" s="29"/>
      <c r="M155" s="29"/>
      <c r="N155" s="29"/>
    </row>
    <row r="156">
      <c r="A156" s="32">
        <f>IFERROR(__xludf.DUMMYFUNCTION("""COMPUTED_VALUE"""),45856.0)</f>
        <v>45856</v>
      </c>
      <c r="B156" s="29" t="str">
        <f>IFERROR(__xludf.DUMMYFUNCTION("""COMPUTED_VALUE"""),"Laura")</f>
        <v>Laura</v>
      </c>
      <c r="C156" s="29" t="str">
        <f>IFERROR(__xludf.DUMMYFUNCTION("""COMPUTED_VALUE"""),"Wandernana")</f>
        <v>Wandernana</v>
      </c>
      <c r="D156" s="29" t="str">
        <f>IFERROR(__xludf.DUMMYFUNCTION("""COMPUTED_VALUE"""),"F250154")</f>
        <v>F250154</v>
      </c>
      <c r="E156" s="241">
        <f>IFERROR(__xludf.DUMMYFUNCTION("""COMPUTED_VALUE"""),400.0)</f>
        <v>400</v>
      </c>
      <c r="F156" s="241">
        <f>IFERROR(__xludf.DUMMYFUNCTION("""COMPUTED_VALUE"""),120.0)</f>
        <v>120</v>
      </c>
      <c r="G156" s="241">
        <f>IFERROR(__xludf.DUMMYFUNCTION("""COMPUTED_VALUE"""),280.0)</f>
        <v>280</v>
      </c>
      <c r="H156" s="29" t="b">
        <f>IFERROR(__xludf.DUMMYFUNCTION("""COMPUTED_VALUE"""),FALSE)</f>
        <v>0</v>
      </c>
      <c r="I156" s="257"/>
      <c r="J156" s="29"/>
      <c r="K156" s="32">
        <f>IFERROR(__xludf.DUMMYFUNCTION("""COMPUTED_VALUE"""),45886.0)</f>
        <v>45886</v>
      </c>
      <c r="L156" s="29"/>
      <c r="M156" s="29"/>
      <c r="N156" s="29"/>
    </row>
    <row r="157">
      <c r="A157" s="32">
        <f>IFERROR(__xludf.DUMMYFUNCTION("""COMPUTED_VALUE"""),45856.0)</f>
        <v>45856</v>
      </c>
      <c r="B157" s="29" t="str">
        <f>IFERROR(__xludf.DUMMYFUNCTION("""COMPUTED_VALUE"""),"Gurbet")</f>
        <v>Gurbet</v>
      </c>
      <c r="C157" s="29" t="str">
        <f>IFERROR(__xludf.DUMMYFUNCTION("""COMPUTED_VALUE"""),"Glamstar / Stylevana")</f>
        <v>Glamstar / Stylevana</v>
      </c>
      <c r="D157" s="29" t="str">
        <f>IFERROR(__xludf.DUMMYFUNCTION("""COMPUTED_VALUE"""),"F250155")</f>
        <v>F250155</v>
      </c>
      <c r="E157" s="241">
        <f>IFERROR(__xludf.DUMMYFUNCTION("""COMPUTED_VALUE"""),600.0)</f>
        <v>600</v>
      </c>
      <c r="F157" s="241">
        <f>IFERROR(__xludf.DUMMYFUNCTION("""COMPUTED_VALUE"""),180.0)</f>
        <v>180</v>
      </c>
      <c r="G157" s="241">
        <f>IFERROR(__xludf.DUMMYFUNCTION("""COMPUTED_VALUE"""),420.0)</f>
        <v>420</v>
      </c>
      <c r="H157" s="29" t="b">
        <f>IFERROR(__xludf.DUMMYFUNCTION("""COMPUTED_VALUE"""),TRUE)</f>
        <v>1</v>
      </c>
      <c r="I157" s="257"/>
      <c r="J157" s="29"/>
      <c r="K157" s="32">
        <f>IFERROR(__xludf.DUMMYFUNCTION("""COMPUTED_VALUE"""),45886.0)</f>
        <v>45886</v>
      </c>
      <c r="L157" s="29"/>
      <c r="M157" s="29"/>
      <c r="N157" s="29"/>
    </row>
    <row r="158">
      <c r="A158" s="32">
        <f>IFERROR(__xludf.DUMMYFUNCTION("""COMPUTED_VALUE"""),45858.0)</f>
        <v>45858</v>
      </c>
      <c r="B158" s="29" t="str">
        <f>IFERROR(__xludf.DUMMYFUNCTION("""COMPUTED_VALUE"""),"Pauline")</f>
        <v>Pauline</v>
      </c>
      <c r="C158" s="29" t="str">
        <f>IFERROR(__xludf.DUMMYFUNCTION("""COMPUTED_VALUE"""),"Soeurrette Sanex")</f>
        <v>Soeurrette Sanex</v>
      </c>
      <c r="D158" s="29" t="str">
        <f>IFERROR(__xludf.DUMMYFUNCTION("""COMPUTED_VALUE"""),"F250156")</f>
        <v>F250156</v>
      </c>
      <c r="E158" s="241">
        <f>IFERROR(__xludf.DUMMYFUNCTION("""COMPUTED_VALUE"""),500.0)</f>
        <v>500</v>
      </c>
      <c r="F158" s="241">
        <f>IFERROR(__xludf.DUMMYFUNCTION("""COMPUTED_VALUE"""),100.0)</f>
        <v>100</v>
      </c>
      <c r="G158" s="241">
        <f>IFERROR(__xludf.DUMMYFUNCTION("""COMPUTED_VALUE"""),400.0)</f>
        <v>400</v>
      </c>
      <c r="H158" s="29" t="b">
        <f>IFERROR(__xludf.DUMMYFUNCTION("""COMPUTED_VALUE"""),FALSE)</f>
        <v>0</v>
      </c>
      <c r="I158" s="257"/>
      <c r="J158" s="29"/>
      <c r="K158" s="32">
        <f>IFERROR(__xludf.DUMMYFUNCTION("""COMPUTED_VALUE"""),45918.0)</f>
        <v>45918</v>
      </c>
      <c r="L158" s="29"/>
      <c r="M158" s="29"/>
      <c r="N158" s="29"/>
    </row>
    <row r="159">
      <c r="A159" s="32">
        <f>IFERROR(__xludf.DUMMYFUNCTION("""COMPUTED_VALUE"""),45858.0)</f>
        <v>45858</v>
      </c>
      <c r="B159" s="29" t="str">
        <f>IFERROR(__xludf.DUMMYFUNCTION("""COMPUTED_VALUE"""),"Pauline")</f>
        <v>Pauline</v>
      </c>
      <c r="C159" s="29" t="str">
        <f>IFERROR(__xludf.DUMMYFUNCTION("""COMPUTED_VALUE"""),"Groupe Primordial PERROY")</f>
        <v>Groupe Primordial PERROY</v>
      </c>
      <c r="D159" s="29" t="str">
        <f>IFERROR(__xludf.DUMMYFUNCTION("""COMPUTED_VALUE"""),"F250157")</f>
        <v>F250157</v>
      </c>
      <c r="E159" s="241">
        <f>IFERROR(__xludf.DUMMYFUNCTION("""COMPUTED_VALUE"""),200.0)</f>
        <v>200</v>
      </c>
      <c r="F159" s="241">
        <f>IFERROR(__xludf.DUMMYFUNCTION("""COMPUTED_VALUE"""),80.0)</f>
        <v>80</v>
      </c>
      <c r="G159" s="241">
        <f>IFERROR(__xludf.DUMMYFUNCTION("""COMPUTED_VALUE"""),120.0)</f>
        <v>120</v>
      </c>
      <c r="H159" s="29" t="b">
        <f>IFERROR(__xludf.DUMMYFUNCTION("""COMPUTED_VALUE"""),FALSE)</f>
        <v>0</v>
      </c>
      <c r="I159" s="257"/>
      <c r="J159" s="29"/>
      <c r="K159" s="32">
        <f>IFERROR(__xludf.DUMMYFUNCTION("""COMPUTED_VALUE"""),45888.0)</f>
        <v>45888</v>
      </c>
      <c r="L159" s="29"/>
      <c r="M159" s="29"/>
      <c r="N159" s="29"/>
    </row>
    <row r="160">
      <c r="A160" s="32">
        <f>IFERROR(__xludf.DUMMYFUNCTION("""COMPUTED_VALUE"""),45858.0)</f>
        <v>45858</v>
      </c>
      <c r="B160" s="29" t="str">
        <f>IFERROR(__xludf.DUMMYFUNCTION("""COMPUTED_VALUE"""),"Juliane")</f>
        <v>Juliane</v>
      </c>
      <c r="C160" s="29" t="str">
        <f>IFERROR(__xludf.DUMMYFUNCTION("""COMPUTED_VALUE"""),"Groupe Primordial PERROY")</f>
        <v>Groupe Primordial PERROY</v>
      </c>
      <c r="D160" s="29" t="str">
        <f>IFERROR(__xludf.DUMMYFUNCTION("""COMPUTED_VALUE"""),"F250158")</f>
        <v>F250158</v>
      </c>
      <c r="E160" s="241">
        <f>IFERROR(__xludf.DUMMYFUNCTION("""COMPUTED_VALUE"""),200.0)</f>
        <v>200</v>
      </c>
      <c r="F160" s="241">
        <f>IFERROR(__xludf.DUMMYFUNCTION("""COMPUTED_VALUE"""),60.0)</f>
        <v>60</v>
      </c>
      <c r="G160" s="241">
        <f>IFERROR(__xludf.DUMMYFUNCTION("""COMPUTED_VALUE"""),140.0)</f>
        <v>140</v>
      </c>
      <c r="H160" s="29" t="b">
        <f>IFERROR(__xludf.DUMMYFUNCTION("""COMPUTED_VALUE"""),FALSE)</f>
        <v>0</v>
      </c>
      <c r="I160" s="257"/>
      <c r="J160" s="29"/>
      <c r="K160" s="32">
        <f>IFERROR(__xludf.DUMMYFUNCTION("""COMPUTED_VALUE"""),45888.0)</f>
        <v>45888</v>
      </c>
      <c r="L160" s="29"/>
      <c r="M160" s="29"/>
      <c r="N160" s="29"/>
    </row>
    <row r="161">
      <c r="A161" s="32">
        <f>IFERROR(__xludf.DUMMYFUNCTION("""COMPUTED_VALUE"""),45858.0)</f>
        <v>45858</v>
      </c>
      <c r="B161" s="29" t="str">
        <f>IFERROR(__xludf.DUMMYFUNCTION("""COMPUTED_VALUE"""),"Juliane")</f>
        <v>Juliane</v>
      </c>
      <c r="C161" s="29" t="str">
        <f>IFERROR(__xludf.DUMMYFUNCTION("""COMPUTED_VALUE"""),"SLEEP YTTP")</f>
        <v>SLEEP YTTP</v>
      </c>
      <c r="D161" s="29" t="str">
        <f>IFERROR(__xludf.DUMMYFUNCTION("""COMPUTED_VALUE"""),"F250159")</f>
        <v>F250159</v>
      </c>
      <c r="E161" s="241">
        <f>IFERROR(__xludf.DUMMYFUNCTION("""COMPUTED_VALUE"""),190.0)</f>
        <v>190</v>
      </c>
      <c r="F161" s="241">
        <f>IFERROR(__xludf.DUMMYFUNCTION("""COMPUTED_VALUE"""),57.0)</f>
        <v>57</v>
      </c>
      <c r="G161" s="241">
        <f>IFERROR(__xludf.DUMMYFUNCTION("""COMPUTED_VALUE"""),133.0)</f>
        <v>133</v>
      </c>
      <c r="H161" s="29" t="b">
        <f>IFERROR(__xludf.DUMMYFUNCTION("""COMPUTED_VALUE"""),FALSE)</f>
        <v>0</v>
      </c>
      <c r="I161" s="257"/>
      <c r="J161" s="29"/>
      <c r="K161" s="32">
        <f>IFERROR(__xludf.DUMMYFUNCTION("""COMPUTED_VALUE"""),45888.0)</f>
        <v>45888</v>
      </c>
      <c r="L161" s="29"/>
      <c r="M161" s="29"/>
      <c r="N161" s="29"/>
    </row>
    <row r="162">
      <c r="A162" s="32">
        <f>IFERROR(__xludf.DUMMYFUNCTION("""COMPUTED_VALUE"""),45858.0)</f>
        <v>45858</v>
      </c>
      <c r="B162" s="29" t="str">
        <f>IFERROR(__xludf.DUMMYFUNCTION("""COMPUTED_VALUE"""),"Laura")</f>
        <v>Laura</v>
      </c>
      <c r="C162" s="29" t="str">
        <f>IFERROR(__xludf.DUMMYFUNCTION("""COMPUTED_VALUE"""),"GOODBLIN LIMITED haCOO")</f>
        <v>GOODBLIN LIMITED haCOO</v>
      </c>
      <c r="D162" s="29" t="str">
        <f>IFERROR(__xludf.DUMMYFUNCTION("""COMPUTED_VALUE"""),"F250160")</f>
        <v>F250160</v>
      </c>
      <c r="E162" s="241">
        <f>IFERROR(__xludf.DUMMYFUNCTION("""COMPUTED_VALUE"""),2000.0)</f>
        <v>2000</v>
      </c>
      <c r="F162" s="241">
        <f>IFERROR(__xludf.DUMMYFUNCTION("""COMPUTED_VALUE"""),600.0)</f>
        <v>600</v>
      </c>
      <c r="G162" s="241">
        <f>IFERROR(__xludf.DUMMYFUNCTION("""COMPUTED_VALUE"""),1400.0)</f>
        <v>1400</v>
      </c>
      <c r="H162" s="29" t="b">
        <f>IFERROR(__xludf.DUMMYFUNCTION("""COMPUTED_VALUE"""),TRUE)</f>
        <v>1</v>
      </c>
      <c r="I162" s="257"/>
      <c r="J162" s="29"/>
      <c r="K162" s="32">
        <f>IFERROR(__xludf.DUMMYFUNCTION("""COMPUTED_VALUE"""),45888.0)</f>
        <v>45888</v>
      </c>
      <c r="L162" s="29"/>
      <c r="M162" s="29"/>
      <c r="N162" s="29"/>
    </row>
    <row r="163">
      <c r="A163" s="32">
        <f>IFERROR(__xludf.DUMMYFUNCTION("""COMPUTED_VALUE"""),45858.0)</f>
        <v>45858</v>
      </c>
      <c r="B163" s="29" t="str">
        <f>IFERROR(__xludf.DUMMYFUNCTION("""COMPUTED_VALUE"""),"Pauline")</f>
        <v>Pauline</v>
      </c>
      <c r="C163" s="29" t="str">
        <f>IFERROR(__xludf.DUMMYFUNCTION("""COMPUTED_VALUE"""),"Lab Upsalla Passion Marine")</f>
        <v>Lab Upsalla Passion Marine</v>
      </c>
      <c r="D163" s="29" t="str">
        <f>IFERROR(__xludf.DUMMYFUNCTION("""COMPUTED_VALUE"""),"F250161")</f>
        <v>F250161</v>
      </c>
      <c r="E163" s="241">
        <f>IFERROR(__xludf.DUMMYFUNCTION("""COMPUTED_VALUE"""),200.0)</f>
        <v>200</v>
      </c>
      <c r="F163" s="241">
        <f>IFERROR(__xludf.DUMMYFUNCTION("""COMPUTED_VALUE"""),40.0)</f>
        <v>40</v>
      </c>
      <c r="G163" s="241">
        <f>IFERROR(__xludf.DUMMYFUNCTION("""COMPUTED_VALUE"""),160.0)</f>
        <v>160</v>
      </c>
      <c r="H163" s="29" t="b">
        <f>IFERROR(__xludf.DUMMYFUNCTION("""COMPUTED_VALUE"""),FALSE)</f>
        <v>0</v>
      </c>
      <c r="I163" s="257"/>
      <c r="J163" s="29"/>
      <c r="K163" s="32">
        <f>IFERROR(__xludf.DUMMYFUNCTION("""COMPUTED_VALUE"""),45888.0)</f>
        <v>45888</v>
      </c>
      <c r="L163" s="29"/>
      <c r="M163" s="29"/>
      <c r="N163" s="29"/>
    </row>
    <row r="164">
      <c r="A164" s="32">
        <f>IFERROR(__xludf.DUMMYFUNCTION("""COMPUTED_VALUE"""),45861.0)</f>
        <v>45861</v>
      </c>
      <c r="B164" s="29" t="str">
        <f>IFERROR(__xludf.DUMMYFUNCTION("""COMPUTED_VALUE"""),"Lola")</f>
        <v>Lola</v>
      </c>
      <c r="C164" s="29" t="str">
        <f>IFERROR(__xludf.DUMMYFUNCTION("""COMPUTED_VALUE"""),"EMF Musc Intime")</f>
        <v>EMF Musc Intime</v>
      </c>
      <c r="D164" s="29" t="str">
        <f>IFERROR(__xludf.DUMMYFUNCTION("""COMPUTED_VALUE"""),"F250162")</f>
        <v>F250162</v>
      </c>
      <c r="E164" s="241">
        <f>IFERROR(__xludf.DUMMYFUNCTION("""COMPUTED_VALUE"""),300.0)</f>
        <v>300</v>
      </c>
      <c r="F164" s="241">
        <f>IFERROR(__xludf.DUMMYFUNCTION("""COMPUTED_VALUE"""),90.0)</f>
        <v>90</v>
      </c>
      <c r="G164" s="241">
        <f>IFERROR(__xludf.DUMMYFUNCTION("""COMPUTED_VALUE"""),210.0)</f>
        <v>210</v>
      </c>
      <c r="H164" s="29" t="b">
        <f>IFERROR(__xludf.DUMMYFUNCTION("""COMPUTED_VALUE"""),FALSE)</f>
        <v>0</v>
      </c>
      <c r="I164" s="257"/>
      <c r="J164" s="29"/>
      <c r="K164" s="32">
        <f>IFERROR(__xludf.DUMMYFUNCTION("""COMPUTED_VALUE"""),45891.0)</f>
        <v>45891</v>
      </c>
      <c r="L164" s="29"/>
      <c r="M164" s="29"/>
      <c r="N164" s="29"/>
    </row>
    <row r="165">
      <c r="A165" s="32">
        <f>IFERROR(__xludf.DUMMYFUNCTION("""COMPUTED_VALUE"""),45861.0)</f>
        <v>45861</v>
      </c>
      <c r="B165" s="29" t="str">
        <f>IFERROR(__xludf.DUMMYFUNCTION("""COMPUTED_VALUE"""),"Orane")</f>
        <v>Orane</v>
      </c>
      <c r="C165" s="29" t="str">
        <f>IFERROR(__xludf.DUMMYFUNCTION("""COMPUTED_VALUE"""),"Influencer LTD - Nike")</f>
        <v>Influencer LTD - Nike</v>
      </c>
      <c r="D165" s="29" t="str">
        <f>IFERROR(__xludf.DUMMYFUNCTION("""COMPUTED_VALUE"""),"F250163")</f>
        <v>F250163</v>
      </c>
      <c r="E165" s="241">
        <f>IFERROR(__xludf.DUMMYFUNCTION("""COMPUTED_VALUE"""),1500.0)</f>
        <v>1500</v>
      </c>
      <c r="F165" s="241">
        <f>IFERROR(__xludf.DUMMYFUNCTION("""COMPUTED_VALUE"""),450.0)</f>
        <v>450</v>
      </c>
      <c r="G165" s="241">
        <f>IFERROR(__xludf.DUMMYFUNCTION("""COMPUTED_VALUE"""),1050.0)</f>
        <v>1050</v>
      </c>
      <c r="H165" s="29" t="b">
        <f>IFERROR(__xludf.DUMMYFUNCTION("""COMPUTED_VALUE"""),FALSE)</f>
        <v>0</v>
      </c>
      <c r="I165" s="257"/>
      <c r="J165" s="29"/>
      <c r="K165" s="32">
        <f>IFERROR(__xludf.DUMMYFUNCTION("""COMPUTED_VALUE"""),45891.0)</f>
        <v>45891</v>
      </c>
      <c r="L165" s="29"/>
      <c r="M165" s="29"/>
      <c r="N165" s="29"/>
    </row>
    <row r="166">
      <c r="A166" s="32">
        <f>IFERROR(__xludf.DUMMYFUNCTION("""COMPUTED_VALUE"""),45863.0)</f>
        <v>45863</v>
      </c>
      <c r="B166" s="29" t="str">
        <f>IFERROR(__xludf.DUMMYFUNCTION("""COMPUTED_VALUE"""),"Lola")</f>
        <v>Lola</v>
      </c>
      <c r="C166" s="29" t="str">
        <f>IFERROR(__xludf.DUMMYFUNCTION("""COMPUTED_VALUE"""),"Yepoda")</f>
        <v>Yepoda</v>
      </c>
      <c r="D166" s="29" t="str">
        <f>IFERROR(__xludf.DUMMYFUNCTION("""COMPUTED_VALUE"""),"F250164")</f>
        <v>F250164</v>
      </c>
      <c r="E166" s="241">
        <f>IFERROR(__xludf.DUMMYFUNCTION("""COMPUTED_VALUE"""),250.0)</f>
        <v>250</v>
      </c>
      <c r="F166" s="241">
        <f>IFERROR(__xludf.DUMMYFUNCTION("""COMPUTED_VALUE"""),75.0)</f>
        <v>75</v>
      </c>
      <c r="G166" s="241">
        <f>IFERROR(__xludf.DUMMYFUNCTION("""COMPUTED_VALUE"""),175.0)</f>
        <v>175</v>
      </c>
      <c r="H166" s="29" t="b">
        <f>IFERROR(__xludf.DUMMYFUNCTION("""COMPUTED_VALUE"""),FALSE)</f>
        <v>0</v>
      </c>
      <c r="I166" s="257"/>
      <c r="J166" s="29"/>
      <c r="K166" s="32">
        <f>IFERROR(__xludf.DUMMYFUNCTION("""COMPUTED_VALUE"""),45893.0)</f>
        <v>45893</v>
      </c>
      <c r="L166" s="29"/>
      <c r="M166" s="29"/>
      <c r="N166" s="29"/>
    </row>
    <row r="167">
      <c r="A167" s="32">
        <f>IFERROR(__xludf.DUMMYFUNCTION("""COMPUTED_VALUE"""),45865.0)</f>
        <v>45865</v>
      </c>
      <c r="B167" s="29" t="str">
        <f>IFERROR(__xludf.DUMMYFUNCTION("""COMPUTED_VALUE"""),"Juliette")</f>
        <v>Juliette</v>
      </c>
      <c r="C167" s="29" t="str">
        <f>IFERROR(__xludf.DUMMYFUNCTION("""COMPUTED_VALUE"""),"Keemia Shein")</f>
        <v>Keemia Shein</v>
      </c>
      <c r="D167" s="29" t="str">
        <f>IFERROR(__xludf.DUMMYFUNCTION("""COMPUTED_VALUE"""),"F250165")</f>
        <v>F250165</v>
      </c>
      <c r="E167" s="241">
        <f>IFERROR(__xludf.DUMMYFUNCTION("""COMPUTED_VALUE"""),500.0)</f>
        <v>500</v>
      </c>
      <c r="F167" s="241">
        <f>IFERROR(__xludf.DUMMYFUNCTION("""COMPUTED_VALUE"""),150.0)</f>
        <v>150</v>
      </c>
      <c r="G167" s="241">
        <f>IFERROR(__xludf.DUMMYFUNCTION("""COMPUTED_VALUE"""),350.0)</f>
        <v>350</v>
      </c>
      <c r="H167" s="29" t="b">
        <f>IFERROR(__xludf.DUMMYFUNCTION("""COMPUTED_VALUE"""),FALSE)</f>
        <v>0</v>
      </c>
      <c r="I167" s="257"/>
      <c r="J167" s="29"/>
      <c r="K167" s="32">
        <f>IFERROR(__xludf.DUMMYFUNCTION("""COMPUTED_VALUE"""),45895.0)</f>
        <v>45895</v>
      </c>
      <c r="L167" s="29"/>
      <c r="M167" s="29"/>
      <c r="N167" s="29"/>
    </row>
    <row r="168">
      <c r="A168" s="32">
        <f>IFERROR(__xludf.DUMMYFUNCTION("""COMPUTED_VALUE"""),45865.0)</f>
        <v>45865</v>
      </c>
      <c r="B168" s="29" t="str">
        <f>IFERROR(__xludf.DUMMYFUNCTION("""COMPUTED_VALUE"""),"Aïcha")</f>
        <v>Aïcha</v>
      </c>
      <c r="C168" s="29" t="str">
        <f>IFERROR(__xludf.DUMMYFUNCTION("""COMPUTED_VALUE"""),"Keemia Shein")</f>
        <v>Keemia Shein</v>
      </c>
      <c r="D168" s="29" t="str">
        <f>IFERROR(__xludf.DUMMYFUNCTION("""COMPUTED_VALUE"""),"F250166")</f>
        <v>F250166</v>
      </c>
      <c r="E168" s="241">
        <f>IFERROR(__xludf.DUMMYFUNCTION("""COMPUTED_VALUE"""),500.0)</f>
        <v>500</v>
      </c>
      <c r="F168" s="241">
        <f>IFERROR(__xludf.DUMMYFUNCTION("""COMPUTED_VALUE"""),150.0)</f>
        <v>150</v>
      </c>
      <c r="G168" s="241">
        <f>IFERROR(__xludf.DUMMYFUNCTION("""COMPUTED_VALUE"""),350.0)</f>
        <v>350</v>
      </c>
      <c r="H168" s="29" t="b">
        <f>IFERROR(__xludf.DUMMYFUNCTION("""COMPUTED_VALUE"""),FALSE)</f>
        <v>0</v>
      </c>
      <c r="I168" s="257"/>
      <c r="J168" s="29"/>
      <c r="K168" s="32">
        <f>IFERROR(__xludf.DUMMYFUNCTION("""COMPUTED_VALUE"""),45895.0)</f>
        <v>45895</v>
      </c>
      <c r="L168" s="29"/>
      <c r="M168" s="29"/>
      <c r="N168" s="29"/>
    </row>
    <row r="169">
      <c r="A169" s="32">
        <f>IFERROR(__xludf.DUMMYFUNCTION("""COMPUTED_VALUE"""),45866.0)</f>
        <v>45866</v>
      </c>
      <c r="B169" s="29" t="str">
        <f>IFERROR(__xludf.DUMMYFUNCTION("""COMPUTED_VALUE"""),"Laura")</f>
        <v>Laura</v>
      </c>
      <c r="C169" s="29" t="str">
        <f>IFERROR(__xludf.DUMMYFUNCTION("""COMPUTED_VALUE"""),"Bella Barnett Paypal")</f>
        <v>Bella Barnett Paypal</v>
      </c>
      <c r="D169" s="29" t="str">
        <f>IFERROR(__xludf.DUMMYFUNCTION("""COMPUTED_VALUE"""),"F250167")</f>
        <v>F250167</v>
      </c>
      <c r="E169" s="241">
        <f>IFERROR(__xludf.DUMMYFUNCTION("""COMPUTED_VALUE"""),300.0)</f>
        <v>300</v>
      </c>
      <c r="F169" s="241">
        <f>IFERROR(__xludf.DUMMYFUNCTION("""COMPUTED_VALUE"""),90.0)</f>
        <v>90</v>
      </c>
      <c r="G169" s="241">
        <f>IFERROR(__xludf.DUMMYFUNCTION("""COMPUTED_VALUE"""),210.0)</f>
        <v>210</v>
      </c>
      <c r="H169" s="29" t="b">
        <f>IFERROR(__xludf.DUMMYFUNCTION("""COMPUTED_VALUE"""),FALSE)</f>
        <v>0</v>
      </c>
      <c r="I169" s="257"/>
      <c r="J169" s="29"/>
      <c r="K169" s="32">
        <f>IFERROR(__xludf.DUMMYFUNCTION("""COMPUTED_VALUE"""),45896.0)</f>
        <v>45896</v>
      </c>
      <c r="L169" s="29"/>
      <c r="M169" s="29"/>
      <c r="N169" s="29"/>
    </row>
    <row r="170">
      <c r="A170" s="32">
        <f>IFERROR(__xludf.DUMMYFUNCTION("""COMPUTED_VALUE"""),45866.0)</f>
        <v>45866</v>
      </c>
      <c r="B170" s="29" t="str">
        <f>IFERROR(__xludf.DUMMYFUNCTION("""COMPUTED_VALUE"""),"Juliane")</f>
        <v>Juliane</v>
      </c>
      <c r="C170" s="29" t="str">
        <f>IFERROR(__xludf.DUMMYFUNCTION("""COMPUTED_VALUE"""),"Myriam K")</f>
        <v>Myriam K</v>
      </c>
      <c r="D170" s="29" t="str">
        <f>IFERROR(__xludf.DUMMYFUNCTION("""COMPUTED_VALUE"""),"F250168")</f>
        <v>F250168</v>
      </c>
      <c r="E170" s="241">
        <f>IFERROR(__xludf.DUMMYFUNCTION("""COMPUTED_VALUE"""),350.0)</f>
        <v>350</v>
      </c>
      <c r="F170" s="241">
        <f>IFERROR(__xludf.DUMMYFUNCTION("""COMPUTED_VALUE"""),105.0)</f>
        <v>105</v>
      </c>
      <c r="G170" s="241">
        <f>IFERROR(__xludf.DUMMYFUNCTION("""COMPUTED_VALUE"""),245.0)</f>
        <v>245</v>
      </c>
      <c r="H170" s="29" t="b">
        <f>IFERROR(__xludf.DUMMYFUNCTION("""COMPUTED_VALUE"""),FALSE)</f>
        <v>0</v>
      </c>
      <c r="I170" s="257"/>
      <c r="J170" s="29"/>
      <c r="K170" s="32">
        <f>IFERROR(__xludf.DUMMYFUNCTION("""COMPUTED_VALUE"""),45896.0)</f>
        <v>45896</v>
      </c>
      <c r="L170" s="29"/>
      <c r="M170" s="29"/>
      <c r="N170" s="29"/>
    </row>
    <row r="171">
      <c r="A171" s="32">
        <f>IFERROR(__xludf.DUMMYFUNCTION("""COMPUTED_VALUE"""),45866.0)</f>
        <v>45866</v>
      </c>
      <c r="B171" s="29" t="str">
        <f>IFERROR(__xludf.DUMMYFUNCTION("""COMPUTED_VALUE"""),"Pauline")</f>
        <v>Pauline</v>
      </c>
      <c r="C171" s="29" t="str">
        <f>IFERROR(__xludf.DUMMYFUNCTION("""COMPUTED_VALUE"""),"Shavest")</f>
        <v>Shavest</v>
      </c>
      <c r="D171" s="29" t="str">
        <f>IFERROR(__xludf.DUMMYFUNCTION("""COMPUTED_VALUE"""),"F250169")</f>
        <v>F250169</v>
      </c>
      <c r="E171" s="241">
        <f>IFERROR(__xludf.DUMMYFUNCTION("""COMPUTED_VALUE"""),200.0)</f>
        <v>200</v>
      </c>
      <c r="F171" s="241">
        <f>IFERROR(__xludf.DUMMYFUNCTION("""COMPUTED_VALUE"""),40.0)</f>
        <v>40</v>
      </c>
      <c r="G171" s="241">
        <f>IFERROR(__xludf.DUMMYFUNCTION("""COMPUTED_VALUE"""),160.0)</f>
        <v>160</v>
      </c>
      <c r="H171" s="29" t="b">
        <f>IFERROR(__xludf.DUMMYFUNCTION("""COMPUTED_VALUE"""),FALSE)</f>
        <v>0</v>
      </c>
      <c r="I171" s="257"/>
      <c r="J171" s="29"/>
      <c r="K171" s="32">
        <f>IFERROR(__xludf.DUMMYFUNCTION("""COMPUTED_VALUE"""),45896.0)</f>
        <v>45896</v>
      </c>
      <c r="L171" s="29"/>
      <c r="M171" s="29"/>
      <c r="N171" s="29"/>
    </row>
    <row r="172">
      <c r="A172" s="32">
        <f>IFERROR(__xludf.DUMMYFUNCTION("""COMPUTED_VALUE"""),45866.0)</f>
        <v>45866</v>
      </c>
      <c r="B172" s="29" t="str">
        <f>IFERROR(__xludf.DUMMYFUNCTION("""COMPUTED_VALUE"""),"Sarah")</f>
        <v>Sarah</v>
      </c>
      <c r="C172" s="29" t="str">
        <f>IFERROR(__xludf.DUMMYFUNCTION("""COMPUTED_VALUE"""),"Paalm Cosmetics")</f>
        <v>Paalm Cosmetics</v>
      </c>
      <c r="D172" s="29" t="str">
        <f>IFERROR(__xludf.DUMMYFUNCTION("""COMPUTED_VALUE"""),"F250170")</f>
        <v>F250170</v>
      </c>
      <c r="E172" s="241">
        <f>IFERROR(__xludf.DUMMYFUNCTION("""COMPUTED_VALUE"""),200.0)</f>
        <v>200</v>
      </c>
      <c r="F172" s="241">
        <f>IFERROR(__xludf.DUMMYFUNCTION("""COMPUTED_VALUE"""),60.0)</f>
        <v>60</v>
      </c>
      <c r="G172" s="241">
        <f>IFERROR(__xludf.DUMMYFUNCTION("""COMPUTED_VALUE"""),140.0)</f>
        <v>140</v>
      </c>
      <c r="H172" s="29" t="b">
        <f>IFERROR(__xludf.DUMMYFUNCTION("""COMPUTED_VALUE"""),FALSE)</f>
        <v>0</v>
      </c>
      <c r="I172" s="257"/>
      <c r="J172" s="29"/>
      <c r="K172" s="32">
        <f>IFERROR(__xludf.DUMMYFUNCTION("""COMPUTED_VALUE"""),45896.0)</f>
        <v>45896</v>
      </c>
      <c r="L172" s="29"/>
      <c r="M172" s="29"/>
      <c r="N172" s="29"/>
    </row>
    <row r="173">
      <c r="A173" s="32">
        <f>IFERROR(__xludf.DUMMYFUNCTION("""COMPUTED_VALUE"""),45868.0)</f>
        <v>45868</v>
      </c>
      <c r="B173" s="29" t="str">
        <f>IFERROR(__xludf.DUMMYFUNCTION("""COMPUTED_VALUE"""),"Salma")</f>
        <v>Salma</v>
      </c>
      <c r="C173" s="29" t="str">
        <f>IFERROR(__xludf.DUMMYFUNCTION("""COMPUTED_VALUE"""),"Wandernana")</f>
        <v>Wandernana</v>
      </c>
      <c r="D173" s="29" t="str">
        <f>IFERROR(__xludf.DUMMYFUNCTION("""COMPUTED_VALUE"""),"F250171")</f>
        <v>F250171</v>
      </c>
      <c r="E173" s="241">
        <f>IFERROR(__xludf.DUMMYFUNCTION("""COMPUTED_VALUE"""),400.0)</f>
        <v>400</v>
      </c>
      <c r="F173" s="241">
        <f>IFERROR(__xludf.DUMMYFUNCTION("""COMPUTED_VALUE"""),120.0)</f>
        <v>120</v>
      </c>
      <c r="G173" s="241">
        <f>IFERROR(__xludf.DUMMYFUNCTION("""COMPUTED_VALUE"""),280.0)</f>
        <v>280</v>
      </c>
      <c r="H173" s="29" t="b">
        <f>IFERROR(__xludf.DUMMYFUNCTION("""COMPUTED_VALUE"""),FALSE)</f>
        <v>0</v>
      </c>
      <c r="I173" s="257"/>
      <c r="J173" s="29"/>
      <c r="K173" s="32">
        <f>IFERROR(__xludf.DUMMYFUNCTION("""COMPUTED_VALUE"""),45898.0)</f>
        <v>45898</v>
      </c>
      <c r="L173" s="29"/>
      <c r="M173" s="29"/>
      <c r="N173" s="29"/>
    </row>
    <row r="174">
      <c r="A174" s="32">
        <f>IFERROR(__xludf.DUMMYFUNCTION("""COMPUTED_VALUE"""),45868.0)</f>
        <v>45868</v>
      </c>
      <c r="B174" s="29" t="str">
        <f>IFERROR(__xludf.DUMMYFUNCTION("""COMPUTED_VALUE"""),"Sofia")</f>
        <v>Sofia</v>
      </c>
      <c r="C174" s="29" t="str">
        <f>IFERROR(__xludf.DUMMYFUNCTION("""COMPUTED_VALUE"""),"EMF Musc Intime")</f>
        <v>EMF Musc Intime</v>
      </c>
      <c r="D174" s="29" t="str">
        <f>IFERROR(__xludf.DUMMYFUNCTION("""COMPUTED_VALUE"""),"F250172")</f>
        <v>F250172</v>
      </c>
      <c r="E174" s="241">
        <f>IFERROR(__xludf.DUMMYFUNCTION("""COMPUTED_VALUE"""),300.0)</f>
        <v>300</v>
      </c>
      <c r="F174" s="241">
        <f>IFERROR(__xludf.DUMMYFUNCTION("""COMPUTED_VALUE"""),90.0)</f>
        <v>90</v>
      </c>
      <c r="G174" s="241">
        <f>IFERROR(__xludf.DUMMYFUNCTION("""COMPUTED_VALUE"""),210.0)</f>
        <v>210</v>
      </c>
      <c r="H174" s="29" t="b">
        <f>IFERROR(__xludf.DUMMYFUNCTION("""COMPUTED_VALUE"""),FALSE)</f>
        <v>0</v>
      </c>
      <c r="I174" s="257"/>
      <c r="J174" s="29"/>
      <c r="K174" s="32">
        <f>IFERROR(__xludf.DUMMYFUNCTION("""COMPUTED_VALUE"""),45898.0)</f>
        <v>45898</v>
      </c>
      <c r="L174" s="29"/>
      <c r="M174" s="29"/>
      <c r="N174" s="29"/>
    </row>
    <row r="175">
      <c r="A175" s="32"/>
      <c r="B175" s="29"/>
      <c r="C175" s="29"/>
      <c r="D175" s="29"/>
      <c r="E175" s="241"/>
      <c r="F175" s="241"/>
      <c r="G175" s="241"/>
      <c r="H175" s="29"/>
      <c r="I175" s="257"/>
      <c r="J175" s="29"/>
      <c r="K175" s="32"/>
      <c r="L175" s="29"/>
      <c r="M175" s="29"/>
      <c r="N175" s="29"/>
    </row>
    <row r="176">
      <c r="A176" s="32"/>
      <c r="B176" s="29"/>
      <c r="C176" s="29"/>
      <c r="D176" s="29"/>
      <c r="E176" s="241"/>
      <c r="F176" s="241"/>
      <c r="G176" s="241"/>
      <c r="H176" s="29"/>
      <c r="I176" s="257"/>
      <c r="J176" s="29"/>
      <c r="K176" s="32"/>
      <c r="L176" s="29"/>
      <c r="M176" s="29"/>
      <c r="N176" s="29"/>
    </row>
    <row r="177">
      <c r="A177" s="32"/>
      <c r="B177" s="29"/>
      <c r="C177" s="29"/>
      <c r="D177" s="29"/>
      <c r="E177" s="241"/>
      <c r="F177" s="241"/>
      <c r="G177" s="241"/>
      <c r="H177" s="29"/>
      <c r="I177" s="257"/>
      <c r="J177" s="29"/>
      <c r="K177" s="32"/>
      <c r="L177" s="29"/>
      <c r="M177" s="29"/>
      <c r="N177" s="29"/>
    </row>
    <row r="178">
      <c r="A178" s="32"/>
      <c r="B178" s="29"/>
      <c r="C178" s="29"/>
      <c r="D178" s="29"/>
      <c r="E178" s="241"/>
      <c r="F178" s="241"/>
      <c r="G178" s="241"/>
      <c r="H178" s="29"/>
      <c r="I178" s="257"/>
      <c r="J178" s="29"/>
      <c r="K178" s="32"/>
      <c r="L178" s="29"/>
      <c r="M178" s="29"/>
      <c r="N178" s="29"/>
    </row>
    <row r="179">
      <c r="A179" s="32"/>
      <c r="B179" s="29"/>
      <c r="C179" s="29"/>
      <c r="D179" s="29"/>
      <c r="E179" s="241"/>
      <c r="F179" s="241"/>
      <c r="G179" s="241"/>
      <c r="H179" s="29"/>
      <c r="I179" s="257"/>
      <c r="J179" s="29"/>
      <c r="K179" s="32"/>
      <c r="L179" s="29"/>
      <c r="M179" s="29"/>
      <c r="N179" s="29"/>
    </row>
    <row r="180">
      <c r="A180" s="32"/>
      <c r="B180" s="29"/>
      <c r="C180" s="29"/>
      <c r="D180" s="29"/>
      <c r="E180" s="241"/>
      <c r="F180" s="241"/>
      <c r="G180" s="241"/>
      <c r="H180" s="29"/>
      <c r="I180" s="257"/>
      <c r="J180" s="29"/>
      <c r="K180" s="32"/>
      <c r="L180" s="29"/>
      <c r="M180" s="29"/>
      <c r="N180" s="29"/>
    </row>
    <row r="181">
      <c r="A181" s="32"/>
      <c r="B181" s="29"/>
      <c r="C181" s="29"/>
      <c r="D181" s="29"/>
      <c r="E181" s="241"/>
      <c r="F181" s="241"/>
      <c r="G181" s="241"/>
      <c r="H181" s="29"/>
      <c r="I181" s="257"/>
      <c r="J181" s="29"/>
      <c r="K181" s="32"/>
      <c r="L181" s="29"/>
      <c r="M181" s="29"/>
      <c r="N181" s="29"/>
    </row>
    <row r="182">
      <c r="A182" s="32"/>
      <c r="B182" s="29"/>
      <c r="C182" s="29"/>
      <c r="D182" s="29"/>
      <c r="E182" s="241"/>
      <c r="F182" s="241"/>
      <c r="G182" s="241"/>
      <c r="H182" s="29"/>
      <c r="I182" s="257"/>
      <c r="J182" s="29"/>
      <c r="K182" s="32"/>
      <c r="L182" s="29"/>
      <c r="M182" s="29"/>
      <c r="N182" s="29"/>
    </row>
    <row r="183">
      <c r="A183" s="32"/>
      <c r="B183" s="29"/>
      <c r="C183" s="29"/>
      <c r="D183" s="29"/>
      <c r="E183" s="241"/>
      <c r="F183" s="241"/>
      <c r="G183" s="241"/>
      <c r="H183" s="29"/>
      <c r="I183" s="257"/>
      <c r="J183" s="29"/>
      <c r="K183" s="32"/>
      <c r="L183" s="29"/>
      <c r="M183" s="29"/>
      <c r="N183" s="29"/>
    </row>
    <row r="184">
      <c r="A184" s="32"/>
      <c r="B184" s="29"/>
      <c r="C184" s="29"/>
      <c r="D184" s="29"/>
      <c r="E184" s="241"/>
      <c r="F184" s="241"/>
      <c r="G184" s="241"/>
      <c r="H184" s="29"/>
      <c r="I184" s="257"/>
      <c r="J184" s="29"/>
      <c r="K184" s="32"/>
      <c r="L184" s="29"/>
      <c r="M184" s="29"/>
      <c r="N184" s="29"/>
    </row>
    <row r="185">
      <c r="A185" s="32"/>
      <c r="B185" s="29"/>
      <c r="C185" s="29"/>
      <c r="D185" s="29"/>
      <c r="E185" s="241"/>
      <c r="F185" s="241"/>
      <c r="G185" s="241"/>
      <c r="H185" s="29"/>
      <c r="I185" s="257"/>
      <c r="J185" s="29"/>
      <c r="K185" s="32"/>
      <c r="L185" s="29"/>
      <c r="M185" s="29"/>
      <c r="N185" s="29"/>
    </row>
    <row r="186">
      <c r="A186" s="32"/>
      <c r="B186" s="29"/>
      <c r="C186" s="29"/>
      <c r="D186" s="29"/>
      <c r="E186" s="241"/>
      <c r="F186" s="241"/>
      <c r="G186" s="241"/>
      <c r="H186" s="29"/>
      <c r="I186" s="257"/>
      <c r="J186" s="29"/>
      <c r="K186" s="32"/>
      <c r="L186" s="29"/>
      <c r="M186" s="29"/>
      <c r="N186" s="29"/>
    </row>
    <row r="187">
      <c r="A187" s="32"/>
      <c r="B187" s="29"/>
      <c r="C187" s="29"/>
      <c r="D187" s="29"/>
      <c r="E187" s="241"/>
      <c r="F187" s="241"/>
      <c r="G187" s="241"/>
      <c r="H187" s="29"/>
      <c r="I187" s="257"/>
      <c r="J187" s="29"/>
      <c r="K187" s="32"/>
      <c r="L187" s="29"/>
      <c r="M187" s="29"/>
      <c r="N187" s="29"/>
    </row>
    <row r="188">
      <c r="A188" s="32"/>
      <c r="B188" s="29"/>
      <c r="C188" s="29"/>
      <c r="D188" s="29"/>
      <c r="E188" s="241"/>
      <c r="F188" s="241"/>
      <c r="G188" s="241"/>
      <c r="H188" s="29"/>
      <c r="I188" s="257"/>
      <c r="J188" s="29"/>
      <c r="K188" s="32"/>
      <c r="L188" s="29"/>
      <c r="M188" s="29"/>
      <c r="N188" s="29"/>
    </row>
    <row r="189">
      <c r="A189" s="32"/>
      <c r="B189" s="29"/>
      <c r="C189" s="29"/>
      <c r="D189" s="29"/>
      <c r="E189" s="241"/>
      <c r="F189" s="241"/>
      <c r="G189" s="241"/>
      <c r="H189" s="29"/>
      <c r="I189" s="257"/>
      <c r="J189" s="29"/>
      <c r="K189" s="32"/>
      <c r="L189" s="29"/>
      <c r="M189" s="29"/>
      <c r="N189" s="29"/>
    </row>
    <row r="190">
      <c r="A190" s="32"/>
      <c r="B190" s="29"/>
      <c r="C190" s="29"/>
      <c r="D190" s="29"/>
      <c r="E190" s="241"/>
      <c r="F190" s="241"/>
      <c r="G190" s="241"/>
      <c r="H190" s="29"/>
      <c r="I190" s="257"/>
      <c r="J190" s="29"/>
      <c r="K190" s="32"/>
      <c r="L190" s="29"/>
      <c r="M190" s="29"/>
      <c r="N190" s="29"/>
    </row>
    <row r="191">
      <c r="A191" s="32"/>
      <c r="B191" s="29"/>
      <c r="C191" s="29"/>
      <c r="D191" s="29"/>
      <c r="E191" s="241"/>
      <c r="F191" s="241"/>
      <c r="G191" s="241"/>
      <c r="H191" s="29"/>
      <c r="I191" s="257"/>
      <c r="J191" s="29"/>
      <c r="K191" s="32"/>
      <c r="L191" s="29"/>
      <c r="M191" s="29"/>
      <c r="N191" s="29"/>
    </row>
    <row r="192">
      <c r="A192" s="32"/>
      <c r="B192" s="29"/>
      <c r="C192" s="29"/>
      <c r="D192" s="29"/>
      <c r="E192" s="241"/>
      <c r="F192" s="241"/>
      <c r="G192" s="241"/>
      <c r="H192" s="29"/>
      <c r="I192" s="257"/>
      <c r="J192" s="29"/>
      <c r="K192" s="32"/>
      <c r="L192" s="29"/>
      <c r="M192" s="29"/>
      <c r="N192" s="29"/>
    </row>
    <row r="193">
      <c r="A193" s="32"/>
      <c r="B193" s="29"/>
      <c r="C193" s="29"/>
      <c r="D193" s="29"/>
      <c r="E193" s="241"/>
      <c r="F193" s="241"/>
      <c r="G193" s="241"/>
      <c r="H193" s="29"/>
      <c r="I193" s="257"/>
      <c r="J193" s="29"/>
      <c r="K193" s="32"/>
      <c r="L193" s="29"/>
      <c r="M193" s="29"/>
      <c r="N193" s="29"/>
    </row>
    <row r="194">
      <c r="A194" s="32"/>
      <c r="B194" s="29"/>
      <c r="C194" s="29"/>
      <c r="D194" s="29"/>
      <c r="E194" s="241"/>
      <c r="F194" s="241"/>
      <c r="G194" s="241"/>
      <c r="H194" s="29"/>
      <c r="I194" s="257"/>
      <c r="J194" s="29"/>
      <c r="K194" s="32"/>
      <c r="L194" s="29"/>
      <c r="M194" s="29"/>
      <c r="N194" s="29"/>
    </row>
    <row r="195">
      <c r="A195" s="32"/>
      <c r="B195" s="29"/>
      <c r="C195" s="29"/>
      <c r="D195" s="29"/>
      <c r="E195" s="241"/>
      <c r="F195" s="241"/>
      <c r="G195" s="241"/>
      <c r="H195" s="29"/>
      <c r="I195" s="257"/>
      <c r="J195" s="29"/>
      <c r="K195" s="32"/>
      <c r="L195" s="29"/>
      <c r="M195" s="29"/>
      <c r="N195" s="29"/>
    </row>
    <row r="196">
      <c r="A196" s="32"/>
      <c r="B196" s="29"/>
      <c r="C196" s="29"/>
      <c r="D196" s="29"/>
      <c r="E196" s="241"/>
      <c r="F196" s="241"/>
      <c r="G196" s="241"/>
      <c r="H196" s="29"/>
      <c r="I196" s="257"/>
      <c r="J196" s="29"/>
      <c r="K196" s="32"/>
      <c r="L196" s="29"/>
      <c r="M196" s="29"/>
      <c r="N196" s="29"/>
    </row>
    <row r="197">
      <c r="A197" s="32"/>
      <c r="B197" s="29"/>
      <c r="C197" s="29"/>
      <c r="D197" s="29"/>
      <c r="E197" s="241"/>
      <c r="F197" s="241"/>
      <c r="G197" s="241"/>
      <c r="H197" s="29"/>
      <c r="I197" s="257"/>
      <c r="J197" s="29"/>
      <c r="K197" s="32"/>
      <c r="L197" s="29"/>
      <c r="M197" s="29"/>
      <c r="N197" s="29"/>
    </row>
    <row r="198">
      <c r="A198" s="32"/>
      <c r="B198" s="29"/>
      <c r="C198" s="29"/>
      <c r="D198" s="29"/>
      <c r="E198" s="241"/>
      <c r="F198" s="241"/>
      <c r="G198" s="241"/>
      <c r="H198" s="29"/>
      <c r="I198" s="257"/>
      <c r="J198" s="29"/>
      <c r="K198" s="32"/>
      <c r="L198" s="29"/>
      <c r="M198" s="29"/>
      <c r="N198" s="29"/>
    </row>
    <row r="199">
      <c r="A199" s="32"/>
      <c r="B199" s="29"/>
      <c r="C199" s="29"/>
      <c r="D199" s="29"/>
      <c r="E199" s="241"/>
      <c r="F199" s="241"/>
      <c r="G199" s="241"/>
      <c r="H199" s="29"/>
      <c r="I199" s="257"/>
      <c r="J199" s="29"/>
      <c r="K199" s="32"/>
      <c r="L199" s="29"/>
      <c r="M199" s="29"/>
      <c r="N199" s="29"/>
    </row>
    <row r="200">
      <c r="A200" s="32"/>
      <c r="B200" s="29"/>
      <c r="C200" s="29"/>
      <c r="D200" s="29"/>
      <c r="E200" s="241"/>
      <c r="F200" s="241"/>
      <c r="G200" s="241"/>
      <c r="H200" s="29"/>
      <c r="I200" s="257"/>
      <c r="J200" s="29"/>
      <c r="K200" s="32"/>
      <c r="L200" s="29"/>
      <c r="M200" s="29"/>
      <c r="N200" s="29"/>
    </row>
    <row r="201">
      <c r="A201" s="32"/>
      <c r="B201" s="29"/>
      <c r="C201" s="29"/>
      <c r="D201" s="29"/>
      <c r="E201" s="241"/>
      <c r="F201" s="241"/>
      <c r="G201" s="241"/>
      <c r="H201" s="29"/>
      <c r="I201" s="257"/>
      <c r="J201" s="29"/>
      <c r="K201" s="32"/>
      <c r="L201" s="29"/>
      <c r="M201" s="29"/>
      <c r="N201" s="29"/>
    </row>
    <row r="202">
      <c r="A202" s="32"/>
      <c r="B202" s="29"/>
      <c r="C202" s="29"/>
      <c r="D202" s="29"/>
      <c r="E202" s="241"/>
      <c r="F202" s="241"/>
      <c r="G202" s="241"/>
      <c r="H202" s="29"/>
      <c r="I202" s="257"/>
      <c r="J202" s="29"/>
      <c r="K202" s="32"/>
      <c r="L202" s="29"/>
      <c r="M202" s="29"/>
      <c r="N202" s="29"/>
    </row>
    <row r="203">
      <c r="A203" s="32"/>
      <c r="B203" s="29"/>
      <c r="C203" s="29"/>
      <c r="D203" s="29"/>
      <c r="E203" s="241"/>
      <c r="F203" s="241"/>
      <c r="G203" s="241"/>
      <c r="H203" s="29"/>
      <c r="I203" s="257"/>
      <c r="J203" s="29"/>
      <c r="K203" s="32"/>
      <c r="L203" s="29"/>
      <c r="M203" s="29"/>
      <c r="N203" s="29"/>
    </row>
    <row r="204">
      <c r="A204" s="32"/>
      <c r="B204" s="29"/>
      <c r="C204" s="29"/>
      <c r="D204" s="29"/>
      <c r="E204" s="241"/>
      <c r="F204" s="241"/>
      <c r="G204" s="241"/>
      <c r="H204" s="29"/>
      <c r="I204" s="257"/>
      <c r="J204" s="29"/>
      <c r="K204" s="32"/>
      <c r="L204" s="29"/>
      <c r="M204" s="29"/>
      <c r="N204" s="29"/>
    </row>
    <row r="205">
      <c r="A205" s="32"/>
      <c r="B205" s="29"/>
      <c r="C205" s="29"/>
      <c r="D205" s="29"/>
      <c r="E205" s="241"/>
      <c r="F205" s="241"/>
      <c r="G205" s="241"/>
      <c r="H205" s="29"/>
      <c r="I205" s="257"/>
      <c r="J205" s="29"/>
      <c r="K205" s="32"/>
      <c r="L205" s="29"/>
      <c r="M205" s="29"/>
      <c r="N205" s="29"/>
    </row>
    <row r="206">
      <c r="A206" s="32"/>
      <c r="B206" s="29"/>
      <c r="C206" s="29"/>
      <c r="D206" s="29"/>
      <c r="E206" s="241"/>
      <c r="F206" s="241"/>
      <c r="G206" s="241"/>
      <c r="H206" s="29"/>
      <c r="I206" s="257"/>
      <c r="J206" s="29"/>
      <c r="K206" s="32"/>
      <c r="L206" s="29"/>
      <c r="M206" s="29"/>
      <c r="N206" s="29"/>
    </row>
    <row r="207">
      <c r="A207" s="32"/>
      <c r="B207" s="29"/>
      <c r="C207" s="29"/>
      <c r="D207" s="29"/>
      <c r="E207" s="241"/>
      <c r="F207" s="241"/>
      <c r="G207" s="241"/>
      <c r="H207" s="29"/>
      <c r="I207" s="257"/>
      <c r="J207" s="29"/>
      <c r="K207" s="32"/>
      <c r="L207" s="29"/>
      <c r="M207" s="29"/>
      <c r="N207" s="29"/>
    </row>
    <row r="208">
      <c r="A208" s="32"/>
      <c r="B208" s="29"/>
      <c r="C208" s="29"/>
      <c r="D208" s="29"/>
      <c r="E208" s="241"/>
      <c r="F208" s="241"/>
      <c r="G208" s="241"/>
      <c r="H208" s="29"/>
      <c r="I208" s="257"/>
      <c r="J208" s="29"/>
      <c r="K208" s="32"/>
      <c r="L208" s="29"/>
      <c r="M208" s="29"/>
      <c r="N208" s="29"/>
    </row>
    <row r="209">
      <c r="A209" s="32"/>
      <c r="B209" s="29"/>
      <c r="C209" s="29"/>
      <c r="D209" s="29"/>
      <c r="E209" s="241"/>
      <c r="F209" s="241"/>
      <c r="G209" s="241"/>
      <c r="H209" s="29"/>
      <c r="I209" s="257"/>
      <c r="J209" s="29"/>
      <c r="K209" s="32"/>
      <c r="L209" s="29"/>
      <c r="M209" s="29"/>
      <c r="N209" s="29"/>
    </row>
    <row r="210">
      <c r="A210" s="32"/>
      <c r="B210" s="29"/>
      <c r="C210" s="29"/>
      <c r="D210" s="29"/>
      <c r="E210" s="241"/>
      <c r="F210" s="241"/>
      <c r="G210" s="241"/>
      <c r="H210" s="29"/>
      <c r="I210" s="257"/>
      <c r="J210" s="29"/>
      <c r="K210" s="32"/>
      <c r="L210" s="29"/>
      <c r="M210" s="29"/>
      <c r="N210" s="29"/>
    </row>
    <row r="211">
      <c r="A211" s="32"/>
      <c r="B211" s="29"/>
      <c r="C211" s="29"/>
      <c r="D211" s="29"/>
      <c r="E211" s="241"/>
      <c r="F211" s="241"/>
      <c r="G211" s="241"/>
      <c r="H211" s="29"/>
      <c r="I211" s="257"/>
      <c r="J211" s="29"/>
      <c r="K211" s="32"/>
      <c r="L211" s="29"/>
      <c r="M211" s="29"/>
      <c r="N211" s="29"/>
    </row>
    <row r="212">
      <c r="A212" s="32"/>
      <c r="B212" s="29"/>
      <c r="C212" s="29"/>
      <c r="D212" s="29"/>
      <c r="E212" s="241"/>
      <c r="F212" s="241"/>
      <c r="G212" s="241"/>
      <c r="H212" s="29"/>
      <c r="I212" s="257"/>
      <c r="J212" s="29"/>
      <c r="K212" s="32"/>
      <c r="L212" s="29"/>
      <c r="M212" s="29"/>
      <c r="N212" s="29"/>
    </row>
    <row r="213">
      <c r="A213" s="32"/>
      <c r="B213" s="29"/>
      <c r="C213" s="29"/>
      <c r="D213" s="29"/>
      <c r="E213" s="241"/>
      <c r="F213" s="241"/>
      <c r="G213" s="241"/>
      <c r="H213" s="29"/>
      <c r="I213" s="257"/>
      <c r="J213" s="29"/>
      <c r="K213" s="32"/>
      <c r="L213" s="29"/>
      <c r="M213" s="29"/>
      <c r="N213" s="29"/>
    </row>
    <row r="214">
      <c r="A214" s="32"/>
      <c r="B214" s="29"/>
      <c r="C214" s="29"/>
      <c r="D214" s="29"/>
      <c r="E214" s="241"/>
      <c r="F214" s="241"/>
      <c r="G214" s="241"/>
      <c r="H214" s="29"/>
      <c r="I214" s="257"/>
      <c r="J214" s="29"/>
      <c r="K214" s="32"/>
      <c r="L214" s="29"/>
      <c r="M214" s="29"/>
      <c r="N214" s="29"/>
    </row>
    <row r="215">
      <c r="A215" s="32"/>
      <c r="B215" s="29"/>
      <c r="C215" s="29"/>
      <c r="D215" s="29"/>
      <c r="E215" s="241"/>
      <c r="F215" s="241"/>
      <c r="G215" s="241"/>
      <c r="H215" s="29"/>
      <c r="I215" s="257"/>
      <c r="J215" s="29"/>
      <c r="K215" s="32"/>
      <c r="L215" s="29"/>
      <c r="M215" s="29"/>
      <c r="N215" s="29"/>
    </row>
    <row r="216">
      <c r="A216" s="32"/>
      <c r="B216" s="29"/>
      <c r="C216" s="29"/>
      <c r="D216" s="29"/>
      <c r="E216" s="241"/>
      <c r="F216" s="241"/>
      <c r="G216" s="241"/>
      <c r="H216" s="29"/>
      <c r="I216" s="257"/>
      <c r="J216" s="29"/>
      <c r="K216" s="32"/>
      <c r="L216" s="29"/>
      <c r="M216" s="29"/>
      <c r="N216" s="29"/>
    </row>
    <row r="217">
      <c r="A217" s="32"/>
      <c r="B217" s="29"/>
      <c r="C217" s="29"/>
      <c r="D217" s="29"/>
      <c r="E217" s="241"/>
      <c r="F217" s="241"/>
      <c r="G217" s="241"/>
      <c r="H217" s="29"/>
      <c r="I217" s="257"/>
      <c r="J217" s="29"/>
      <c r="K217" s="32"/>
      <c r="L217" s="29"/>
      <c r="M217" s="29"/>
      <c r="N217" s="29"/>
    </row>
    <row r="218">
      <c r="A218" s="32"/>
      <c r="B218" s="29"/>
      <c r="C218" s="29"/>
      <c r="D218" s="29"/>
      <c r="E218" s="241"/>
      <c r="F218" s="241"/>
      <c r="G218" s="241"/>
      <c r="H218" s="29"/>
      <c r="I218" s="257"/>
      <c r="J218" s="29"/>
      <c r="K218" s="32"/>
      <c r="L218" s="29"/>
      <c r="M218" s="29"/>
      <c r="N218" s="29"/>
    </row>
    <row r="219">
      <c r="A219" s="32"/>
      <c r="B219" s="29"/>
      <c r="C219" s="29"/>
      <c r="D219" s="29"/>
      <c r="E219" s="241"/>
      <c r="F219" s="241"/>
      <c r="G219" s="241"/>
      <c r="H219" s="29"/>
      <c r="I219" s="257"/>
      <c r="J219" s="29"/>
      <c r="K219" s="32"/>
      <c r="L219" s="29"/>
      <c r="M219" s="29"/>
      <c r="N219" s="29"/>
    </row>
    <row r="220">
      <c r="A220" s="32"/>
      <c r="B220" s="29"/>
      <c r="C220" s="29"/>
      <c r="D220" s="29"/>
      <c r="E220" s="241"/>
      <c r="F220" s="241"/>
      <c r="G220" s="241"/>
      <c r="H220" s="29"/>
      <c r="I220" s="257"/>
      <c r="J220" s="29"/>
      <c r="K220" s="32"/>
      <c r="L220" s="29"/>
      <c r="M220" s="29"/>
      <c r="N220" s="29"/>
    </row>
    <row r="221">
      <c r="A221" s="32"/>
      <c r="B221" s="29"/>
      <c r="C221" s="29"/>
      <c r="D221" s="29"/>
      <c r="E221" s="241"/>
      <c r="F221" s="241"/>
      <c r="G221" s="241"/>
      <c r="H221" s="29"/>
      <c r="I221" s="257"/>
      <c r="J221" s="29"/>
      <c r="K221" s="32"/>
      <c r="L221" s="29"/>
      <c r="M221" s="29"/>
      <c r="N221" s="29"/>
    </row>
    <row r="222">
      <c r="A222" s="32"/>
      <c r="B222" s="29"/>
      <c r="C222" s="29"/>
      <c r="D222" s="29"/>
      <c r="E222" s="241"/>
      <c r="F222" s="241"/>
      <c r="G222" s="241"/>
      <c r="H222" s="29"/>
      <c r="I222" s="257"/>
      <c r="J222" s="29"/>
      <c r="K222" s="32"/>
      <c r="L222" s="29"/>
      <c r="M222" s="29"/>
      <c r="N222" s="29"/>
    </row>
    <row r="223">
      <c r="A223" s="32"/>
      <c r="B223" s="29"/>
      <c r="C223" s="29"/>
      <c r="D223" s="29"/>
      <c r="E223" s="241"/>
      <c r="F223" s="241"/>
      <c r="G223" s="241"/>
      <c r="H223" s="29"/>
      <c r="I223" s="257"/>
      <c r="J223" s="29"/>
      <c r="K223" s="32"/>
      <c r="L223" s="29"/>
      <c r="M223" s="29"/>
      <c r="N223" s="29"/>
    </row>
    <row r="224">
      <c r="A224" s="32"/>
      <c r="B224" s="29"/>
      <c r="C224" s="29"/>
      <c r="D224" s="29"/>
      <c r="E224" s="241"/>
      <c r="F224" s="241"/>
      <c r="G224" s="241"/>
      <c r="H224" s="29"/>
      <c r="I224" s="257"/>
      <c r="J224" s="29"/>
      <c r="K224" s="32"/>
      <c r="L224" s="29"/>
      <c r="M224" s="29"/>
      <c r="N224" s="29"/>
    </row>
    <row r="225">
      <c r="A225" s="32"/>
      <c r="B225" s="29"/>
      <c r="C225" s="29"/>
      <c r="D225" s="29"/>
      <c r="E225" s="241"/>
      <c r="F225" s="241"/>
      <c r="G225" s="241"/>
      <c r="H225" s="29"/>
      <c r="I225" s="257"/>
      <c r="J225" s="29"/>
      <c r="K225" s="32"/>
      <c r="L225" s="29"/>
      <c r="M225" s="29"/>
      <c r="N225" s="29"/>
    </row>
    <row r="226">
      <c r="A226" s="32"/>
      <c r="B226" s="29"/>
      <c r="C226" s="29"/>
      <c r="D226" s="29"/>
      <c r="E226" s="241"/>
      <c r="F226" s="241"/>
      <c r="G226" s="241"/>
      <c r="H226" s="29"/>
      <c r="I226" s="257"/>
      <c r="J226" s="29"/>
      <c r="K226" s="32"/>
      <c r="L226" s="29"/>
      <c r="M226" s="29"/>
      <c r="N226" s="29"/>
    </row>
    <row r="227">
      <c r="A227" s="32"/>
      <c r="B227" s="29"/>
      <c r="C227" s="29"/>
      <c r="D227" s="29"/>
      <c r="E227" s="241"/>
      <c r="F227" s="241"/>
      <c r="G227" s="241"/>
      <c r="H227" s="29"/>
      <c r="I227" s="257"/>
      <c r="J227" s="29"/>
      <c r="K227" s="32"/>
      <c r="L227" s="29"/>
      <c r="M227" s="29"/>
      <c r="N227" s="29"/>
    </row>
    <row r="228">
      <c r="A228" s="32"/>
      <c r="B228" s="29"/>
      <c r="C228" s="29"/>
      <c r="D228" s="29"/>
      <c r="E228" s="241"/>
      <c r="F228" s="241"/>
      <c r="G228" s="241"/>
      <c r="H228" s="29"/>
      <c r="I228" s="257"/>
      <c r="J228" s="29"/>
      <c r="K228" s="32"/>
      <c r="L228" s="29"/>
      <c r="M228" s="29"/>
      <c r="N228" s="29"/>
    </row>
    <row r="229">
      <c r="A229" s="32"/>
      <c r="B229" s="29"/>
      <c r="C229" s="29"/>
      <c r="D229" s="29"/>
      <c r="E229" s="241"/>
      <c r="F229" s="241"/>
      <c r="G229" s="241"/>
      <c r="H229" s="29"/>
      <c r="I229" s="257"/>
      <c r="J229" s="29"/>
      <c r="K229" s="32"/>
      <c r="L229" s="29"/>
      <c r="M229" s="29"/>
      <c r="N229" s="29"/>
    </row>
    <row r="230">
      <c r="A230" s="32"/>
      <c r="B230" s="29"/>
      <c r="C230" s="29"/>
      <c r="D230" s="29"/>
      <c r="E230" s="241"/>
      <c r="F230" s="241"/>
      <c r="G230" s="241"/>
      <c r="H230" s="29"/>
      <c r="I230" s="257"/>
      <c r="J230" s="29"/>
      <c r="K230" s="32"/>
      <c r="L230" s="29"/>
      <c r="M230" s="29"/>
      <c r="N230" s="29"/>
    </row>
    <row r="231">
      <c r="A231" s="32"/>
      <c r="B231" s="29"/>
      <c r="C231" s="29"/>
      <c r="D231" s="29"/>
      <c r="E231" s="241"/>
      <c r="F231" s="241"/>
      <c r="G231" s="241"/>
      <c r="H231" s="29"/>
      <c r="I231" s="257"/>
      <c r="J231" s="29"/>
      <c r="K231" s="32"/>
      <c r="L231" s="29"/>
      <c r="M231" s="29"/>
      <c r="N231" s="29"/>
    </row>
    <row r="232">
      <c r="A232" s="32"/>
      <c r="B232" s="29"/>
      <c r="C232" s="29"/>
      <c r="D232" s="29"/>
      <c r="E232" s="241"/>
      <c r="F232" s="241"/>
      <c r="G232" s="241"/>
      <c r="H232" s="29"/>
      <c r="I232" s="257"/>
      <c r="J232" s="29"/>
      <c r="K232" s="32"/>
      <c r="L232" s="29"/>
      <c r="M232" s="29"/>
      <c r="N232" s="29"/>
    </row>
    <row r="233">
      <c r="A233" s="32"/>
      <c r="B233" s="29"/>
      <c r="C233" s="29"/>
      <c r="D233" s="29"/>
      <c r="E233" s="241"/>
      <c r="F233" s="241"/>
      <c r="G233" s="241"/>
      <c r="H233" s="29"/>
      <c r="I233" s="257"/>
      <c r="J233" s="29"/>
      <c r="K233" s="32"/>
      <c r="L233" s="29"/>
      <c r="M233" s="29"/>
      <c r="N233" s="29"/>
    </row>
    <row r="234">
      <c r="A234" s="32"/>
      <c r="B234" s="29"/>
      <c r="C234" s="29"/>
      <c r="D234" s="29"/>
      <c r="E234" s="241"/>
      <c r="F234" s="241"/>
      <c r="G234" s="241"/>
      <c r="H234" s="29"/>
      <c r="I234" s="257"/>
      <c r="J234" s="29"/>
      <c r="K234" s="32"/>
      <c r="L234" s="29"/>
      <c r="M234" s="29"/>
      <c r="N234" s="29"/>
    </row>
    <row r="235">
      <c r="A235" s="32"/>
      <c r="B235" s="29"/>
      <c r="C235" s="29"/>
      <c r="D235" s="29"/>
      <c r="E235" s="241"/>
      <c r="F235" s="241"/>
      <c r="G235" s="241"/>
      <c r="H235" s="29"/>
      <c r="I235" s="257"/>
      <c r="J235" s="29"/>
      <c r="K235" s="32"/>
      <c r="L235" s="29"/>
      <c r="M235" s="29"/>
      <c r="N235" s="29"/>
    </row>
    <row r="236">
      <c r="A236" s="32"/>
      <c r="B236" s="29"/>
      <c r="C236" s="29"/>
      <c r="D236" s="29"/>
      <c r="E236" s="241"/>
      <c r="F236" s="241"/>
      <c r="G236" s="241"/>
      <c r="H236" s="29"/>
      <c r="I236" s="257"/>
      <c r="J236" s="29"/>
      <c r="K236" s="32"/>
      <c r="L236" s="29"/>
      <c r="M236" s="29"/>
      <c r="N236" s="29"/>
    </row>
    <row r="237">
      <c r="A237" s="32"/>
      <c r="B237" s="29"/>
      <c r="C237" s="29"/>
      <c r="D237" s="29"/>
      <c r="E237" s="241"/>
      <c r="F237" s="241"/>
      <c r="G237" s="241"/>
      <c r="H237" s="29"/>
      <c r="I237" s="257"/>
      <c r="J237" s="29"/>
      <c r="K237" s="32"/>
      <c r="L237" s="29"/>
      <c r="M237" s="29"/>
      <c r="N237" s="29"/>
    </row>
    <row r="238">
      <c r="A238" s="32"/>
      <c r="B238" s="29"/>
      <c r="C238" s="29"/>
      <c r="D238" s="29"/>
      <c r="E238" s="241"/>
      <c r="F238" s="241"/>
      <c r="G238" s="241"/>
      <c r="H238" s="29"/>
      <c r="I238" s="257"/>
      <c r="J238" s="29"/>
      <c r="K238" s="32"/>
      <c r="L238" s="29"/>
      <c r="M238" s="29"/>
      <c r="N238" s="29"/>
    </row>
    <row r="239">
      <c r="A239" s="32"/>
      <c r="B239" s="29"/>
      <c r="C239" s="29"/>
      <c r="D239" s="29"/>
      <c r="E239" s="241"/>
      <c r="F239" s="241"/>
      <c r="G239" s="241"/>
      <c r="H239" s="29"/>
      <c r="I239" s="257"/>
      <c r="J239" s="29"/>
      <c r="K239" s="32"/>
      <c r="L239" s="29"/>
      <c r="M239" s="29"/>
      <c r="N239" s="29"/>
    </row>
    <row r="240">
      <c r="A240" s="32"/>
      <c r="B240" s="29"/>
      <c r="C240" s="29"/>
      <c r="D240" s="29"/>
      <c r="E240" s="241"/>
      <c r="F240" s="241"/>
      <c r="G240" s="241"/>
      <c r="H240" s="29"/>
      <c r="I240" s="257"/>
      <c r="J240" s="29"/>
      <c r="K240" s="32"/>
      <c r="L240" s="29"/>
      <c r="M240" s="29"/>
      <c r="N240" s="29"/>
    </row>
    <row r="241">
      <c r="A241" s="32"/>
      <c r="B241" s="29"/>
      <c r="C241" s="29"/>
      <c r="D241" s="29"/>
      <c r="E241" s="241"/>
      <c r="F241" s="241"/>
      <c r="G241" s="241"/>
      <c r="H241" s="29"/>
      <c r="I241" s="257"/>
      <c r="J241" s="29"/>
      <c r="K241" s="32"/>
      <c r="L241" s="29"/>
      <c r="M241" s="29"/>
      <c r="N241" s="29"/>
    </row>
    <row r="242">
      <c r="A242" s="32"/>
      <c r="B242" s="29"/>
      <c r="C242" s="29"/>
      <c r="D242" s="29"/>
      <c r="E242" s="241"/>
      <c r="F242" s="241"/>
      <c r="G242" s="241"/>
      <c r="H242" s="29"/>
      <c r="I242" s="257"/>
      <c r="J242" s="29"/>
      <c r="K242" s="32"/>
      <c r="L242" s="29"/>
      <c r="M242" s="29"/>
      <c r="N242" s="29"/>
    </row>
    <row r="243">
      <c r="A243" s="32"/>
      <c r="B243" s="29"/>
      <c r="C243" s="29"/>
      <c r="D243" s="29"/>
      <c r="E243" s="241"/>
      <c r="F243" s="241"/>
      <c r="G243" s="241"/>
      <c r="H243" s="29"/>
      <c r="I243" s="257"/>
      <c r="J243" s="29"/>
      <c r="K243" s="32"/>
      <c r="L243" s="29"/>
      <c r="M243" s="29"/>
      <c r="N243" s="29"/>
    </row>
    <row r="244">
      <c r="A244" s="32"/>
      <c r="B244" s="29"/>
      <c r="C244" s="29"/>
      <c r="D244" s="29"/>
      <c r="E244" s="241"/>
      <c r="F244" s="241"/>
      <c r="G244" s="241"/>
      <c r="H244" s="29"/>
      <c r="I244" s="257"/>
      <c r="J244" s="29"/>
      <c r="K244" s="32"/>
      <c r="L244" s="29"/>
      <c r="M244" s="29"/>
      <c r="N244" s="29"/>
    </row>
    <row r="245">
      <c r="A245" s="32"/>
      <c r="B245" s="29"/>
      <c r="C245" s="29"/>
      <c r="D245" s="29"/>
      <c r="E245" s="241"/>
      <c r="F245" s="241"/>
      <c r="G245" s="241"/>
      <c r="H245" s="29"/>
      <c r="I245" s="257"/>
      <c r="J245" s="29"/>
      <c r="K245" s="32"/>
      <c r="L245" s="29"/>
      <c r="M245" s="29"/>
      <c r="N245" s="29"/>
    </row>
    <row r="246">
      <c r="A246" s="32"/>
      <c r="B246" s="29"/>
      <c r="C246" s="29"/>
      <c r="D246" s="29"/>
      <c r="E246" s="241"/>
      <c r="F246" s="241"/>
      <c r="G246" s="241"/>
      <c r="H246" s="29"/>
      <c r="I246" s="257"/>
      <c r="J246" s="29"/>
      <c r="K246" s="32"/>
      <c r="L246" s="29"/>
      <c r="M246" s="29"/>
      <c r="N246" s="29"/>
    </row>
    <row r="247">
      <c r="A247" s="32"/>
      <c r="B247" s="29"/>
      <c r="C247" s="29"/>
      <c r="D247" s="29"/>
      <c r="E247" s="241"/>
      <c r="F247" s="241"/>
      <c r="G247" s="241"/>
      <c r="H247" s="29"/>
      <c r="I247" s="257"/>
      <c r="J247" s="29"/>
      <c r="K247" s="32"/>
      <c r="L247" s="29"/>
      <c r="M247" s="29"/>
      <c r="N247" s="29"/>
    </row>
    <row r="248">
      <c r="A248" s="32"/>
      <c r="B248" s="29"/>
      <c r="C248" s="29"/>
      <c r="D248" s="29"/>
      <c r="E248" s="241"/>
      <c r="F248" s="241"/>
      <c r="G248" s="241"/>
      <c r="H248" s="29"/>
      <c r="I248" s="257"/>
      <c r="J248" s="29"/>
      <c r="K248" s="32"/>
      <c r="L248" s="29"/>
      <c r="M248" s="29"/>
      <c r="N248" s="29"/>
    </row>
    <row r="249">
      <c r="A249" s="32"/>
      <c r="B249" s="29"/>
      <c r="C249" s="29"/>
      <c r="D249" s="29"/>
      <c r="E249" s="241"/>
      <c r="F249" s="241"/>
      <c r="G249" s="241"/>
      <c r="H249" s="29"/>
      <c r="I249" s="257"/>
      <c r="J249" s="29"/>
      <c r="K249" s="32"/>
      <c r="L249" s="29"/>
      <c r="M249" s="29"/>
      <c r="N249" s="29"/>
    </row>
    <row r="250">
      <c r="A250" s="32"/>
      <c r="B250" s="29"/>
      <c r="C250" s="29"/>
      <c r="D250" s="29"/>
      <c r="E250" s="241"/>
      <c r="F250" s="241"/>
      <c r="G250" s="241"/>
      <c r="H250" s="29"/>
      <c r="I250" s="257"/>
      <c r="J250" s="29"/>
      <c r="K250" s="32"/>
      <c r="L250" s="29"/>
      <c r="M250" s="29"/>
      <c r="N250" s="29"/>
    </row>
    <row r="251">
      <c r="A251" s="32"/>
      <c r="B251" s="29"/>
      <c r="C251" s="29"/>
      <c r="D251" s="29"/>
      <c r="E251" s="241"/>
      <c r="F251" s="241"/>
      <c r="G251" s="241"/>
      <c r="H251" s="29"/>
      <c r="I251" s="257"/>
      <c r="J251" s="29"/>
      <c r="K251" s="32"/>
      <c r="L251" s="29"/>
      <c r="M251" s="29"/>
      <c r="N251" s="29"/>
    </row>
    <row r="252">
      <c r="A252" s="32"/>
      <c r="B252" s="29"/>
      <c r="C252" s="29"/>
      <c r="D252" s="29"/>
      <c r="E252" s="241"/>
      <c r="F252" s="241"/>
      <c r="G252" s="241"/>
      <c r="H252" s="29"/>
      <c r="I252" s="257"/>
      <c r="J252" s="29"/>
      <c r="K252" s="32"/>
      <c r="L252" s="29"/>
      <c r="M252" s="29"/>
      <c r="N252" s="29"/>
    </row>
    <row r="253">
      <c r="A253" s="32"/>
      <c r="B253" s="29"/>
      <c r="C253" s="29"/>
      <c r="D253" s="29"/>
      <c r="E253" s="241"/>
      <c r="F253" s="241"/>
      <c r="G253" s="241"/>
      <c r="H253" s="29"/>
      <c r="I253" s="257"/>
      <c r="J253" s="29"/>
      <c r="K253" s="32"/>
      <c r="L253" s="29"/>
      <c r="M253" s="29"/>
      <c r="N253" s="29"/>
    </row>
    <row r="254">
      <c r="A254" s="32"/>
      <c r="B254" s="29"/>
      <c r="C254" s="29"/>
      <c r="D254" s="29"/>
      <c r="E254" s="241"/>
      <c r="F254" s="241"/>
      <c r="G254" s="241"/>
      <c r="H254" s="29"/>
      <c r="I254" s="257"/>
      <c r="J254" s="29"/>
      <c r="K254" s="32"/>
      <c r="L254" s="29"/>
      <c r="M254" s="29"/>
      <c r="N254" s="29"/>
    </row>
    <row r="255">
      <c r="A255" s="32"/>
      <c r="B255" s="29"/>
      <c r="C255" s="29"/>
      <c r="D255" s="29"/>
      <c r="E255" s="241"/>
      <c r="F255" s="241"/>
      <c r="G255" s="241"/>
      <c r="H255" s="29"/>
      <c r="I255" s="257"/>
      <c r="J255" s="29"/>
      <c r="K255" s="32"/>
      <c r="L255" s="29"/>
      <c r="M255" s="29"/>
      <c r="N255" s="29"/>
    </row>
    <row r="256">
      <c r="A256" s="32"/>
      <c r="B256" s="29"/>
      <c r="C256" s="29"/>
      <c r="D256" s="29"/>
      <c r="E256" s="241"/>
      <c r="F256" s="241"/>
      <c r="G256" s="241"/>
      <c r="H256" s="29"/>
      <c r="I256" s="257"/>
      <c r="J256" s="29"/>
      <c r="K256" s="32"/>
      <c r="L256" s="29"/>
      <c r="M256" s="29"/>
      <c r="N256" s="29"/>
    </row>
    <row r="257">
      <c r="A257" s="32"/>
      <c r="B257" s="29"/>
      <c r="C257" s="29"/>
      <c r="D257" s="29"/>
      <c r="E257" s="241"/>
      <c r="F257" s="241"/>
      <c r="G257" s="241"/>
      <c r="H257" s="29"/>
      <c r="I257" s="257"/>
      <c r="J257" s="29"/>
      <c r="K257" s="32"/>
      <c r="L257" s="29"/>
      <c r="M257" s="29"/>
      <c r="N257" s="29"/>
    </row>
    <row r="258">
      <c r="A258" s="32"/>
      <c r="B258" s="29"/>
      <c r="C258" s="29"/>
      <c r="D258" s="29"/>
      <c r="E258" s="241"/>
      <c r="F258" s="241"/>
      <c r="G258" s="241"/>
      <c r="H258" s="29"/>
      <c r="I258" s="257"/>
      <c r="J258" s="29"/>
      <c r="K258" s="32"/>
      <c r="L258" s="29"/>
      <c r="M258" s="29"/>
      <c r="N258" s="29"/>
    </row>
    <row r="259">
      <c r="A259" s="32"/>
      <c r="B259" s="29"/>
      <c r="C259" s="29"/>
      <c r="D259" s="29"/>
      <c r="E259" s="241"/>
      <c r="F259" s="241"/>
      <c r="G259" s="241"/>
      <c r="H259" s="29"/>
      <c r="I259" s="257"/>
      <c r="J259" s="29"/>
      <c r="K259" s="32"/>
      <c r="L259" s="29"/>
      <c r="M259" s="29"/>
      <c r="N259" s="29"/>
    </row>
    <row r="260">
      <c r="A260" s="32"/>
      <c r="B260" s="29"/>
      <c r="C260" s="29"/>
      <c r="D260" s="29"/>
      <c r="E260" s="241"/>
      <c r="F260" s="241"/>
      <c r="G260" s="241"/>
      <c r="H260" s="29"/>
      <c r="I260" s="257"/>
      <c r="J260" s="29"/>
      <c r="K260" s="32"/>
      <c r="L260" s="29"/>
      <c r="M260" s="29"/>
      <c r="N260" s="29"/>
    </row>
    <row r="261">
      <c r="A261" s="32"/>
      <c r="B261" s="29"/>
      <c r="C261" s="29"/>
      <c r="D261" s="29"/>
      <c r="E261" s="241"/>
      <c r="F261" s="241"/>
      <c r="G261" s="241"/>
      <c r="H261" s="29"/>
      <c r="I261" s="257"/>
      <c r="J261" s="29"/>
      <c r="K261" s="32"/>
      <c r="L261" s="29"/>
      <c r="M261" s="29"/>
      <c r="N261" s="29"/>
    </row>
    <row r="262">
      <c r="A262" s="32"/>
      <c r="B262" s="29"/>
      <c r="C262" s="29"/>
      <c r="D262" s="29"/>
      <c r="E262" s="241"/>
      <c r="F262" s="241"/>
      <c r="G262" s="241"/>
      <c r="H262" s="29"/>
      <c r="I262" s="257"/>
      <c r="J262" s="29"/>
      <c r="K262" s="32"/>
      <c r="L262" s="29"/>
      <c r="M262" s="29"/>
      <c r="N262" s="29"/>
    </row>
    <row r="263">
      <c r="A263" s="32"/>
      <c r="B263" s="29"/>
      <c r="C263" s="29"/>
      <c r="D263" s="29"/>
      <c r="E263" s="241"/>
      <c r="F263" s="241"/>
      <c r="G263" s="241"/>
      <c r="H263" s="29"/>
      <c r="I263" s="257"/>
      <c r="J263" s="29"/>
      <c r="K263" s="32"/>
      <c r="L263" s="29"/>
      <c r="M263" s="29"/>
      <c r="N263" s="29"/>
    </row>
    <row r="264">
      <c r="A264" s="32"/>
      <c r="B264" s="29"/>
      <c r="C264" s="29"/>
      <c r="D264" s="29"/>
      <c r="E264" s="241"/>
      <c r="F264" s="241"/>
      <c r="G264" s="241"/>
      <c r="H264" s="29"/>
      <c r="I264" s="257"/>
      <c r="J264" s="29"/>
      <c r="K264" s="32"/>
      <c r="L264" s="29"/>
      <c r="M264" s="29"/>
      <c r="N264" s="29"/>
    </row>
    <row r="265">
      <c r="A265" s="32"/>
      <c r="B265" s="29"/>
      <c r="C265" s="29"/>
      <c r="D265" s="29"/>
      <c r="E265" s="241"/>
      <c r="F265" s="241"/>
      <c r="G265" s="241"/>
      <c r="H265" s="29"/>
      <c r="I265" s="257"/>
      <c r="J265" s="29"/>
      <c r="K265" s="32"/>
      <c r="L265" s="29"/>
      <c r="M265" s="29"/>
      <c r="N265" s="29"/>
    </row>
    <row r="266">
      <c r="A266" s="32"/>
      <c r="B266" s="29"/>
      <c r="C266" s="29"/>
      <c r="D266" s="29"/>
      <c r="E266" s="241"/>
      <c r="F266" s="241"/>
      <c r="G266" s="241"/>
      <c r="H266" s="29"/>
      <c r="I266" s="257"/>
      <c r="J266" s="29"/>
      <c r="K266" s="32"/>
      <c r="L266" s="29"/>
      <c r="M266" s="29"/>
      <c r="N266" s="29"/>
    </row>
    <row r="267">
      <c r="A267" s="32"/>
      <c r="B267" s="29"/>
      <c r="C267" s="29"/>
      <c r="D267" s="29"/>
      <c r="E267" s="241"/>
      <c r="F267" s="241"/>
      <c r="G267" s="241"/>
      <c r="H267" s="29"/>
      <c r="I267" s="257"/>
      <c r="J267" s="29"/>
      <c r="K267" s="32"/>
      <c r="L267" s="29"/>
      <c r="M267" s="29"/>
      <c r="N267" s="29"/>
    </row>
    <row r="268">
      <c r="A268" s="32"/>
      <c r="B268" s="29"/>
      <c r="C268" s="29"/>
      <c r="D268" s="29"/>
      <c r="E268" s="241"/>
      <c r="F268" s="241"/>
      <c r="G268" s="241"/>
      <c r="H268" s="29"/>
      <c r="I268" s="257"/>
      <c r="J268" s="29"/>
      <c r="K268" s="32"/>
      <c r="L268" s="29"/>
      <c r="M268" s="29"/>
      <c r="N268" s="29"/>
    </row>
    <row r="269">
      <c r="A269" s="32"/>
      <c r="B269" s="29"/>
      <c r="C269" s="29"/>
      <c r="D269" s="29"/>
      <c r="E269" s="241"/>
      <c r="F269" s="241"/>
      <c r="G269" s="241"/>
      <c r="H269" s="29"/>
      <c r="I269" s="257"/>
      <c r="J269" s="29"/>
      <c r="K269" s="32"/>
      <c r="L269" s="29"/>
      <c r="M269" s="29"/>
      <c r="N269" s="29"/>
    </row>
    <row r="270">
      <c r="A270" s="32"/>
      <c r="B270" s="29"/>
      <c r="C270" s="29"/>
      <c r="D270" s="29"/>
      <c r="E270" s="241"/>
      <c r="F270" s="241"/>
      <c r="G270" s="241"/>
      <c r="H270" s="29"/>
      <c r="I270" s="257"/>
      <c r="J270" s="29"/>
      <c r="K270" s="32"/>
      <c r="L270" s="29"/>
      <c r="M270" s="29"/>
      <c r="N270" s="29"/>
    </row>
    <row r="271">
      <c r="A271" s="32"/>
      <c r="B271" s="29"/>
      <c r="C271" s="29"/>
      <c r="D271" s="29"/>
      <c r="E271" s="241"/>
      <c r="F271" s="241"/>
      <c r="G271" s="241"/>
      <c r="H271" s="29"/>
      <c r="I271" s="257"/>
      <c r="J271" s="29"/>
      <c r="K271" s="32"/>
      <c r="L271" s="29"/>
      <c r="M271" s="29"/>
      <c r="N271" s="29"/>
    </row>
    <row r="272">
      <c r="A272" s="32"/>
      <c r="B272" s="29"/>
      <c r="C272" s="29"/>
      <c r="D272" s="29"/>
      <c r="E272" s="241"/>
      <c r="F272" s="241"/>
      <c r="G272" s="241"/>
      <c r="H272" s="29"/>
      <c r="I272" s="257"/>
      <c r="J272" s="29"/>
      <c r="K272" s="32"/>
      <c r="L272" s="29"/>
      <c r="M272" s="29"/>
      <c r="N272" s="29"/>
    </row>
    <row r="273">
      <c r="A273" s="32"/>
      <c r="B273" s="29"/>
      <c r="C273" s="29"/>
      <c r="D273" s="29"/>
      <c r="E273" s="241"/>
      <c r="F273" s="241"/>
      <c r="G273" s="241"/>
      <c r="H273" s="29"/>
      <c r="I273" s="257"/>
      <c r="J273" s="29"/>
      <c r="K273" s="32"/>
      <c r="L273" s="29"/>
      <c r="M273" s="29"/>
      <c r="N273" s="29"/>
    </row>
    <row r="274">
      <c r="A274" s="32"/>
      <c r="B274" s="29"/>
      <c r="C274" s="29"/>
      <c r="D274" s="29"/>
      <c r="E274" s="241"/>
      <c r="F274" s="241"/>
      <c r="G274" s="241"/>
      <c r="H274" s="29"/>
      <c r="I274" s="257"/>
      <c r="J274" s="29"/>
      <c r="K274" s="32"/>
      <c r="L274" s="29"/>
      <c r="M274" s="29"/>
      <c r="N274" s="29"/>
    </row>
    <row r="275">
      <c r="A275" s="32"/>
      <c r="B275" s="29"/>
      <c r="C275" s="29"/>
      <c r="D275" s="29"/>
      <c r="E275" s="241"/>
      <c r="F275" s="241"/>
      <c r="G275" s="241"/>
      <c r="H275" s="29"/>
      <c r="I275" s="257"/>
      <c r="J275" s="29"/>
      <c r="K275" s="32"/>
      <c r="L275" s="29"/>
      <c r="M275" s="29"/>
      <c r="N275" s="29"/>
    </row>
    <row r="276">
      <c r="A276" s="32"/>
      <c r="B276" s="29"/>
      <c r="C276" s="29"/>
      <c r="D276" s="29"/>
      <c r="E276" s="241"/>
      <c r="F276" s="241"/>
      <c r="G276" s="241"/>
      <c r="H276" s="29"/>
      <c r="I276" s="257"/>
      <c r="J276" s="29"/>
      <c r="K276" s="32"/>
      <c r="L276" s="29"/>
      <c r="M276" s="29"/>
      <c r="N276" s="29"/>
    </row>
    <row r="277">
      <c r="A277" s="32"/>
      <c r="B277" s="29"/>
      <c r="C277" s="29"/>
      <c r="D277" s="29"/>
      <c r="E277" s="241"/>
      <c r="F277" s="241"/>
      <c r="G277" s="241"/>
      <c r="H277" s="29"/>
      <c r="I277" s="257"/>
      <c r="J277" s="29"/>
      <c r="K277" s="32"/>
      <c r="L277" s="29"/>
      <c r="M277" s="29"/>
      <c r="N277" s="29"/>
    </row>
    <row r="278">
      <c r="A278" s="32"/>
      <c r="B278" s="29"/>
      <c r="C278" s="29"/>
      <c r="D278" s="29"/>
      <c r="E278" s="241"/>
      <c r="F278" s="241"/>
      <c r="G278" s="241"/>
      <c r="H278" s="29"/>
      <c r="I278" s="257"/>
      <c r="J278" s="29"/>
      <c r="K278" s="32"/>
      <c r="L278" s="29"/>
      <c r="M278" s="29"/>
      <c r="N278" s="29"/>
    </row>
    <row r="279">
      <c r="A279" s="32"/>
      <c r="B279" s="29"/>
      <c r="C279" s="29"/>
      <c r="D279" s="29"/>
      <c r="E279" s="241"/>
      <c r="F279" s="241"/>
      <c r="G279" s="241"/>
      <c r="H279" s="29"/>
      <c r="I279" s="257"/>
      <c r="J279" s="29"/>
      <c r="K279" s="32"/>
      <c r="L279" s="29"/>
      <c r="M279" s="29"/>
      <c r="N279" s="29"/>
    </row>
    <row r="280">
      <c r="A280" s="32"/>
      <c r="B280" s="29"/>
      <c r="C280" s="29"/>
      <c r="D280" s="29"/>
      <c r="E280" s="241"/>
      <c r="F280" s="241"/>
      <c r="G280" s="241"/>
      <c r="H280" s="29"/>
      <c r="I280" s="257"/>
      <c r="J280" s="29"/>
      <c r="K280" s="32"/>
      <c r="L280" s="29"/>
      <c r="M280" s="29"/>
      <c r="N280" s="29"/>
    </row>
    <row r="281">
      <c r="A281" s="32"/>
      <c r="B281" s="29"/>
      <c r="C281" s="29"/>
      <c r="D281" s="29"/>
      <c r="E281" s="241"/>
      <c r="F281" s="241"/>
      <c r="G281" s="241"/>
      <c r="H281" s="29"/>
      <c r="I281" s="257"/>
      <c r="J281" s="29"/>
      <c r="K281" s="32"/>
      <c r="L281" s="29"/>
      <c r="M281" s="29"/>
      <c r="N281" s="29"/>
    </row>
    <row r="282">
      <c r="A282" s="32"/>
      <c r="B282" s="29"/>
      <c r="C282" s="29"/>
      <c r="D282" s="29"/>
      <c r="E282" s="241"/>
      <c r="F282" s="241"/>
      <c r="G282" s="241"/>
      <c r="H282" s="29"/>
      <c r="I282" s="257"/>
      <c r="J282" s="29"/>
      <c r="K282" s="32"/>
      <c r="L282" s="29"/>
      <c r="M282" s="29"/>
      <c r="N282" s="29"/>
    </row>
    <row r="283">
      <c r="A283" s="32"/>
      <c r="B283" s="29"/>
      <c r="C283" s="29"/>
      <c r="D283" s="29"/>
      <c r="E283" s="241"/>
      <c r="F283" s="241"/>
      <c r="G283" s="241"/>
      <c r="H283" s="29"/>
      <c r="I283" s="257"/>
      <c r="J283" s="29"/>
      <c r="K283" s="32"/>
      <c r="L283" s="29"/>
      <c r="M283" s="29"/>
      <c r="N283" s="29"/>
    </row>
    <row r="284">
      <c r="A284" s="32"/>
      <c r="B284" s="29"/>
      <c r="C284" s="29"/>
      <c r="D284" s="29"/>
      <c r="E284" s="241"/>
      <c r="F284" s="241"/>
      <c r="G284" s="241"/>
      <c r="H284" s="29"/>
      <c r="I284" s="257"/>
      <c r="J284" s="29"/>
      <c r="K284" s="32"/>
      <c r="L284" s="29"/>
      <c r="M284" s="29"/>
      <c r="N284" s="29"/>
    </row>
    <row r="285">
      <c r="A285" s="32"/>
      <c r="B285" s="29"/>
      <c r="C285" s="29"/>
      <c r="D285" s="29"/>
      <c r="E285" s="241"/>
      <c r="F285" s="241"/>
      <c r="G285" s="241"/>
      <c r="H285" s="29"/>
      <c r="I285" s="257"/>
      <c r="J285" s="29"/>
      <c r="K285" s="32"/>
      <c r="L285" s="29"/>
      <c r="M285" s="29"/>
      <c r="N285" s="29"/>
    </row>
    <row r="286">
      <c r="A286" s="32"/>
      <c r="B286" s="29"/>
      <c r="C286" s="29"/>
      <c r="D286" s="29"/>
      <c r="E286" s="241"/>
      <c r="F286" s="241"/>
      <c r="G286" s="241"/>
      <c r="H286" s="29"/>
      <c r="I286" s="257"/>
      <c r="J286" s="29"/>
      <c r="K286" s="32"/>
      <c r="L286" s="29"/>
      <c r="M286" s="29"/>
      <c r="N286" s="29"/>
    </row>
    <row r="287">
      <c r="A287" s="32"/>
      <c r="B287" s="29"/>
      <c r="C287" s="29"/>
      <c r="D287" s="29"/>
      <c r="E287" s="241"/>
      <c r="F287" s="241"/>
      <c r="G287" s="241"/>
      <c r="H287" s="29"/>
      <c r="I287" s="257"/>
      <c r="J287" s="29"/>
      <c r="K287" s="32"/>
      <c r="L287" s="29"/>
      <c r="M287" s="29"/>
      <c r="N287" s="29"/>
    </row>
    <row r="288">
      <c r="A288" s="32"/>
      <c r="B288" s="29"/>
      <c r="C288" s="29"/>
      <c r="D288" s="29"/>
      <c r="E288" s="241"/>
      <c r="F288" s="241"/>
      <c r="G288" s="241"/>
      <c r="H288" s="29"/>
      <c r="I288" s="257"/>
      <c r="J288" s="29"/>
      <c r="K288" s="32"/>
      <c r="L288" s="29"/>
      <c r="M288" s="29"/>
      <c r="N288" s="29"/>
    </row>
    <row r="289">
      <c r="A289" s="32"/>
      <c r="B289" s="29"/>
      <c r="C289" s="29"/>
      <c r="D289" s="29"/>
      <c r="E289" s="241"/>
      <c r="F289" s="241"/>
      <c r="G289" s="241"/>
      <c r="H289" s="29"/>
      <c r="I289" s="257"/>
      <c r="J289" s="29"/>
      <c r="K289" s="32"/>
      <c r="L289" s="29"/>
      <c r="M289" s="29"/>
      <c r="N289" s="29"/>
    </row>
    <row r="290">
      <c r="A290" s="32"/>
      <c r="B290" s="29"/>
      <c r="C290" s="29"/>
      <c r="D290" s="29"/>
      <c r="E290" s="241"/>
      <c r="F290" s="241"/>
      <c r="G290" s="241"/>
      <c r="H290" s="29"/>
      <c r="I290" s="257"/>
      <c r="J290" s="29"/>
      <c r="K290" s="32"/>
      <c r="L290" s="29"/>
      <c r="M290" s="29"/>
      <c r="N290" s="29"/>
    </row>
    <row r="291">
      <c r="A291" s="32"/>
      <c r="B291" s="29"/>
      <c r="C291" s="29"/>
      <c r="D291" s="29"/>
      <c r="E291" s="241"/>
      <c r="F291" s="241"/>
      <c r="G291" s="241"/>
      <c r="H291" s="29"/>
      <c r="I291" s="257"/>
      <c r="J291" s="29"/>
      <c r="K291" s="32"/>
      <c r="L291" s="29"/>
      <c r="M291" s="29"/>
      <c r="N291" s="29"/>
    </row>
    <row r="292">
      <c r="A292" s="32"/>
      <c r="B292" s="29"/>
      <c r="C292" s="29"/>
      <c r="D292" s="29"/>
      <c r="E292" s="241"/>
      <c r="F292" s="241"/>
      <c r="G292" s="241"/>
      <c r="H292" s="29"/>
      <c r="I292" s="257"/>
      <c r="J292" s="29"/>
      <c r="K292" s="32"/>
      <c r="L292" s="29"/>
      <c r="M292" s="29"/>
      <c r="N292" s="29"/>
    </row>
    <row r="293">
      <c r="A293" s="32"/>
      <c r="B293" s="29"/>
      <c r="C293" s="29"/>
      <c r="D293" s="29"/>
      <c r="E293" s="241"/>
      <c r="F293" s="241"/>
      <c r="G293" s="241"/>
      <c r="H293" s="29"/>
      <c r="I293" s="257"/>
      <c r="J293" s="29"/>
      <c r="K293" s="32"/>
      <c r="L293" s="29"/>
      <c r="M293" s="29"/>
      <c r="N293" s="29"/>
    </row>
    <row r="294">
      <c r="A294" s="32"/>
      <c r="B294" s="29"/>
      <c r="C294" s="29"/>
      <c r="D294" s="29"/>
      <c r="E294" s="241"/>
      <c r="F294" s="241"/>
      <c r="G294" s="241"/>
      <c r="H294" s="29"/>
      <c r="I294" s="257"/>
      <c r="J294" s="29"/>
      <c r="K294" s="32"/>
      <c r="L294" s="29"/>
      <c r="M294" s="29"/>
      <c r="N294" s="29"/>
    </row>
    <row r="295">
      <c r="A295" s="32"/>
      <c r="B295" s="29"/>
      <c r="C295" s="29"/>
      <c r="D295" s="29"/>
      <c r="E295" s="241"/>
      <c r="F295" s="241"/>
      <c r="G295" s="241"/>
      <c r="H295" s="29"/>
      <c r="I295" s="257"/>
      <c r="J295" s="29"/>
      <c r="K295" s="32"/>
      <c r="L295" s="29"/>
      <c r="M295" s="29"/>
      <c r="N295" s="29"/>
    </row>
    <row r="296">
      <c r="A296" s="32"/>
      <c r="B296" s="29"/>
      <c r="C296" s="29"/>
      <c r="D296" s="29"/>
      <c r="E296" s="241"/>
      <c r="F296" s="241"/>
      <c r="G296" s="241"/>
      <c r="H296" s="29"/>
      <c r="I296" s="257"/>
      <c r="J296" s="29"/>
      <c r="K296" s="32"/>
      <c r="L296" s="29"/>
      <c r="M296" s="29"/>
      <c r="N296" s="29"/>
    </row>
    <row r="297">
      <c r="A297" s="32"/>
      <c r="B297" s="29"/>
      <c r="C297" s="29"/>
      <c r="D297" s="29"/>
      <c r="E297" s="241"/>
      <c r="F297" s="241"/>
      <c r="G297" s="241"/>
      <c r="H297" s="29"/>
      <c r="I297" s="257"/>
      <c r="J297" s="29"/>
      <c r="K297" s="32"/>
      <c r="L297" s="29"/>
      <c r="M297" s="29"/>
      <c r="N297" s="29"/>
    </row>
    <row r="298">
      <c r="A298" s="32"/>
      <c r="B298" s="29"/>
      <c r="C298" s="29"/>
      <c r="D298" s="29"/>
      <c r="E298" s="241"/>
      <c r="F298" s="241"/>
      <c r="G298" s="241"/>
      <c r="H298" s="29"/>
      <c r="I298" s="257"/>
      <c r="J298" s="29"/>
      <c r="K298" s="32"/>
      <c r="L298" s="29"/>
      <c r="M298" s="29"/>
      <c r="N298" s="29"/>
    </row>
    <row r="299">
      <c r="A299" s="32"/>
      <c r="B299" s="29"/>
      <c r="C299" s="29"/>
      <c r="D299" s="29"/>
      <c r="E299" s="241"/>
      <c r="F299" s="241"/>
      <c r="G299" s="241"/>
      <c r="H299" s="29"/>
      <c r="I299" s="257"/>
      <c r="J299" s="29"/>
      <c r="K299" s="32"/>
      <c r="L299" s="29"/>
      <c r="M299" s="29"/>
      <c r="N299" s="29"/>
    </row>
    <row r="300">
      <c r="A300" s="32"/>
      <c r="B300" s="29"/>
      <c r="C300" s="29"/>
      <c r="D300" s="29"/>
      <c r="E300" s="241"/>
      <c r="F300" s="241"/>
      <c r="G300" s="241"/>
      <c r="H300" s="29"/>
      <c r="I300" s="257"/>
      <c r="J300" s="29"/>
      <c r="K300" s="32"/>
      <c r="L300" s="29"/>
      <c r="M300" s="29"/>
      <c r="N300" s="29"/>
    </row>
    <row r="301">
      <c r="A301" s="32"/>
      <c r="B301" s="29"/>
      <c r="C301" s="29"/>
      <c r="D301" s="29"/>
      <c r="E301" s="241"/>
      <c r="F301" s="241"/>
      <c r="G301" s="241"/>
      <c r="H301" s="29"/>
      <c r="I301" s="257"/>
      <c r="J301" s="29"/>
      <c r="K301" s="32"/>
      <c r="L301" s="29"/>
      <c r="M301" s="29"/>
      <c r="N301" s="29"/>
    </row>
    <row r="302">
      <c r="A302" s="32"/>
      <c r="B302" s="29"/>
      <c r="C302" s="29"/>
      <c r="D302" s="29"/>
      <c r="E302" s="241"/>
      <c r="F302" s="241"/>
      <c r="G302" s="241"/>
      <c r="H302" s="29"/>
      <c r="I302" s="257"/>
      <c r="J302" s="29"/>
      <c r="K302" s="32"/>
      <c r="L302" s="29"/>
      <c r="M302" s="29"/>
      <c r="N302" s="29"/>
    </row>
    <row r="303">
      <c r="A303" s="32"/>
      <c r="B303" s="29"/>
      <c r="C303" s="29"/>
      <c r="D303" s="29"/>
      <c r="E303" s="241"/>
      <c r="F303" s="241"/>
      <c r="G303" s="241"/>
      <c r="H303" s="29"/>
      <c r="I303" s="257"/>
      <c r="J303" s="29"/>
      <c r="K303" s="32"/>
      <c r="L303" s="29"/>
      <c r="M303" s="29"/>
      <c r="N303" s="29"/>
    </row>
    <row r="304">
      <c r="A304" s="32"/>
      <c r="B304" s="29"/>
      <c r="C304" s="29"/>
      <c r="D304" s="29"/>
      <c r="E304" s="241"/>
      <c r="F304" s="241"/>
      <c r="G304" s="241"/>
      <c r="H304" s="29"/>
      <c r="I304" s="257"/>
      <c r="J304" s="29"/>
      <c r="K304" s="32"/>
      <c r="L304" s="29"/>
      <c r="M304" s="29"/>
      <c r="N304" s="29"/>
    </row>
    <row r="305">
      <c r="A305" s="32"/>
      <c r="B305" s="29"/>
      <c r="C305" s="29"/>
      <c r="D305" s="29"/>
      <c r="E305" s="241"/>
      <c r="F305" s="241"/>
      <c r="G305" s="241"/>
      <c r="H305" s="29"/>
      <c r="I305" s="257"/>
      <c r="J305" s="29"/>
      <c r="K305" s="32"/>
      <c r="L305" s="29"/>
      <c r="M305" s="29"/>
      <c r="N305" s="29"/>
    </row>
    <row r="306">
      <c r="A306" s="32"/>
      <c r="B306" s="29"/>
      <c r="C306" s="29"/>
      <c r="D306" s="29"/>
      <c r="E306" s="241"/>
      <c r="F306" s="241"/>
      <c r="G306" s="241"/>
      <c r="H306" s="29"/>
      <c r="I306" s="257"/>
      <c r="J306" s="29"/>
      <c r="K306" s="32"/>
      <c r="L306" s="29"/>
      <c r="M306" s="29"/>
      <c r="N306" s="29"/>
    </row>
    <row r="307">
      <c r="A307" s="32"/>
      <c r="B307" s="29"/>
      <c r="C307" s="29"/>
      <c r="D307" s="29"/>
      <c r="E307" s="241"/>
      <c r="F307" s="241"/>
      <c r="G307" s="241"/>
      <c r="H307" s="29"/>
      <c r="I307" s="257"/>
      <c r="J307" s="29"/>
      <c r="K307" s="32"/>
      <c r="L307" s="29"/>
      <c r="M307" s="29"/>
      <c r="N307" s="29"/>
    </row>
    <row r="308">
      <c r="A308" s="32"/>
      <c r="B308" s="29"/>
      <c r="C308" s="29"/>
      <c r="D308" s="29"/>
      <c r="E308" s="241"/>
      <c r="F308" s="241"/>
      <c r="G308" s="241"/>
      <c r="H308" s="29"/>
      <c r="I308" s="257"/>
      <c r="J308" s="29"/>
      <c r="K308" s="32"/>
      <c r="L308" s="29"/>
      <c r="M308" s="29"/>
      <c r="N308" s="29"/>
    </row>
    <row r="309">
      <c r="A309" s="32"/>
      <c r="B309" s="29"/>
      <c r="C309" s="29"/>
      <c r="D309" s="29"/>
      <c r="E309" s="241"/>
      <c r="F309" s="241"/>
      <c r="G309" s="241"/>
      <c r="H309" s="29"/>
      <c r="I309" s="257"/>
      <c r="J309" s="29"/>
      <c r="K309" s="32"/>
      <c r="L309" s="29"/>
      <c r="M309" s="29"/>
      <c r="N309" s="29"/>
    </row>
    <row r="310">
      <c r="A310" s="32"/>
      <c r="B310" s="29"/>
      <c r="C310" s="29"/>
      <c r="D310" s="29"/>
      <c r="E310" s="241"/>
      <c r="F310" s="241"/>
      <c r="G310" s="241"/>
      <c r="H310" s="29"/>
      <c r="I310" s="257"/>
      <c r="J310" s="29"/>
      <c r="K310" s="32"/>
      <c r="L310" s="29"/>
      <c r="M310" s="29"/>
      <c r="N310" s="29"/>
    </row>
    <row r="311">
      <c r="A311" s="32"/>
      <c r="B311" s="29"/>
      <c r="C311" s="29"/>
      <c r="D311" s="29"/>
      <c r="E311" s="241"/>
      <c r="F311" s="241"/>
      <c r="G311" s="241"/>
      <c r="H311" s="29"/>
      <c r="I311" s="257"/>
      <c r="J311" s="29"/>
      <c r="K311" s="32"/>
      <c r="L311" s="29"/>
      <c r="M311" s="29"/>
      <c r="N311" s="29"/>
    </row>
    <row r="312">
      <c r="A312" s="32"/>
      <c r="B312" s="29"/>
      <c r="C312" s="29"/>
      <c r="D312" s="29"/>
      <c r="E312" s="241"/>
      <c r="F312" s="241"/>
      <c r="G312" s="241"/>
      <c r="H312" s="29"/>
      <c r="I312" s="257"/>
      <c r="J312" s="29"/>
      <c r="K312" s="32"/>
      <c r="L312" s="29"/>
      <c r="M312" s="29"/>
      <c r="N312" s="29"/>
    </row>
    <row r="313">
      <c r="A313" s="32"/>
      <c r="B313" s="29"/>
      <c r="C313" s="29"/>
      <c r="D313" s="29"/>
      <c r="E313" s="241"/>
      <c r="F313" s="241"/>
      <c r="G313" s="241"/>
      <c r="H313" s="29"/>
      <c r="I313" s="257"/>
      <c r="J313" s="29"/>
      <c r="K313" s="32"/>
      <c r="L313" s="29"/>
      <c r="M313" s="29"/>
      <c r="N313" s="29"/>
    </row>
    <row r="314">
      <c r="A314" s="32"/>
      <c r="B314" s="29"/>
      <c r="C314" s="29"/>
      <c r="D314" s="29"/>
      <c r="E314" s="241"/>
      <c r="F314" s="241"/>
      <c r="G314" s="241"/>
      <c r="H314" s="29"/>
      <c r="I314" s="257"/>
      <c r="J314" s="29"/>
      <c r="K314" s="32"/>
      <c r="L314" s="29"/>
      <c r="M314" s="29"/>
      <c r="N314" s="29"/>
    </row>
    <row r="315">
      <c r="A315" s="32"/>
      <c r="B315" s="29"/>
      <c r="C315" s="29"/>
      <c r="D315" s="29"/>
      <c r="E315" s="241"/>
      <c r="F315" s="241"/>
      <c r="G315" s="241"/>
      <c r="H315" s="29"/>
      <c r="I315" s="257"/>
      <c r="J315" s="29"/>
      <c r="K315" s="32"/>
      <c r="L315" s="29"/>
      <c r="M315" s="29"/>
      <c r="N315" s="29"/>
    </row>
    <row r="316">
      <c r="A316" s="32"/>
      <c r="B316" s="29"/>
      <c r="C316" s="29"/>
      <c r="D316" s="29"/>
      <c r="E316" s="241"/>
      <c r="F316" s="241"/>
      <c r="G316" s="241"/>
      <c r="H316" s="29"/>
      <c r="I316" s="257"/>
      <c r="J316" s="29"/>
      <c r="K316" s="32"/>
      <c r="L316" s="29"/>
      <c r="M316" s="29"/>
      <c r="N316" s="29"/>
    </row>
    <row r="317">
      <c r="A317" s="32"/>
      <c r="B317" s="29"/>
      <c r="C317" s="29"/>
      <c r="D317" s="29"/>
      <c r="E317" s="241"/>
      <c r="F317" s="241"/>
      <c r="G317" s="241"/>
      <c r="H317" s="29"/>
      <c r="I317" s="257"/>
      <c r="J317" s="29"/>
      <c r="K317" s="32"/>
      <c r="L317" s="29"/>
      <c r="M317" s="29"/>
      <c r="N317" s="29"/>
    </row>
    <row r="318">
      <c r="A318" s="32"/>
      <c r="B318" s="29"/>
      <c r="C318" s="29"/>
      <c r="D318" s="29"/>
      <c r="E318" s="241"/>
      <c r="F318" s="241"/>
      <c r="G318" s="241"/>
      <c r="H318" s="29"/>
      <c r="I318" s="257"/>
      <c r="J318" s="29"/>
      <c r="K318" s="32"/>
      <c r="L318" s="29"/>
      <c r="M318" s="29"/>
      <c r="N318" s="29"/>
    </row>
    <row r="319">
      <c r="A319" s="32"/>
      <c r="B319" s="29"/>
      <c r="C319" s="29"/>
      <c r="D319" s="29"/>
      <c r="E319" s="241"/>
      <c r="F319" s="241"/>
      <c r="G319" s="241"/>
      <c r="H319" s="29"/>
      <c r="I319" s="257"/>
      <c r="J319" s="29"/>
      <c r="K319" s="32"/>
      <c r="L319" s="29"/>
      <c r="M319" s="29"/>
      <c r="N319" s="29"/>
    </row>
    <row r="320">
      <c r="A320" s="32"/>
      <c r="B320" s="29"/>
      <c r="C320" s="29"/>
      <c r="D320" s="29"/>
      <c r="E320" s="241"/>
      <c r="F320" s="241"/>
      <c r="G320" s="241"/>
      <c r="H320" s="29"/>
      <c r="I320" s="257"/>
      <c r="J320" s="29"/>
      <c r="K320" s="32"/>
      <c r="L320" s="29"/>
      <c r="M320" s="29"/>
      <c r="N320" s="29"/>
    </row>
    <row r="321">
      <c r="A321" s="32"/>
      <c r="B321" s="29"/>
      <c r="C321" s="29"/>
      <c r="D321" s="29"/>
      <c r="E321" s="241"/>
      <c r="F321" s="241"/>
      <c r="G321" s="241"/>
      <c r="H321" s="29"/>
      <c r="I321" s="257"/>
      <c r="J321" s="29"/>
      <c r="K321" s="32"/>
      <c r="L321" s="29"/>
      <c r="M321" s="29"/>
      <c r="N321" s="29"/>
    </row>
    <row r="322">
      <c r="A322" s="32"/>
      <c r="B322" s="29"/>
      <c r="C322" s="29"/>
      <c r="D322" s="29"/>
      <c r="E322" s="241"/>
      <c r="F322" s="241"/>
      <c r="G322" s="241"/>
      <c r="H322" s="29"/>
      <c r="I322" s="257"/>
      <c r="J322" s="29"/>
      <c r="K322" s="32"/>
      <c r="L322" s="29"/>
      <c r="M322" s="29"/>
      <c r="N322" s="29"/>
    </row>
    <row r="323">
      <c r="A323" s="32"/>
      <c r="B323" s="29"/>
      <c r="C323" s="29"/>
      <c r="D323" s="29"/>
      <c r="E323" s="241"/>
      <c r="F323" s="241"/>
      <c r="G323" s="241"/>
      <c r="H323" s="29"/>
      <c r="I323" s="257"/>
      <c r="J323" s="29"/>
      <c r="K323" s="32"/>
      <c r="L323" s="29"/>
      <c r="M323" s="29"/>
      <c r="N323" s="29"/>
    </row>
    <row r="324">
      <c r="A324" s="32"/>
      <c r="B324" s="29"/>
      <c r="C324" s="29"/>
      <c r="D324" s="29"/>
      <c r="E324" s="241"/>
      <c r="F324" s="241"/>
      <c r="G324" s="241"/>
      <c r="H324" s="29"/>
      <c r="I324" s="257"/>
      <c r="J324" s="29"/>
      <c r="K324" s="32"/>
      <c r="L324" s="29"/>
      <c r="M324" s="29"/>
      <c r="N324" s="29"/>
    </row>
    <row r="325">
      <c r="A325" s="32"/>
      <c r="B325" s="29"/>
      <c r="C325" s="29"/>
      <c r="D325" s="29"/>
      <c r="E325" s="241"/>
      <c r="F325" s="241"/>
      <c r="G325" s="241"/>
      <c r="H325" s="29"/>
      <c r="I325" s="257"/>
      <c r="J325" s="29"/>
      <c r="K325" s="32"/>
      <c r="L325" s="29"/>
      <c r="M325" s="29"/>
      <c r="N325" s="29"/>
    </row>
    <row r="326">
      <c r="A326" s="32"/>
      <c r="B326" s="29"/>
      <c r="C326" s="29"/>
      <c r="D326" s="29"/>
      <c r="E326" s="241"/>
      <c r="F326" s="241"/>
      <c r="G326" s="241"/>
      <c r="H326" s="29"/>
      <c r="I326" s="257"/>
      <c r="J326" s="29"/>
      <c r="K326" s="32"/>
      <c r="L326" s="29"/>
      <c r="M326" s="29"/>
      <c r="N326" s="29"/>
    </row>
    <row r="327">
      <c r="A327" s="32"/>
      <c r="B327" s="29"/>
      <c r="C327" s="29"/>
      <c r="D327" s="29"/>
      <c r="E327" s="241"/>
      <c r="F327" s="241"/>
      <c r="G327" s="241"/>
      <c r="H327" s="29"/>
      <c r="I327" s="257"/>
      <c r="J327" s="29"/>
      <c r="K327" s="32"/>
      <c r="L327" s="29"/>
      <c r="M327" s="29"/>
      <c r="N327" s="29"/>
    </row>
    <row r="328">
      <c r="A328" s="32"/>
      <c r="B328" s="29"/>
      <c r="C328" s="29"/>
      <c r="D328" s="29"/>
      <c r="E328" s="241"/>
      <c r="F328" s="241"/>
      <c r="G328" s="241"/>
      <c r="H328" s="29"/>
      <c r="I328" s="257"/>
      <c r="J328" s="29"/>
      <c r="K328" s="32"/>
      <c r="L328" s="29"/>
      <c r="M328" s="29"/>
      <c r="N328" s="29"/>
    </row>
    <row r="329">
      <c r="A329" s="32"/>
      <c r="B329" s="29"/>
      <c r="C329" s="29"/>
      <c r="D329" s="29"/>
      <c r="E329" s="241"/>
      <c r="F329" s="241"/>
      <c r="G329" s="241"/>
      <c r="H329" s="29"/>
      <c r="I329" s="257"/>
      <c r="J329" s="29"/>
      <c r="K329" s="32"/>
      <c r="L329" s="29"/>
      <c r="M329" s="29"/>
      <c r="N329" s="29"/>
    </row>
    <row r="330">
      <c r="A330" s="32"/>
      <c r="B330" s="29"/>
      <c r="C330" s="29"/>
      <c r="D330" s="29"/>
      <c r="E330" s="241"/>
      <c r="F330" s="241"/>
      <c r="G330" s="241"/>
      <c r="H330" s="29"/>
      <c r="I330" s="257"/>
      <c r="J330" s="29"/>
      <c r="K330" s="32"/>
      <c r="L330" s="29"/>
      <c r="M330" s="29"/>
      <c r="N330" s="29"/>
    </row>
    <row r="331">
      <c r="A331" s="32"/>
      <c r="B331" s="29"/>
      <c r="C331" s="29"/>
      <c r="D331" s="29"/>
      <c r="E331" s="241"/>
      <c r="F331" s="241"/>
      <c r="G331" s="241"/>
      <c r="H331" s="29"/>
      <c r="I331" s="257"/>
      <c r="J331" s="29"/>
      <c r="K331" s="32"/>
      <c r="L331" s="29"/>
      <c r="M331" s="29"/>
      <c r="N331" s="29"/>
    </row>
    <row r="332">
      <c r="A332" s="32"/>
      <c r="B332" s="29"/>
      <c r="C332" s="29"/>
      <c r="D332" s="29"/>
      <c r="E332" s="241"/>
      <c r="F332" s="241"/>
      <c r="G332" s="241"/>
      <c r="H332" s="29"/>
      <c r="I332" s="257"/>
      <c r="J332" s="29"/>
      <c r="K332" s="32"/>
      <c r="L332" s="29"/>
      <c r="M332" s="29"/>
      <c r="N332" s="29"/>
    </row>
    <row r="333">
      <c r="A333" s="32"/>
      <c r="B333" s="29"/>
      <c r="C333" s="29"/>
      <c r="D333" s="29"/>
      <c r="E333" s="241"/>
      <c r="F333" s="241"/>
      <c r="G333" s="241"/>
      <c r="H333" s="29"/>
      <c r="I333" s="257"/>
      <c r="J333" s="29"/>
      <c r="K333" s="32"/>
      <c r="L333" s="29"/>
      <c r="M333" s="29"/>
      <c r="N333" s="29"/>
    </row>
    <row r="334">
      <c r="A334" s="32"/>
      <c r="B334" s="29"/>
      <c r="C334" s="29"/>
      <c r="D334" s="29"/>
      <c r="E334" s="241"/>
      <c r="F334" s="241"/>
      <c r="G334" s="241"/>
      <c r="H334" s="29"/>
      <c r="I334" s="257"/>
      <c r="J334" s="29"/>
      <c r="K334" s="32"/>
      <c r="L334" s="29"/>
      <c r="M334" s="29"/>
      <c r="N334" s="29"/>
    </row>
    <row r="335">
      <c r="A335" s="32"/>
      <c r="B335" s="29"/>
      <c r="C335" s="29"/>
      <c r="D335" s="29"/>
      <c r="E335" s="241"/>
      <c r="F335" s="241"/>
      <c r="G335" s="241"/>
      <c r="H335" s="29"/>
      <c r="I335" s="257"/>
      <c r="J335" s="29"/>
      <c r="K335" s="32"/>
      <c r="L335" s="29"/>
      <c r="M335" s="29"/>
      <c r="N335" s="29"/>
    </row>
    <row r="336">
      <c r="A336" s="32"/>
      <c r="B336" s="29"/>
      <c r="C336" s="29"/>
      <c r="D336" s="29"/>
      <c r="E336" s="241"/>
      <c r="F336" s="241"/>
      <c r="G336" s="241"/>
      <c r="H336" s="29"/>
      <c r="I336" s="257"/>
      <c r="J336" s="29"/>
      <c r="K336" s="32"/>
      <c r="L336" s="29"/>
      <c r="M336" s="29"/>
      <c r="N336" s="29"/>
    </row>
    <row r="337">
      <c r="A337" s="32"/>
      <c r="B337" s="29"/>
      <c r="C337" s="29"/>
      <c r="D337" s="29"/>
      <c r="E337" s="241"/>
      <c r="F337" s="241"/>
      <c r="G337" s="241"/>
      <c r="H337" s="29"/>
      <c r="I337" s="257"/>
      <c r="J337" s="29"/>
      <c r="K337" s="32"/>
      <c r="L337" s="29"/>
      <c r="M337" s="29"/>
      <c r="N337" s="29"/>
    </row>
    <row r="338">
      <c r="A338" s="32"/>
      <c r="B338" s="29"/>
      <c r="C338" s="29"/>
      <c r="D338" s="29"/>
      <c r="E338" s="241"/>
      <c r="F338" s="241"/>
      <c r="G338" s="241"/>
      <c r="H338" s="29"/>
      <c r="I338" s="257"/>
      <c r="J338" s="29"/>
      <c r="K338" s="32"/>
      <c r="L338" s="29"/>
      <c r="M338" s="29"/>
      <c r="N338" s="29"/>
    </row>
    <row r="339">
      <c r="A339" s="32"/>
      <c r="B339" s="29"/>
      <c r="C339" s="29"/>
      <c r="D339" s="29"/>
      <c r="E339" s="241"/>
      <c r="F339" s="241"/>
      <c r="G339" s="241"/>
      <c r="H339" s="29"/>
      <c r="I339" s="257"/>
      <c r="J339" s="29"/>
      <c r="K339" s="32"/>
      <c r="L339" s="29"/>
      <c r="M339" s="29"/>
      <c r="N339" s="29"/>
    </row>
    <row r="340">
      <c r="A340" s="32"/>
      <c r="B340" s="29"/>
      <c r="C340" s="29"/>
      <c r="D340" s="29"/>
      <c r="E340" s="241"/>
      <c r="F340" s="241"/>
      <c r="G340" s="241"/>
      <c r="H340" s="29"/>
      <c r="I340" s="257"/>
      <c r="J340" s="29"/>
      <c r="K340" s="32"/>
      <c r="L340" s="29"/>
      <c r="M340" s="29"/>
      <c r="N340" s="29"/>
    </row>
    <row r="341">
      <c r="A341" s="32"/>
      <c r="B341" s="29"/>
      <c r="C341" s="29"/>
      <c r="D341" s="29"/>
      <c r="E341" s="241"/>
      <c r="F341" s="241"/>
      <c r="G341" s="241"/>
      <c r="H341" s="29"/>
      <c r="I341" s="257"/>
      <c r="J341" s="29"/>
      <c r="K341" s="32"/>
      <c r="L341" s="29"/>
      <c r="M341" s="29"/>
      <c r="N341" s="29"/>
    </row>
    <row r="342">
      <c r="A342" s="32"/>
      <c r="B342" s="29"/>
      <c r="C342" s="29"/>
      <c r="D342" s="29"/>
      <c r="E342" s="241"/>
      <c r="F342" s="241"/>
      <c r="G342" s="241"/>
      <c r="H342" s="29"/>
      <c r="I342" s="257"/>
      <c r="J342" s="29"/>
      <c r="K342" s="32"/>
      <c r="L342" s="29"/>
      <c r="M342" s="29"/>
      <c r="N342" s="29"/>
    </row>
    <row r="343">
      <c r="A343" s="32"/>
      <c r="B343" s="29"/>
      <c r="C343" s="29"/>
      <c r="D343" s="29"/>
      <c r="E343" s="241"/>
      <c r="F343" s="241"/>
      <c r="G343" s="241"/>
      <c r="H343" s="29"/>
      <c r="I343" s="257"/>
      <c r="J343" s="29"/>
      <c r="K343" s="32"/>
      <c r="L343" s="29"/>
      <c r="M343" s="29"/>
      <c r="N343" s="29"/>
    </row>
    <row r="344">
      <c r="A344" s="32"/>
      <c r="B344" s="29"/>
      <c r="C344" s="29"/>
      <c r="D344" s="29"/>
      <c r="E344" s="241"/>
      <c r="F344" s="241"/>
      <c r="G344" s="241"/>
      <c r="H344" s="29"/>
      <c r="I344" s="257"/>
      <c r="J344" s="29"/>
      <c r="K344" s="32"/>
      <c r="L344" s="29"/>
      <c r="M344" s="29"/>
      <c r="N344" s="29"/>
    </row>
    <row r="345">
      <c r="A345" s="32"/>
      <c r="B345" s="29"/>
      <c r="C345" s="29"/>
      <c r="D345" s="29"/>
      <c r="E345" s="241"/>
      <c r="F345" s="241"/>
      <c r="G345" s="241"/>
      <c r="H345" s="29"/>
      <c r="I345" s="257"/>
      <c r="J345" s="29"/>
      <c r="K345" s="32"/>
      <c r="L345" s="29"/>
      <c r="M345" s="29"/>
      <c r="N345" s="29"/>
    </row>
    <row r="346">
      <c r="A346" s="32"/>
      <c r="B346" s="29"/>
      <c r="C346" s="29"/>
      <c r="D346" s="29"/>
      <c r="E346" s="241"/>
      <c r="F346" s="241"/>
      <c r="G346" s="241"/>
      <c r="H346" s="29"/>
      <c r="I346" s="257"/>
      <c r="J346" s="29"/>
      <c r="K346" s="32"/>
      <c r="L346" s="29"/>
      <c r="M346" s="29"/>
      <c r="N346" s="29"/>
    </row>
    <row r="347">
      <c r="A347" s="32"/>
      <c r="B347" s="29"/>
      <c r="C347" s="29"/>
      <c r="D347" s="29"/>
      <c r="E347" s="241"/>
      <c r="F347" s="241"/>
      <c r="G347" s="241"/>
      <c r="H347" s="29"/>
      <c r="I347" s="257"/>
      <c r="J347" s="29"/>
      <c r="K347" s="32"/>
      <c r="L347" s="29"/>
      <c r="M347" s="29"/>
      <c r="N347" s="29"/>
    </row>
    <row r="348">
      <c r="A348" s="32"/>
      <c r="B348" s="29"/>
      <c r="C348" s="29"/>
      <c r="D348" s="29"/>
      <c r="E348" s="241"/>
      <c r="F348" s="241"/>
      <c r="G348" s="241"/>
      <c r="H348" s="29"/>
      <c r="I348" s="257"/>
      <c r="J348" s="29"/>
      <c r="K348" s="32"/>
      <c r="L348" s="29"/>
      <c r="M348" s="29"/>
      <c r="N348" s="29"/>
    </row>
    <row r="349">
      <c r="A349" s="32"/>
      <c r="B349" s="29"/>
      <c r="C349" s="29"/>
      <c r="D349" s="29"/>
      <c r="E349" s="241"/>
      <c r="F349" s="241"/>
      <c r="G349" s="241"/>
      <c r="H349" s="29"/>
      <c r="I349" s="257"/>
      <c r="J349" s="29"/>
      <c r="K349" s="32"/>
      <c r="L349" s="29"/>
      <c r="M349" s="29"/>
      <c r="N349" s="29"/>
    </row>
    <row r="350">
      <c r="A350" s="32"/>
      <c r="B350" s="29"/>
      <c r="C350" s="29"/>
      <c r="D350" s="29"/>
      <c r="E350" s="241"/>
      <c r="F350" s="241"/>
      <c r="G350" s="241"/>
      <c r="H350" s="29"/>
      <c r="I350" s="257"/>
      <c r="J350" s="29"/>
      <c r="K350" s="32"/>
      <c r="L350" s="29"/>
      <c r="M350" s="29"/>
      <c r="N350" s="29"/>
    </row>
    <row r="351">
      <c r="A351" s="32"/>
      <c r="B351" s="29"/>
      <c r="C351" s="29"/>
      <c r="D351" s="29"/>
      <c r="E351" s="241"/>
      <c r="F351" s="241"/>
      <c r="G351" s="241"/>
      <c r="H351" s="29"/>
      <c r="I351" s="257"/>
      <c r="J351" s="29"/>
      <c r="K351" s="32"/>
      <c r="L351" s="29"/>
      <c r="M351" s="29"/>
      <c r="N351" s="29"/>
    </row>
    <row r="352">
      <c r="A352" s="32"/>
      <c r="B352" s="29"/>
      <c r="C352" s="29"/>
      <c r="D352" s="29"/>
      <c r="E352" s="241"/>
      <c r="F352" s="241"/>
      <c r="G352" s="241"/>
      <c r="H352" s="29"/>
      <c r="I352" s="257"/>
      <c r="J352" s="29"/>
      <c r="K352" s="32"/>
      <c r="L352" s="29"/>
      <c r="M352" s="29"/>
      <c r="N352" s="29"/>
    </row>
    <row r="353">
      <c r="A353" s="32"/>
      <c r="B353" s="29"/>
      <c r="C353" s="29"/>
      <c r="D353" s="29"/>
      <c r="E353" s="241"/>
      <c r="F353" s="241"/>
      <c r="G353" s="241"/>
      <c r="H353" s="29"/>
      <c r="I353" s="257"/>
      <c r="J353" s="29"/>
      <c r="K353" s="32"/>
      <c r="L353" s="29"/>
      <c r="M353" s="29"/>
      <c r="N353" s="29"/>
    </row>
    <row r="354">
      <c r="A354" s="32"/>
      <c r="B354" s="29"/>
      <c r="C354" s="29"/>
      <c r="D354" s="29"/>
      <c r="E354" s="241"/>
      <c r="F354" s="241"/>
      <c r="G354" s="241"/>
      <c r="H354" s="29"/>
      <c r="I354" s="257"/>
      <c r="J354" s="29"/>
      <c r="K354" s="32"/>
      <c r="L354" s="29"/>
      <c r="M354" s="29"/>
      <c r="N354" s="29"/>
    </row>
    <row r="355">
      <c r="A355" s="32"/>
      <c r="B355" s="29"/>
      <c r="C355" s="29"/>
      <c r="D355" s="29"/>
      <c r="E355" s="241"/>
      <c r="F355" s="241"/>
      <c r="G355" s="241"/>
      <c r="H355" s="29"/>
      <c r="I355" s="257"/>
      <c r="J355" s="29"/>
      <c r="K355" s="32"/>
      <c r="L355" s="29"/>
      <c r="M355" s="29"/>
      <c r="N355" s="29"/>
    </row>
    <row r="356">
      <c r="A356" s="32"/>
      <c r="B356" s="29"/>
      <c r="C356" s="29"/>
      <c r="D356" s="29"/>
      <c r="E356" s="241"/>
      <c r="F356" s="241"/>
      <c r="G356" s="241"/>
      <c r="H356" s="29"/>
      <c r="I356" s="257"/>
      <c r="J356" s="29"/>
      <c r="K356" s="32"/>
      <c r="L356" s="29"/>
      <c r="M356" s="29"/>
      <c r="N356" s="29"/>
    </row>
    <row r="357">
      <c r="A357" s="32"/>
      <c r="B357" s="29"/>
      <c r="C357" s="29"/>
      <c r="D357" s="29"/>
      <c r="E357" s="241"/>
      <c r="F357" s="241"/>
      <c r="G357" s="241"/>
      <c r="H357" s="29"/>
      <c r="I357" s="257"/>
      <c r="J357" s="29"/>
      <c r="K357" s="32"/>
      <c r="L357" s="29"/>
      <c r="M357" s="29"/>
      <c r="N357" s="29"/>
    </row>
    <row r="358">
      <c r="A358" s="32"/>
      <c r="B358" s="29"/>
      <c r="C358" s="29"/>
      <c r="D358" s="29"/>
      <c r="E358" s="241"/>
      <c r="F358" s="241"/>
      <c r="G358" s="241"/>
      <c r="H358" s="29"/>
      <c r="I358" s="257"/>
      <c r="J358" s="29"/>
      <c r="K358" s="32"/>
      <c r="L358" s="29"/>
      <c r="M358" s="29"/>
      <c r="N358" s="29"/>
    </row>
    <row r="359">
      <c r="A359" s="32"/>
      <c r="B359" s="29"/>
      <c r="C359" s="29"/>
      <c r="D359" s="29"/>
      <c r="E359" s="241"/>
      <c r="F359" s="241"/>
      <c r="G359" s="241"/>
      <c r="H359" s="29"/>
      <c r="I359" s="257"/>
      <c r="J359" s="29"/>
      <c r="K359" s="32"/>
      <c r="L359" s="29"/>
      <c r="M359" s="29"/>
      <c r="N359" s="29"/>
    </row>
    <row r="360">
      <c r="A360" s="32"/>
      <c r="B360" s="29"/>
      <c r="C360" s="29"/>
      <c r="D360" s="29"/>
      <c r="E360" s="241"/>
      <c r="F360" s="241"/>
      <c r="G360" s="241"/>
      <c r="H360" s="29"/>
      <c r="I360" s="257"/>
      <c r="J360" s="29"/>
      <c r="K360" s="32"/>
      <c r="L360" s="29"/>
      <c r="M360" s="29"/>
      <c r="N360" s="29"/>
    </row>
    <row r="361">
      <c r="A361" s="32"/>
      <c r="B361" s="29"/>
      <c r="C361" s="29"/>
      <c r="D361" s="29"/>
      <c r="E361" s="241"/>
      <c r="F361" s="241"/>
      <c r="G361" s="241"/>
      <c r="H361" s="29"/>
      <c r="I361" s="257"/>
      <c r="J361" s="29"/>
      <c r="K361" s="32"/>
      <c r="L361" s="29"/>
      <c r="M361" s="29"/>
      <c r="N361" s="29"/>
    </row>
    <row r="362">
      <c r="A362" s="32"/>
      <c r="B362" s="29"/>
      <c r="C362" s="29"/>
      <c r="D362" s="29"/>
      <c r="E362" s="241"/>
      <c r="F362" s="241"/>
      <c r="G362" s="241"/>
      <c r="H362" s="29"/>
      <c r="I362" s="257"/>
      <c r="J362" s="29"/>
      <c r="K362" s="32"/>
      <c r="L362" s="29"/>
      <c r="M362" s="29"/>
      <c r="N362" s="29"/>
    </row>
    <row r="363">
      <c r="A363" s="32"/>
      <c r="B363" s="29"/>
      <c r="C363" s="29"/>
      <c r="D363" s="29"/>
      <c r="E363" s="241"/>
      <c r="F363" s="241"/>
      <c r="G363" s="241"/>
      <c r="H363" s="29"/>
      <c r="I363" s="257"/>
      <c r="J363" s="29"/>
      <c r="K363" s="32"/>
      <c r="L363" s="29"/>
      <c r="M363" s="29"/>
      <c r="N363" s="29"/>
    </row>
    <row r="364">
      <c r="A364" s="32"/>
      <c r="B364" s="29"/>
      <c r="C364" s="29"/>
      <c r="D364" s="29"/>
      <c r="E364" s="241"/>
      <c r="F364" s="241"/>
      <c r="G364" s="241"/>
      <c r="H364" s="29"/>
      <c r="I364" s="257"/>
      <c r="J364" s="29"/>
      <c r="K364" s="32"/>
      <c r="L364" s="29"/>
      <c r="M364" s="29"/>
      <c r="N364" s="29"/>
    </row>
    <row r="365">
      <c r="A365" s="32"/>
      <c r="B365" s="29"/>
      <c r="C365" s="29"/>
      <c r="D365" s="29"/>
      <c r="E365" s="241"/>
      <c r="F365" s="241"/>
      <c r="G365" s="241"/>
      <c r="H365" s="29"/>
      <c r="I365" s="257"/>
      <c r="J365" s="29"/>
      <c r="K365" s="32"/>
      <c r="L365" s="29"/>
      <c r="M365" s="29"/>
      <c r="N365" s="29"/>
    </row>
    <row r="366">
      <c r="A366" s="32"/>
      <c r="B366" s="29"/>
      <c r="C366" s="29"/>
      <c r="D366" s="29"/>
      <c r="E366" s="241"/>
      <c r="F366" s="241"/>
      <c r="G366" s="241"/>
      <c r="H366" s="29"/>
      <c r="I366" s="257"/>
      <c r="J366" s="29"/>
      <c r="K366" s="32"/>
      <c r="L366" s="29"/>
      <c r="M366" s="29"/>
      <c r="N366" s="29"/>
    </row>
    <row r="367">
      <c r="A367" s="32"/>
      <c r="B367" s="29"/>
      <c r="C367" s="29"/>
      <c r="D367" s="29"/>
      <c r="E367" s="241"/>
      <c r="F367" s="241"/>
      <c r="G367" s="241"/>
      <c r="H367" s="29"/>
      <c r="I367" s="257"/>
      <c r="J367" s="29"/>
      <c r="K367" s="32"/>
      <c r="L367" s="29"/>
      <c r="M367" s="29"/>
      <c r="N367" s="29"/>
    </row>
    <row r="368">
      <c r="A368" s="32"/>
      <c r="B368" s="29"/>
      <c r="C368" s="29"/>
      <c r="D368" s="29"/>
      <c r="E368" s="241"/>
      <c r="F368" s="241"/>
      <c r="G368" s="241"/>
      <c r="H368" s="29"/>
      <c r="I368" s="257"/>
      <c r="J368" s="29"/>
      <c r="K368" s="32"/>
      <c r="L368" s="29"/>
      <c r="M368" s="29"/>
      <c r="N368" s="29"/>
    </row>
    <row r="369">
      <c r="A369" s="32"/>
      <c r="B369" s="29"/>
      <c r="C369" s="29"/>
      <c r="D369" s="29"/>
      <c r="E369" s="241"/>
      <c r="F369" s="241"/>
      <c r="G369" s="241"/>
      <c r="H369" s="29"/>
      <c r="I369" s="257"/>
      <c r="J369" s="29"/>
      <c r="K369" s="32"/>
      <c r="L369" s="29"/>
      <c r="M369" s="29"/>
      <c r="N369" s="29"/>
    </row>
    <row r="370">
      <c r="A370" s="32"/>
      <c r="B370" s="29"/>
      <c r="C370" s="29"/>
      <c r="D370" s="29"/>
      <c r="E370" s="241"/>
      <c r="F370" s="241"/>
      <c r="G370" s="241"/>
      <c r="H370" s="29"/>
      <c r="I370" s="257"/>
      <c r="J370" s="29"/>
      <c r="K370" s="32"/>
      <c r="L370" s="29"/>
      <c r="M370" s="29"/>
      <c r="N370" s="29"/>
    </row>
    <row r="371">
      <c r="A371" s="32"/>
      <c r="B371" s="29"/>
      <c r="C371" s="29"/>
      <c r="D371" s="29"/>
      <c r="E371" s="241"/>
      <c r="F371" s="241"/>
      <c r="G371" s="241"/>
      <c r="H371" s="29"/>
      <c r="I371" s="257"/>
      <c r="J371" s="29"/>
      <c r="K371" s="32"/>
      <c r="L371" s="29"/>
      <c r="M371" s="29"/>
      <c r="N371" s="29"/>
    </row>
    <row r="372">
      <c r="A372" s="32"/>
      <c r="B372" s="29"/>
      <c r="C372" s="29"/>
      <c r="D372" s="29"/>
      <c r="E372" s="241"/>
      <c r="F372" s="241"/>
      <c r="G372" s="241"/>
      <c r="H372" s="29"/>
      <c r="I372" s="257"/>
      <c r="J372" s="29"/>
      <c r="K372" s="32"/>
      <c r="L372" s="29"/>
      <c r="M372" s="29"/>
      <c r="N372" s="29"/>
    </row>
    <row r="373">
      <c r="A373" s="32"/>
      <c r="B373" s="29"/>
      <c r="C373" s="29"/>
      <c r="D373" s="29"/>
      <c r="E373" s="241"/>
      <c r="F373" s="241"/>
      <c r="G373" s="241"/>
      <c r="H373" s="29"/>
      <c r="I373" s="257"/>
      <c r="J373" s="29"/>
      <c r="K373" s="32"/>
      <c r="L373" s="29"/>
      <c r="M373" s="29"/>
      <c r="N373" s="29"/>
    </row>
    <row r="374">
      <c r="A374" s="32"/>
      <c r="B374" s="29"/>
      <c r="C374" s="29"/>
      <c r="D374" s="29"/>
      <c r="E374" s="241"/>
      <c r="F374" s="241"/>
      <c r="G374" s="241"/>
      <c r="H374" s="29"/>
      <c r="I374" s="257"/>
      <c r="J374" s="29"/>
      <c r="K374" s="32"/>
      <c r="L374" s="29"/>
      <c r="M374" s="29"/>
      <c r="N374" s="29"/>
    </row>
    <row r="375">
      <c r="A375" s="32"/>
      <c r="B375" s="29"/>
      <c r="C375" s="29"/>
      <c r="D375" s="29"/>
      <c r="E375" s="241"/>
      <c r="F375" s="241"/>
      <c r="G375" s="241"/>
      <c r="H375" s="29"/>
      <c r="I375" s="257"/>
      <c r="J375" s="29"/>
      <c r="K375" s="32"/>
      <c r="L375" s="29"/>
      <c r="M375" s="29"/>
      <c r="N375" s="29"/>
    </row>
    <row r="376">
      <c r="A376" s="32"/>
      <c r="B376" s="29"/>
      <c r="C376" s="29"/>
      <c r="D376" s="29"/>
      <c r="E376" s="241"/>
      <c r="F376" s="241"/>
      <c r="G376" s="241"/>
      <c r="H376" s="29"/>
      <c r="I376" s="257"/>
      <c r="J376" s="29"/>
      <c r="K376" s="32"/>
      <c r="L376" s="29"/>
      <c r="M376" s="29"/>
      <c r="N376" s="29"/>
    </row>
    <row r="377">
      <c r="A377" s="32"/>
      <c r="B377" s="29"/>
      <c r="C377" s="29"/>
      <c r="D377" s="29"/>
      <c r="E377" s="241"/>
      <c r="F377" s="241"/>
      <c r="G377" s="241"/>
      <c r="H377" s="29"/>
      <c r="I377" s="257"/>
      <c r="J377" s="29"/>
      <c r="K377" s="32"/>
      <c r="L377" s="29"/>
      <c r="M377" s="29"/>
      <c r="N377" s="29"/>
    </row>
    <row r="378">
      <c r="A378" s="32"/>
      <c r="B378" s="29"/>
      <c r="C378" s="29"/>
      <c r="D378" s="29"/>
      <c r="E378" s="241"/>
      <c r="F378" s="241"/>
      <c r="G378" s="241"/>
      <c r="H378" s="29"/>
      <c r="I378" s="257"/>
      <c r="J378" s="29"/>
      <c r="K378" s="32"/>
      <c r="L378" s="29"/>
      <c r="M378" s="29"/>
      <c r="N378" s="29"/>
    </row>
    <row r="379">
      <c r="A379" s="32"/>
      <c r="B379" s="29"/>
      <c r="C379" s="29"/>
      <c r="D379" s="29"/>
      <c r="E379" s="241"/>
      <c r="F379" s="241"/>
      <c r="G379" s="241"/>
      <c r="H379" s="29"/>
      <c r="I379" s="257"/>
      <c r="J379" s="29"/>
      <c r="K379" s="32"/>
      <c r="L379" s="29"/>
      <c r="M379" s="29"/>
      <c r="N379" s="29"/>
    </row>
    <row r="380">
      <c r="A380" s="32"/>
      <c r="B380" s="29"/>
      <c r="C380" s="29"/>
      <c r="D380" s="29"/>
      <c r="E380" s="241"/>
      <c r="F380" s="241"/>
      <c r="G380" s="241"/>
      <c r="H380" s="29"/>
      <c r="I380" s="257"/>
      <c r="J380" s="29"/>
      <c r="K380" s="32"/>
      <c r="L380" s="29"/>
      <c r="M380" s="29"/>
      <c r="N380" s="29"/>
    </row>
    <row r="381">
      <c r="A381" s="32"/>
      <c r="B381" s="29"/>
      <c r="C381" s="29"/>
      <c r="D381" s="29"/>
      <c r="E381" s="241"/>
      <c r="F381" s="241"/>
      <c r="G381" s="241"/>
      <c r="H381" s="29"/>
      <c r="I381" s="257"/>
      <c r="J381" s="29"/>
      <c r="K381" s="32"/>
      <c r="L381" s="29"/>
      <c r="M381" s="29"/>
      <c r="N381" s="29"/>
    </row>
    <row r="382">
      <c r="A382" s="32"/>
      <c r="B382" s="29"/>
      <c r="C382" s="29"/>
      <c r="D382" s="29"/>
      <c r="E382" s="241"/>
      <c r="F382" s="241"/>
      <c r="G382" s="241"/>
      <c r="H382" s="29"/>
      <c r="I382" s="257"/>
      <c r="J382" s="29"/>
      <c r="K382" s="32"/>
      <c r="L382" s="29"/>
      <c r="M382" s="29"/>
      <c r="N382" s="29"/>
    </row>
    <row r="383">
      <c r="A383" s="32"/>
      <c r="B383" s="29"/>
      <c r="C383" s="29"/>
      <c r="D383" s="29"/>
      <c r="E383" s="241"/>
      <c r="F383" s="241"/>
      <c r="G383" s="241"/>
      <c r="H383" s="29"/>
      <c r="I383" s="257"/>
      <c r="J383" s="29"/>
      <c r="K383" s="32"/>
      <c r="L383" s="29"/>
      <c r="M383" s="29"/>
      <c r="N383" s="29"/>
    </row>
    <row r="384">
      <c r="A384" s="32"/>
      <c r="B384" s="29"/>
      <c r="C384" s="29"/>
      <c r="D384" s="29"/>
      <c r="E384" s="241"/>
      <c r="F384" s="241"/>
      <c r="G384" s="241"/>
      <c r="H384" s="29"/>
      <c r="I384" s="257"/>
      <c r="J384" s="29"/>
      <c r="K384" s="32"/>
      <c r="L384" s="29"/>
      <c r="M384" s="29"/>
      <c r="N384" s="29"/>
    </row>
    <row r="385">
      <c r="A385" s="32"/>
      <c r="B385" s="29"/>
      <c r="C385" s="29"/>
      <c r="D385" s="29"/>
      <c r="E385" s="241"/>
      <c r="F385" s="241"/>
      <c r="G385" s="241"/>
      <c r="H385" s="29"/>
      <c r="I385" s="257"/>
      <c r="J385" s="29"/>
      <c r="K385" s="32"/>
      <c r="L385" s="29"/>
      <c r="M385" s="29"/>
      <c r="N385" s="29"/>
    </row>
    <row r="386">
      <c r="A386" s="32"/>
      <c r="B386" s="29"/>
      <c r="C386" s="29"/>
      <c r="D386" s="29"/>
      <c r="E386" s="241"/>
      <c r="F386" s="241"/>
      <c r="G386" s="241"/>
      <c r="H386" s="29"/>
      <c r="I386" s="257"/>
      <c r="J386" s="29"/>
      <c r="K386" s="32"/>
      <c r="L386" s="29"/>
      <c r="M386" s="29"/>
      <c r="N386" s="29"/>
    </row>
    <row r="387">
      <c r="A387" s="32"/>
      <c r="B387" s="29"/>
      <c r="C387" s="29"/>
      <c r="D387" s="29"/>
      <c r="E387" s="241"/>
      <c r="F387" s="241"/>
      <c r="G387" s="241"/>
      <c r="H387" s="29"/>
      <c r="I387" s="257"/>
      <c r="J387" s="29"/>
      <c r="K387" s="32"/>
      <c r="L387" s="29"/>
      <c r="M387" s="29"/>
      <c r="N387" s="29"/>
    </row>
    <row r="388">
      <c r="A388" s="32"/>
      <c r="B388" s="29"/>
      <c r="C388" s="29"/>
      <c r="D388" s="29"/>
      <c r="E388" s="241"/>
      <c r="F388" s="241"/>
      <c r="G388" s="241"/>
      <c r="H388" s="29"/>
      <c r="I388" s="257"/>
      <c r="J388" s="29"/>
      <c r="K388" s="32"/>
      <c r="L388" s="29"/>
      <c r="M388" s="29"/>
      <c r="N388" s="29"/>
    </row>
    <row r="389">
      <c r="A389" s="32"/>
      <c r="B389" s="29"/>
      <c r="C389" s="29"/>
      <c r="D389" s="29"/>
      <c r="E389" s="241"/>
      <c r="F389" s="241"/>
      <c r="G389" s="241"/>
      <c r="H389" s="29"/>
      <c r="I389" s="257"/>
      <c r="J389" s="29"/>
      <c r="K389" s="32"/>
      <c r="L389" s="29"/>
      <c r="M389" s="29"/>
      <c r="N389" s="29"/>
    </row>
    <row r="390">
      <c r="A390" s="32"/>
      <c r="B390" s="29"/>
      <c r="C390" s="29"/>
      <c r="D390" s="29"/>
      <c r="E390" s="241"/>
      <c r="F390" s="241"/>
      <c r="G390" s="241"/>
      <c r="H390" s="29"/>
      <c r="I390" s="257"/>
      <c r="J390" s="29"/>
      <c r="K390" s="32"/>
      <c r="L390" s="29"/>
      <c r="M390" s="29"/>
      <c r="N390" s="29"/>
    </row>
    <row r="391">
      <c r="A391" s="32"/>
      <c r="B391" s="29"/>
      <c r="C391" s="29"/>
      <c r="D391" s="29"/>
      <c r="E391" s="241"/>
      <c r="F391" s="241"/>
      <c r="G391" s="241"/>
      <c r="H391" s="29"/>
      <c r="I391" s="257"/>
      <c r="J391" s="29"/>
      <c r="K391" s="32"/>
      <c r="L391" s="29"/>
      <c r="M391" s="29"/>
      <c r="N391" s="29"/>
    </row>
    <row r="392">
      <c r="A392" s="32"/>
      <c r="B392" s="29"/>
      <c r="C392" s="29"/>
      <c r="D392" s="29"/>
      <c r="E392" s="241"/>
      <c r="F392" s="241"/>
      <c r="G392" s="241"/>
      <c r="H392" s="29"/>
      <c r="I392" s="257"/>
      <c r="J392" s="29"/>
      <c r="K392" s="32"/>
      <c r="L392" s="29"/>
      <c r="M392" s="29"/>
      <c r="N392" s="29"/>
    </row>
    <row r="393">
      <c r="A393" s="32"/>
      <c r="B393" s="29"/>
      <c r="C393" s="29"/>
      <c r="D393" s="29"/>
      <c r="E393" s="241"/>
      <c r="F393" s="241"/>
      <c r="G393" s="241"/>
      <c r="H393" s="29"/>
      <c r="I393" s="257"/>
      <c r="J393" s="29"/>
      <c r="K393" s="32"/>
      <c r="L393" s="29"/>
      <c r="M393" s="29"/>
      <c r="N393" s="29"/>
    </row>
    <row r="394">
      <c r="A394" s="32"/>
      <c r="B394" s="29"/>
      <c r="C394" s="29"/>
      <c r="D394" s="29"/>
      <c r="E394" s="241"/>
      <c r="F394" s="241"/>
      <c r="G394" s="241"/>
      <c r="H394" s="29"/>
      <c r="I394" s="257"/>
      <c r="J394" s="29"/>
      <c r="K394" s="32"/>
      <c r="L394" s="29"/>
      <c r="M394" s="29"/>
      <c r="N394" s="29"/>
    </row>
    <row r="395">
      <c r="A395" s="32"/>
      <c r="B395" s="29"/>
      <c r="C395" s="29"/>
      <c r="D395" s="29"/>
      <c r="E395" s="241"/>
      <c r="F395" s="241"/>
      <c r="G395" s="241"/>
      <c r="H395" s="29"/>
      <c r="I395" s="257"/>
      <c r="J395" s="29"/>
      <c r="K395" s="32"/>
      <c r="L395" s="29"/>
      <c r="M395" s="29"/>
      <c r="N395" s="29"/>
    </row>
    <row r="396">
      <c r="A396" s="32"/>
      <c r="B396" s="29"/>
      <c r="C396" s="29"/>
      <c r="D396" s="29"/>
      <c r="E396" s="241"/>
      <c r="F396" s="241"/>
      <c r="G396" s="241"/>
      <c r="H396" s="29"/>
      <c r="I396" s="257"/>
      <c r="J396" s="29"/>
      <c r="K396" s="32"/>
      <c r="L396" s="29"/>
      <c r="M396" s="29"/>
      <c r="N396" s="29"/>
    </row>
    <row r="397">
      <c r="A397" s="32"/>
      <c r="B397" s="29"/>
      <c r="C397" s="29"/>
      <c r="D397" s="29"/>
      <c r="E397" s="241"/>
      <c r="F397" s="241"/>
      <c r="G397" s="241"/>
      <c r="H397" s="29"/>
      <c r="I397" s="257"/>
      <c r="J397" s="29"/>
      <c r="K397" s="32"/>
      <c r="L397" s="29"/>
      <c r="M397" s="29"/>
      <c r="N397" s="29"/>
    </row>
    <row r="398">
      <c r="A398" s="32"/>
      <c r="B398" s="29"/>
      <c r="C398" s="29"/>
      <c r="D398" s="29"/>
      <c r="E398" s="241"/>
      <c r="F398" s="241"/>
      <c r="G398" s="241"/>
      <c r="H398" s="29"/>
      <c r="I398" s="257"/>
      <c r="J398" s="29"/>
      <c r="K398" s="32"/>
      <c r="L398" s="29"/>
      <c r="M398" s="29"/>
      <c r="N398" s="29"/>
    </row>
    <row r="399">
      <c r="A399" s="32"/>
      <c r="B399" s="29"/>
      <c r="C399" s="29"/>
      <c r="D399" s="29"/>
      <c r="E399" s="241"/>
      <c r="F399" s="241"/>
      <c r="G399" s="241"/>
      <c r="H399" s="29"/>
      <c r="I399" s="257"/>
      <c r="J399" s="29"/>
      <c r="K399" s="32"/>
      <c r="L399" s="29"/>
      <c r="M399" s="29"/>
      <c r="N399" s="29"/>
    </row>
    <row r="400">
      <c r="A400" s="32"/>
      <c r="B400" s="29"/>
      <c r="C400" s="29"/>
      <c r="D400" s="29"/>
      <c r="E400" s="241"/>
      <c r="F400" s="241"/>
      <c r="G400" s="241"/>
      <c r="H400" s="29"/>
      <c r="I400" s="257"/>
      <c r="J400" s="29"/>
      <c r="K400" s="32"/>
      <c r="L400" s="29"/>
      <c r="M400" s="29"/>
      <c r="N400" s="29"/>
    </row>
    <row r="401">
      <c r="A401" s="32"/>
      <c r="B401" s="29"/>
      <c r="C401" s="29"/>
      <c r="D401" s="29"/>
      <c r="E401" s="241"/>
      <c r="F401" s="241"/>
      <c r="G401" s="241"/>
      <c r="H401" s="29"/>
      <c r="I401" s="257"/>
      <c r="J401" s="29"/>
      <c r="K401" s="32"/>
      <c r="L401" s="29"/>
      <c r="M401" s="29"/>
      <c r="N401" s="29"/>
    </row>
    <row r="402">
      <c r="A402" s="32"/>
      <c r="B402" s="29"/>
      <c r="C402" s="29"/>
      <c r="D402" s="29"/>
      <c r="E402" s="241"/>
      <c r="F402" s="241"/>
      <c r="G402" s="241"/>
      <c r="H402" s="29"/>
      <c r="I402" s="257"/>
      <c r="J402" s="29"/>
      <c r="K402" s="32"/>
      <c r="L402" s="29"/>
      <c r="M402" s="29"/>
      <c r="N402" s="29"/>
    </row>
    <row r="403">
      <c r="A403" s="32"/>
      <c r="B403" s="29"/>
      <c r="C403" s="29"/>
      <c r="D403" s="29"/>
      <c r="E403" s="241"/>
      <c r="F403" s="241"/>
      <c r="G403" s="241"/>
      <c r="H403" s="29"/>
      <c r="I403" s="257"/>
      <c r="J403" s="29"/>
      <c r="K403" s="32"/>
      <c r="L403" s="29"/>
      <c r="M403" s="29"/>
      <c r="N403" s="29"/>
    </row>
    <row r="404">
      <c r="A404" s="32"/>
      <c r="B404" s="29"/>
      <c r="C404" s="29"/>
      <c r="D404" s="29"/>
      <c r="E404" s="241"/>
      <c r="F404" s="241"/>
      <c r="G404" s="241"/>
      <c r="H404" s="29"/>
      <c r="I404" s="257"/>
      <c r="J404" s="29"/>
      <c r="K404" s="32"/>
      <c r="L404" s="29"/>
      <c r="M404" s="29"/>
      <c r="N404" s="29"/>
    </row>
    <row r="405">
      <c r="A405" s="32"/>
      <c r="B405" s="29"/>
      <c r="C405" s="29"/>
      <c r="D405" s="29"/>
      <c r="E405" s="241"/>
      <c r="F405" s="241"/>
      <c r="G405" s="241"/>
      <c r="H405" s="29"/>
      <c r="I405" s="257"/>
      <c r="J405" s="29"/>
      <c r="K405" s="32"/>
      <c r="L405" s="29"/>
      <c r="M405" s="29"/>
      <c r="N405" s="29"/>
    </row>
    <row r="406">
      <c r="A406" s="32"/>
      <c r="B406" s="29"/>
      <c r="C406" s="29"/>
      <c r="D406" s="29"/>
      <c r="E406" s="241"/>
      <c r="F406" s="241"/>
      <c r="G406" s="241"/>
      <c r="H406" s="29"/>
      <c r="I406" s="257"/>
      <c r="J406" s="29"/>
      <c r="K406" s="32"/>
      <c r="L406" s="29"/>
      <c r="M406" s="29"/>
      <c r="N406" s="29"/>
    </row>
    <row r="407">
      <c r="A407" s="32"/>
      <c r="B407" s="29"/>
      <c r="C407" s="29"/>
      <c r="D407" s="29"/>
      <c r="E407" s="241"/>
      <c r="F407" s="241"/>
      <c r="G407" s="241"/>
      <c r="H407" s="29"/>
      <c r="I407" s="257"/>
      <c r="J407" s="29"/>
      <c r="K407" s="32"/>
      <c r="L407" s="29"/>
      <c r="M407" s="29"/>
      <c r="N407" s="29"/>
    </row>
    <row r="408">
      <c r="A408" s="32"/>
      <c r="B408" s="29"/>
      <c r="C408" s="29"/>
      <c r="D408" s="29"/>
      <c r="E408" s="241"/>
      <c r="F408" s="241"/>
      <c r="G408" s="241"/>
      <c r="H408" s="29"/>
      <c r="I408" s="257"/>
      <c r="J408" s="29"/>
      <c r="K408" s="32"/>
      <c r="L408" s="29"/>
      <c r="M408" s="29"/>
      <c r="N408" s="29"/>
    </row>
    <row r="409">
      <c r="A409" s="32"/>
      <c r="B409" s="29"/>
      <c r="C409" s="29"/>
      <c r="D409" s="29"/>
      <c r="E409" s="241"/>
      <c r="F409" s="241"/>
      <c r="G409" s="241"/>
      <c r="H409" s="29"/>
      <c r="I409" s="257"/>
      <c r="J409" s="29"/>
      <c r="K409" s="32"/>
      <c r="L409" s="29"/>
      <c r="M409" s="29"/>
      <c r="N409" s="29"/>
    </row>
    <row r="410">
      <c r="A410" s="32"/>
      <c r="B410" s="29"/>
      <c r="C410" s="29"/>
      <c r="D410" s="29"/>
      <c r="E410" s="241"/>
      <c r="F410" s="241"/>
      <c r="G410" s="241"/>
      <c r="H410" s="29"/>
      <c r="I410" s="257"/>
      <c r="J410" s="29"/>
      <c r="K410" s="32"/>
      <c r="L410" s="29"/>
      <c r="M410" s="29"/>
      <c r="N410" s="29"/>
    </row>
    <row r="411">
      <c r="A411" s="32"/>
      <c r="B411" s="29"/>
      <c r="C411" s="29"/>
      <c r="D411" s="29"/>
      <c r="E411" s="241"/>
      <c r="F411" s="241"/>
      <c r="G411" s="241"/>
      <c r="H411" s="29"/>
      <c r="I411" s="257"/>
      <c r="J411" s="29"/>
      <c r="K411" s="32"/>
      <c r="L411" s="29"/>
      <c r="M411" s="29"/>
      <c r="N411" s="29"/>
    </row>
    <row r="412">
      <c r="A412" s="32"/>
      <c r="B412" s="29"/>
      <c r="C412" s="29"/>
      <c r="D412" s="29"/>
      <c r="E412" s="241"/>
      <c r="F412" s="241"/>
      <c r="G412" s="241"/>
      <c r="H412" s="29"/>
      <c r="I412" s="257"/>
      <c r="J412" s="29"/>
      <c r="K412" s="32"/>
      <c r="L412" s="29"/>
      <c r="M412" s="29"/>
      <c r="N412" s="29"/>
    </row>
    <row r="413">
      <c r="A413" s="32"/>
      <c r="B413" s="29"/>
      <c r="C413" s="29"/>
      <c r="D413" s="29"/>
      <c r="E413" s="241"/>
      <c r="F413" s="241"/>
      <c r="G413" s="241"/>
      <c r="H413" s="29"/>
      <c r="I413" s="257"/>
      <c r="J413" s="29"/>
      <c r="K413" s="32"/>
      <c r="L413" s="29"/>
      <c r="M413" s="29"/>
      <c r="N413" s="29"/>
    </row>
    <row r="414">
      <c r="A414" s="32"/>
      <c r="B414" s="29"/>
      <c r="C414" s="29"/>
      <c r="D414" s="29"/>
      <c r="E414" s="241"/>
      <c r="F414" s="241"/>
      <c r="G414" s="241"/>
      <c r="H414" s="29"/>
      <c r="I414" s="257"/>
      <c r="J414" s="29"/>
      <c r="K414" s="32"/>
      <c r="L414" s="29"/>
      <c r="M414" s="29"/>
      <c r="N414" s="29"/>
    </row>
    <row r="415">
      <c r="A415" s="32"/>
      <c r="B415" s="29"/>
      <c r="C415" s="29"/>
      <c r="D415" s="29"/>
      <c r="E415" s="241"/>
      <c r="F415" s="241"/>
      <c r="G415" s="241"/>
      <c r="H415" s="29"/>
      <c r="I415" s="257"/>
      <c r="J415" s="29"/>
      <c r="K415" s="32"/>
      <c r="L415" s="29"/>
      <c r="M415" s="29"/>
      <c r="N415" s="29"/>
    </row>
    <row r="416">
      <c r="A416" s="32"/>
      <c r="B416" s="29"/>
      <c r="C416" s="29"/>
      <c r="D416" s="29"/>
      <c r="E416" s="241"/>
      <c r="F416" s="241"/>
      <c r="G416" s="241"/>
      <c r="H416" s="29"/>
      <c r="I416" s="257"/>
      <c r="J416" s="29"/>
      <c r="K416" s="32"/>
      <c r="L416" s="29"/>
      <c r="M416" s="29"/>
      <c r="N416" s="29"/>
    </row>
    <row r="417">
      <c r="A417" s="32"/>
      <c r="B417" s="29"/>
      <c r="C417" s="29"/>
      <c r="D417" s="29"/>
      <c r="E417" s="241"/>
      <c r="F417" s="241"/>
      <c r="G417" s="241"/>
      <c r="H417" s="29"/>
      <c r="I417" s="257"/>
      <c r="J417" s="29"/>
      <c r="K417" s="32"/>
      <c r="L417" s="29"/>
      <c r="M417" s="29"/>
      <c r="N417" s="29"/>
    </row>
    <row r="418">
      <c r="A418" s="32"/>
      <c r="B418" s="29"/>
      <c r="C418" s="29"/>
      <c r="D418" s="29"/>
      <c r="E418" s="241"/>
      <c r="F418" s="241"/>
      <c r="G418" s="241"/>
      <c r="H418" s="29"/>
      <c r="I418" s="257"/>
      <c r="J418" s="29"/>
      <c r="K418" s="32"/>
      <c r="L418" s="29"/>
      <c r="M418" s="29"/>
      <c r="N418" s="29"/>
    </row>
    <row r="419">
      <c r="A419" s="32"/>
      <c r="B419" s="29"/>
      <c r="C419" s="29"/>
      <c r="D419" s="29"/>
      <c r="E419" s="241"/>
      <c r="F419" s="241"/>
      <c r="G419" s="241"/>
      <c r="H419" s="29"/>
      <c r="I419" s="257"/>
      <c r="J419" s="29"/>
      <c r="K419" s="32"/>
      <c r="L419" s="29"/>
      <c r="M419" s="29"/>
      <c r="N419" s="29"/>
    </row>
    <row r="420">
      <c r="A420" s="32"/>
      <c r="B420" s="29"/>
      <c r="C420" s="29"/>
      <c r="D420" s="29"/>
      <c r="E420" s="241"/>
      <c r="F420" s="241"/>
      <c r="G420" s="241"/>
      <c r="H420" s="29"/>
      <c r="I420" s="257"/>
      <c r="J420" s="29"/>
      <c r="K420" s="32"/>
      <c r="L420" s="29"/>
      <c r="M420" s="29"/>
      <c r="N420" s="29"/>
    </row>
    <row r="421">
      <c r="A421" s="32"/>
      <c r="B421" s="29"/>
      <c r="C421" s="29"/>
      <c r="D421" s="29"/>
      <c r="E421" s="241"/>
      <c r="F421" s="241"/>
      <c r="G421" s="241"/>
      <c r="H421" s="29"/>
      <c r="I421" s="257"/>
      <c r="J421" s="29"/>
      <c r="K421" s="32"/>
      <c r="L421" s="29"/>
      <c r="M421" s="29"/>
      <c r="N421" s="29"/>
    </row>
    <row r="422">
      <c r="A422" s="32"/>
      <c r="B422" s="29"/>
      <c r="C422" s="29"/>
      <c r="D422" s="29"/>
      <c r="E422" s="241"/>
      <c r="F422" s="241"/>
      <c r="G422" s="241"/>
      <c r="H422" s="29"/>
      <c r="I422" s="257"/>
      <c r="J422" s="29"/>
      <c r="K422" s="32"/>
      <c r="L422" s="29"/>
      <c r="M422" s="29"/>
      <c r="N422" s="29"/>
    </row>
    <row r="423">
      <c r="A423" s="32"/>
      <c r="B423" s="29"/>
      <c r="C423" s="29"/>
      <c r="D423" s="29"/>
      <c r="E423" s="241"/>
      <c r="F423" s="241"/>
      <c r="G423" s="241"/>
      <c r="H423" s="29"/>
      <c r="I423" s="257"/>
      <c r="J423" s="29"/>
      <c r="K423" s="32"/>
      <c r="L423" s="29"/>
      <c r="M423" s="29"/>
      <c r="N423" s="29"/>
    </row>
    <row r="424">
      <c r="A424" s="32"/>
      <c r="B424" s="29"/>
      <c r="C424" s="29"/>
      <c r="D424" s="29"/>
      <c r="E424" s="241"/>
      <c r="F424" s="241"/>
      <c r="G424" s="241"/>
      <c r="H424" s="29"/>
      <c r="I424" s="257"/>
      <c r="J424" s="29"/>
      <c r="K424" s="32"/>
      <c r="L424" s="29"/>
      <c r="M424" s="29"/>
      <c r="N424" s="29"/>
    </row>
    <row r="425">
      <c r="A425" s="32"/>
      <c r="B425" s="29"/>
      <c r="C425" s="29"/>
      <c r="D425" s="29"/>
      <c r="E425" s="241"/>
      <c r="F425" s="241"/>
      <c r="G425" s="241"/>
      <c r="H425" s="29"/>
      <c r="I425" s="257"/>
      <c r="J425" s="29"/>
      <c r="K425" s="32"/>
      <c r="L425" s="29"/>
      <c r="M425" s="29"/>
      <c r="N425" s="29"/>
    </row>
    <row r="426">
      <c r="A426" s="32"/>
      <c r="B426" s="29"/>
      <c r="C426" s="29"/>
      <c r="D426" s="29"/>
      <c r="E426" s="241"/>
      <c r="F426" s="241"/>
      <c r="G426" s="241"/>
      <c r="H426" s="29"/>
      <c r="I426" s="257"/>
      <c r="J426" s="29"/>
      <c r="K426" s="32"/>
      <c r="L426" s="29"/>
      <c r="M426" s="29"/>
      <c r="N426" s="29"/>
    </row>
    <row r="427">
      <c r="A427" s="32"/>
      <c r="B427" s="29"/>
      <c r="C427" s="29"/>
      <c r="D427" s="29"/>
      <c r="E427" s="241"/>
      <c r="F427" s="241"/>
      <c r="G427" s="241"/>
      <c r="H427" s="29"/>
      <c r="I427" s="257"/>
      <c r="J427" s="29"/>
      <c r="K427" s="32"/>
      <c r="L427" s="29"/>
      <c r="M427" s="29"/>
      <c r="N427" s="29"/>
    </row>
    <row r="428">
      <c r="A428" s="32"/>
      <c r="B428" s="29"/>
      <c r="C428" s="29"/>
      <c r="D428" s="29"/>
      <c r="E428" s="241"/>
      <c r="F428" s="241"/>
      <c r="G428" s="241"/>
      <c r="H428" s="29"/>
      <c r="I428" s="257"/>
      <c r="J428" s="29"/>
      <c r="K428" s="32"/>
      <c r="L428" s="29"/>
      <c r="M428" s="29"/>
      <c r="N428" s="29"/>
    </row>
    <row r="429">
      <c r="A429" s="32"/>
      <c r="B429" s="29"/>
      <c r="C429" s="29"/>
      <c r="D429" s="29"/>
      <c r="E429" s="241"/>
      <c r="F429" s="241"/>
      <c r="G429" s="241"/>
      <c r="H429" s="29"/>
      <c r="I429" s="257"/>
      <c r="J429" s="29"/>
      <c r="K429" s="32"/>
      <c r="L429" s="29"/>
      <c r="M429" s="29"/>
      <c r="N429" s="29"/>
    </row>
    <row r="430">
      <c r="A430" s="32"/>
      <c r="B430" s="29"/>
      <c r="C430" s="29"/>
      <c r="D430" s="29"/>
      <c r="E430" s="241"/>
      <c r="F430" s="241"/>
      <c r="G430" s="241"/>
      <c r="H430" s="29"/>
      <c r="I430" s="257"/>
      <c r="J430" s="29"/>
      <c r="K430" s="32"/>
      <c r="L430" s="29"/>
      <c r="M430" s="29"/>
      <c r="N430" s="29"/>
    </row>
    <row r="431">
      <c r="A431" s="32"/>
      <c r="B431" s="29"/>
      <c r="C431" s="29"/>
      <c r="D431" s="29"/>
      <c r="E431" s="241"/>
      <c r="F431" s="241"/>
      <c r="G431" s="241"/>
      <c r="H431" s="29"/>
      <c r="I431" s="257"/>
      <c r="J431" s="29"/>
      <c r="K431" s="32"/>
      <c r="L431" s="29"/>
      <c r="M431" s="29"/>
      <c r="N431" s="29"/>
    </row>
    <row r="432">
      <c r="A432" s="32"/>
      <c r="B432" s="29"/>
      <c r="C432" s="29"/>
      <c r="D432" s="29"/>
      <c r="E432" s="241"/>
      <c r="F432" s="241"/>
      <c r="G432" s="241"/>
      <c r="H432" s="29"/>
      <c r="I432" s="257"/>
      <c r="J432" s="29"/>
      <c r="K432" s="32"/>
      <c r="L432" s="29"/>
      <c r="M432" s="29"/>
      <c r="N432" s="29"/>
    </row>
    <row r="433">
      <c r="A433" s="32"/>
      <c r="B433" s="29"/>
      <c r="C433" s="29"/>
      <c r="D433" s="29"/>
      <c r="E433" s="241"/>
      <c r="F433" s="241"/>
      <c r="G433" s="241"/>
      <c r="H433" s="29"/>
      <c r="I433" s="257"/>
      <c r="J433" s="29"/>
      <c r="K433" s="32"/>
      <c r="L433" s="29"/>
      <c r="M433" s="29"/>
      <c r="N433" s="29"/>
    </row>
    <row r="434">
      <c r="A434" s="32"/>
      <c r="B434" s="29"/>
      <c r="C434" s="29"/>
      <c r="D434" s="29"/>
      <c r="E434" s="241"/>
      <c r="F434" s="241"/>
      <c r="G434" s="241"/>
      <c r="H434" s="29"/>
      <c r="I434" s="257"/>
      <c r="J434" s="29"/>
      <c r="K434" s="32"/>
      <c r="L434" s="29"/>
      <c r="M434" s="29"/>
      <c r="N434" s="29"/>
    </row>
    <row r="435">
      <c r="A435" s="32"/>
      <c r="B435" s="29"/>
      <c r="C435" s="29"/>
      <c r="D435" s="29"/>
      <c r="E435" s="241"/>
      <c r="F435" s="241"/>
      <c r="G435" s="241"/>
      <c r="H435" s="29"/>
      <c r="I435" s="257"/>
      <c r="J435" s="29"/>
      <c r="K435" s="32"/>
      <c r="L435" s="29"/>
      <c r="M435" s="29"/>
      <c r="N435" s="29"/>
    </row>
    <row r="436">
      <c r="A436" s="32"/>
      <c r="B436" s="29"/>
      <c r="C436" s="29"/>
      <c r="D436" s="29"/>
      <c r="E436" s="241"/>
      <c r="F436" s="241"/>
      <c r="G436" s="241"/>
      <c r="H436" s="29"/>
      <c r="I436" s="257"/>
      <c r="J436" s="29"/>
      <c r="K436" s="32"/>
      <c r="L436" s="29"/>
      <c r="M436" s="29"/>
      <c r="N436" s="29"/>
    </row>
    <row r="437">
      <c r="A437" s="32"/>
      <c r="B437" s="29"/>
      <c r="C437" s="29"/>
      <c r="D437" s="29"/>
      <c r="E437" s="241"/>
      <c r="F437" s="241"/>
      <c r="G437" s="241"/>
      <c r="H437" s="29"/>
      <c r="I437" s="257"/>
      <c r="J437" s="29"/>
      <c r="K437" s="32"/>
      <c r="L437" s="29"/>
      <c r="M437" s="29"/>
      <c r="N437" s="29"/>
    </row>
    <row r="438">
      <c r="A438" s="32"/>
      <c r="B438" s="29"/>
      <c r="C438" s="29"/>
      <c r="D438" s="29"/>
      <c r="E438" s="241"/>
      <c r="F438" s="241"/>
      <c r="G438" s="241"/>
      <c r="H438" s="29"/>
      <c r="I438" s="257"/>
      <c r="J438" s="29"/>
      <c r="K438" s="32"/>
      <c r="L438" s="29"/>
      <c r="M438" s="29"/>
      <c r="N438" s="29"/>
    </row>
    <row r="439">
      <c r="A439" s="32"/>
      <c r="B439" s="29"/>
      <c r="C439" s="29"/>
      <c r="D439" s="29"/>
      <c r="E439" s="241"/>
      <c r="F439" s="241"/>
      <c r="G439" s="241"/>
      <c r="H439" s="29"/>
      <c r="I439" s="257"/>
      <c r="J439" s="29"/>
      <c r="K439" s="32"/>
      <c r="L439" s="29"/>
      <c r="M439" s="29"/>
      <c r="N439" s="29"/>
    </row>
    <row r="440">
      <c r="A440" s="32"/>
      <c r="B440" s="29"/>
      <c r="C440" s="29"/>
      <c r="D440" s="29"/>
      <c r="E440" s="241"/>
      <c r="F440" s="241"/>
      <c r="G440" s="241"/>
      <c r="H440" s="29"/>
      <c r="I440" s="257"/>
      <c r="J440" s="29"/>
      <c r="K440" s="32"/>
      <c r="L440" s="29"/>
      <c r="M440" s="29"/>
      <c r="N440" s="29"/>
    </row>
    <row r="441">
      <c r="A441" s="32"/>
      <c r="B441" s="29"/>
      <c r="C441" s="29"/>
      <c r="D441" s="29"/>
      <c r="E441" s="241"/>
      <c r="F441" s="241"/>
      <c r="G441" s="241"/>
      <c r="H441" s="29"/>
      <c r="I441" s="257"/>
      <c r="J441" s="29"/>
      <c r="K441" s="32"/>
      <c r="L441" s="29"/>
      <c r="M441" s="29"/>
      <c r="N441" s="29"/>
    </row>
    <row r="442">
      <c r="A442" s="32"/>
      <c r="B442" s="29"/>
      <c r="C442" s="29"/>
      <c r="D442" s="29"/>
      <c r="E442" s="241"/>
      <c r="F442" s="241"/>
      <c r="G442" s="241"/>
      <c r="H442" s="29"/>
      <c r="I442" s="257"/>
      <c r="J442" s="29"/>
      <c r="K442" s="32"/>
      <c r="L442" s="29"/>
      <c r="M442" s="29"/>
      <c r="N442" s="29"/>
    </row>
    <row r="443">
      <c r="A443" s="32"/>
      <c r="B443" s="29"/>
      <c r="C443" s="29"/>
      <c r="D443" s="29"/>
      <c r="E443" s="241"/>
      <c r="F443" s="241"/>
      <c r="G443" s="241"/>
      <c r="H443" s="29"/>
      <c r="I443" s="257"/>
      <c r="J443" s="29"/>
      <c r="K443" s="32"/>
      <c r="L443" s="29"/>
      <c r="M443" s="29"/>
      <c r="N443" s="29"/>
    </row>
    <row r="444">
      <c r="A444" s="32"/>
      <c r="B444" s="29"/>
      <c r="C444" s="29"/>
      <c r="D444" s="29"/>
      <c r="E444" s="241"/>
      <c r="F444" s="241"/>
      <c r="G444" s="241"/>
      <c r="H444" s="29"/>
      <c r="I444" s="257"/>
      <c r="J444" s="29"/>
      <c r="K444" s="32"/>
      <c r="L444" s="29"/>
      <c r="M444" s="29"/>
      <c r="N444" s="29"/>
    </row>
    <row r="445">
      <c r="A445" s="32"/>
      <c r="B445" s="29"/>
      <c r="C445" s="29"/>
      <c r="D445" s="29"/>
      <c r="E445" s="241"/>
      <c r="F445" s="241"/>
      <c r="G445" s="241"/>
      <c r="H445" s="29"/>
      <c r="I445" s="257"/>
      <c r="J445" s="29"/>
      <c r="K445" s="32"/>
      <c r="L445" s="29"/>
      <c r="M445" s="29"/>
      <c r="N445" s="29"/>
    </row>
    <row r="446">
      <c r="A446" s="32"/>
      <c r="B446" s="29"/>
      <c r="C446" s="29"/>
      <c r="D446" s="29"/>
      <c r="E446" s="241"/>
      <c r="F446" s="241"/>
      <c r="G446" s="241"/>
      <c r="H446" s="29"/>
      <c r="I446" s="257"/>
      <c r="J446" s="29"/>
      <c r="K446" s="32"/>
      <c r="L446" s="29"/>
      <c r="M446" s="29"/>
      <c r="N446" s="29"/>
    </row>
    <row r="447">
      <c r="A447" s="32"/>
      <c r="B447" s="29"/>
      <c r="C447" s="29"/>
      <c r="D447" s="29"/>
      <c r="E447" s="241"/>
      <c r="F447" s="241"/>
      <c r="G447" s="241"/>
      <c r="H447" s="29"/>
      <c r="I447" s="257"/>
      <c r="J447" s="29"/>
      <c r="K447" s="32"/>
      <c r="L447" s="29"/>
      <c r="M447" s="29"/>
      <c r="N447" s="29"/>
    </row>
    <row r="448">
      <c r="A448" s="32"/>
      <c r="B448" s="29"/>
      <c r="C448" s="29"/>
      <c r="D448" s="29"/>
      <c r="E448" s="241"/>
      <c r="F448" s="241"/>
      <c r="G448" s="241"/>
      <c r="H448" s="29"/>
      <c r="I448" s="257"/>
      <c r="J448" s="29"/>
      <c r="K448" s="32"/>
      <c r="L448" s="29"/>
      <c r="M448" s="29"/>
      <c r="N448" s="29"/>
    </row>
    <row r="449">
      <c r="A449" s="32"/>
      <c r="B449" s="29"/>
      <c r="C449" s="29"/>
      <c r="D449" s="29"/>
      <c r="E449" s="241"/>
      <c r="F449" s="241"/>
      <c r="G449" s="241"/>
      <c r="H449" s="29"/>
      <c r="I449" s="257"/>
      <c r="J449" s="29"/>
      <c r="K449" s="32"/>
      <c r="L449" s="29"/>
      <c r="M449" s="29"/>
      <c r="N449" s="29"/>
    </row>
    <row r="450">
      <c r="A450" s="32"/>
      <c r="B450" s="29"/>
      <c r="C450" s="29"/>
      <c r="D450" s="29"/>
      <c r="E450" s="241"/>
      <c r="F450" s="241"/>
      <c r="G450" s="241"/>
      <c r="H450" s="29"/>
      <c r="I450" s="257"/>
      <c r="J450" s="29"/>
      <c r="K450" s="32"/>
      <c r="L450" s="29"/>
      <c r="M450" s="29"/>
      <c r="N450" s="29"/>
    </row>
    <row r="451">
      <c r="A451" s="32"/>
      <c r="B451" s="29"/>
      <c r="C451" s="29"/>
      <c r="D451" s="29"/>
      <c r="E451" s="241"/>
      <c r="F451" s="241"/>
      <c r="G451" s="241"/>
      <c r="H451" s="29"/>
      <c r="I451" s="257"/>
      <c r="J451" s="29"/>
      <c r="K451" s="32"/>
      <c r="L451" s="29"/>
      <c r="M451" s="29"/>
      <c r="N451" s="29"/>
    </row>
    <row r="452">
      <c r="A452" s="32"/>
      <c r="B452" s="29"/>
      <c r="C452" s="29"/>
      <c r="D452" s="29"/>
      <c r="E452" s="241"/>
      <c r="F452" s="241"/>
      <c r="G452" s="241"/>
      <c r="H452" s="29"/>
      <c r="I452" s="257"/>
      <c r="J452" s="29"/>
      <c r="K452" s="32"/>
      <c r="L452" s="29"/>
      <c r="M452" s="29"/>
      <c r="N452" s="29"/>
    </row>
    <row r="453">
      <c r="A453" s="32"/>
      <c r="B453" s="29"/>
      <c r="C453" s="29"/>
      <c r="D453" s="29"/>
      <c r="E453" s="241"/>
      <c r="F453" s="241"/>
      <c r="G453" s="241"/>
      <c r="H453" s="29"/>
      <c r="I453" s="257"/>
      <c r="J453" s="29"/>
      <c r="K453" s="32"/>
      <c r="L453" s="29"/>
      <c r="M453" s="29"/>
      <c r="N453" s="29"/>
    </row>
    <row r="454">
      <c r="A454" s="32"/>
      <c r="B454" s="29"/>
      <c r="C454" s="29"/>
      <c r="D454" s="29"/>
      <c r="E454" s="241"/>
      <c r="F454" s="241"/>
      <c r="G454" s="241"/>
      <c r="H454" s="29"/>
      <c r="I454" s="257"/>
      <c r="J454" s="29"/>
      <c r="K454" s="32"/>
      <c r="L454" s="29"/>
      <c r="M454" s="29"/>
      <c r="N454" s="29"/>
    </row>
    <row r="455">
      <c r="A455" s="32"/>
      <c r="B455" s="29"/>
      <c r="C455" s="29"/>
      <c r="D455" s="29"/>
      <c r="E455" s="241"/>
      <c r="F455" s="241"/>
      <c r="G455" s="241"/>
      <c r="H455" s="29"/>
      <c r="I455" s="257"/>
      <c r="J455" s="29"/>
      <c r="K455" s="32"/>
      <c r="L455" s="29"/>
      <c r="M455" s="29"/>
      <c r="N455" s="29"/>
    </row>
    <row r="456">
      <c r="A456" s="32"/>
      <c r="B456" s="29"/>
      <c r="C456" s="29"/>
      <c r="D456" s="29"/>
      <c r="E456" s="241"/>
      <c r="F456" s="241"/>
      <c r="G456" s="241"/>
      <c r="H456" s="29"/>
      <c r="I456" s="257"/>
      <c r="J456" s="29"/>
      <c r="K456" s="32"/>
      <c r="L456" s="29"/>
      <c r="M456" s="29"/>
      <c r="N456" s="29"/>
    </row>
    <row r="457">
      <c r="A457" s="32"/>
      <c r="B457" s="29"/>
      <c r="C457" s="29"/>
      <c r="D457" s="29"/>
      <c r="E457" s="241"/>
      <c r="F457" s="241"/>
      <c r="G457" s="241"/>
      <c r="H457" s="29"/>
      <c r="I457" s="257"/>
      <c r="J457" s="29"/>
      <c r="K457" s="32"/>
      <c r="L457" s="29"/>
      <c r="M457" s="29"/>
      <c r="N457" s="29"/>
    </row>
    <row r="458">
      <c r="A458" s="32"/>
      <c r="B458" s="29"/>
      <c r="C458" s="29"/>
      <c r="D458" s="29"/>
      <c r="E458" s="241"/>
      <c r="F458" s="241"/>
      <c r="G458" s="241"/>
      <c r="H458" s="29"/>
      <c r="I458" s="257"/>
      <c r="J458" s="29"/>
      <c r="K458" s="32"/>
      <c r="L458" s="29"/>
      <c r="M458" s="29"/>
      <c r="N458" s="29"/>
    </row>
    <row r="459">
      <c r="A459" s="32"/>
      <c r="B459" s="29"/>
      <c r="C459" s="29"/>
      <c r="D459" s="29"/>
      <c r="E459" s="241"/>
      <c r="F459" s="241"/>
      <c r="G459" s="241"/>
      <c r="H459" s="29"/>
      <c r="I459" s="257"/>
      <c r="J459" s="29"/>
      <c r="K459" s="32"/>
      <c r="L459" s="29"/>
      <c r="M459" s="29"/>
      <c r="N459" s="29"/>
    </row>
    <row r="460">
      <c r="A460" s="32"/>
      <c r="B460" s="29"/>
      <c r="C460" s="29"/>
      <c r="D460" s="29"/>
      <c r="E460" s="241"/>
      <c r="F460" s="241"/>
      <c r="G460" s="241"/>
      <c r="H460" s="29"/>
      <c r="I460" s="257"/>
      <c r="J460" s="29"/>
      <c r="K460" s="32"/>
      <c r="L460" s="29"/>
      <c r="M460" s="29"/>
      <c r="N460" s="29"/>
    </row>
    <row r="461">
      <c r="A461" s="32"/>
      <c r="B461" s="29"/>
      <c r="C461" s="29"/>
      <c r="D461" s="29"/>
      <c r="E461" s="241"/>
      <c r="F461" s="241"/>
      <c r="G461" s="241"/>
      <c r="H461" s="29"/>
      <c r="I461" s="257"/>
      <c r="J461" s="29"/>
      <c r="K461" s="32"/>
      <c r="L461" s="29"/>
      <c r="M461" s="29"/>
      <c r="N461" s="29"/>
    </row>
    <row r="462">
      <c r="A462" s="32"/>
      <c r="B462" s="29"/>
      <c r="C462" s="29"/>
      <c r="D462" s="29"/>
      <c r="E462" s="241"/>
      <c r="F462" s="241"/>
      <c r="G462" s="241"/>
      <c r="H462" s="29"/>
      <c r="I462" s="257"/>
      <c r="J462" s="29"/>
      <c r="K462" s="32"/>
      <c r="L462" s="29"/>
      <c r="M462" s="29"/>
      <c r="N462" s="29"/>
    </row>
    <row r="463">
      <c r="A463" s="32"/>
      <c r="B463" s="29"/>
      <c r="C463" s="29"/>
      <c r="D463" s="29"/>
      <c r="E463" s="241"/>
      <c r="F463" s="241"/>
      <c r="G463" s="241"/>
      <c r="H463" s="29"/>
      <c r="I463" s="257"/>
      <c r="J463" s="29"/>
      <c r="K463" s="32"/>
      <c r="L463" s="29"/>
      <c r="M463" s="29"/>
      <c r="N463" s="29"/>
    </row>
    <row r="464">
      <c r="A464" s="32"/>
      <c r="B464" s="29"/>
      <c r="C464" s="29"/>
      <c r="D464" s="29"/>
      <c r="E464" s="241"/>
      <c r="F464" s="241"/>
      <c r="G464" s="241"/>
      <c r="H464" s="29"/>
      <c r="I464" s="257"/>
      <c r="J464" s="29"/>
      <c r="K464" s="32"/>
      <c r="L464" s="29"/>
      <c r="M464" s="29"/>
      <c r="N464" s="29"/>
    </row>
    <row r="465">
      <c r="A465" s="32"/>
      <c r="B465" s="29"/>
      <c r="C465" s="29"/>
      <c r="D465" s="29"/>
      <c r="E465" s="241"/>
      <c r="F465" s="241"/>
      <c r="G465" s="241"/>
      <c r="H465" s="29"/>
      <c r="I465" s="257"/>
      <c r="J465" s="29"/>
      <c r="K465" s="32"/>
      <c r="L465" s="29"/>
      <c r="M465" s="29"/>
      <c r="N465" s="29"/>
    </row>
    <row r="466">
      <c r="A466" s="32"/>
      <c r="B466" s="29"/>
      <c r="C466" s="29"/>
      <c r="D466" s="29"/>
      <c r="E466" s="241"/>
      <c r="F466" s="241"/>
      <c r="G466" s="241"/>
      <c r="H466" s="29"/>
      <c r="I466" s="257"/>
      <c r="J466" s="29"/>
      <c r="K466" s="32"/>
      <c r="L466" s="29"/>
      <c r="M466" s="29"/>
      <c r="N466" s="29"/>
    </row>
    <row r="467">
      <c r="A467" s="32"/>
      <c r="B467" s="29"/>
      <c r="C467" s="29"/>
      <c r="D467" s="29"/>
      <c r="E467" s="241"/>
      <c r="F467" s="241"/>
      <c r="G467" s="241"/>
      <c r="H467" s="29"/>
      <c r="I467" s="257"/>
      <c r="J467" s="29"/>
      <c r="K467" s="32"/>
      <c r="L467" s="29"/>
      <c r="M467" s="29"/>
      <c r="N467" s="29"/>
    </row>
    <row r="468">
      <c r="A468" s="32"/>
      <c r="B468" s="29"/>
      <c r="C468" s="29"/>
      <c r="D468" s="29"/>
      <c r="E468" s="241"/>
      <c r="F468" s="241"/>
      <c r="G468" s="241"/>
      <c r="H468" s="29"/>
      <c r="I468" s="257"/>
      <c r="J468" s="29"/>
      <c r="K468" s="32"/>
      <c r="L468" s="29"/>
      <c r="M468" s="29"/>
      <c r="N468" s="29"/>
    </row>
    <row r="469">
      <c r="A469" s="32"/>
      <c r="B469" s="29"/>
      <c r="C469" s="29"/>
      <c r="D469" s="29"/>
      <c r="E469" s="241"/>
      <c r="F469" s="241"/>
      <c r="G469" s="241"/>
      <c r="H469" s="29"/>
      <c r="I469" s="257"/>
      <c r="J469" s="29"/>
      <c r="K469" s="32"/>
      <c r="L469" s="29"/>
      <c r="M469" s="29"/>
      <c r="N469" s="29"/>
    </row>
    <row r="470">
      <c r="A470" s="32"/>
      <c r="B470" s="29"/>
      <c r="C470" s="29"/>
      <c r="D470" s="29"/>
      <c r="E470" s="241"/>
      <c r="F470" s="241"/>
      <c r="G470" s="241"/>
      <c r="H470" s="29"/>
      <c r="I470" s="257"/>
      <c r="J470" s="29"/>
      <c r="K470" s="32"/>
      <c r="L470" s="29"/>
      <c r="M470" s="29"/>
      <c r="N470" s="29"/>
    </row>
    <row r="471">
      <c r="A471" s="32"/>
      <c r="B471" s="29"/>
      <c r="C471" s="29"/>
      <c r="D471" s="29"/>
      <c r="E471" s="241"/>
      <c r="F471" s="241"/>
      <c r="G471" s="241"/>
      <c r="H471" s="29"/>
      <c r="I471" s="257"/>
      <c r="J471" s="29"/>
      <c r="K471" s="32"/>
      <c r="L471" s="29"/>
      <c r="M471" s="29"/>
      <c r="N471" s="29"/>
    </row>
    <row r="472">
      <c r="A472" s="32"/>
      <c r="B472" s="29"/>
      <c r="C472" s="29"/>
      <c r="D472" s="29"/>
      <c r="E472" s="241"/>
      <c r="F472" s="241"/>
      <c r="G472" s="241"/>
      <c r="H472" s="29"/>
      <c r="I472" s="257"/>
      <c r="J472" s="29"/>
      <c r="K472" s="32"/>
      <c r="L472" s="29"/>
      <c r="M472" s="29"/>
      <c r="N472" s="29"/>
    </row>
    <row r="473">
      <c r="A473" s="32"/>
      <c r="B473" s="29"/>
      <c r="C473" s="29"/>
      <c r="D473" s="29"/>
      <c r="E473" s="241"/>
      <c r="F473" s="241"/>
      <c r="G473" s="241"/>
      <c r="H473" s="29"/>
      <c r="I473" s="257"/>
      <c r="J473" s="29"/>
      <c r="K473" s="32"/>
      <c r="L473" s="29"/>
      <c r="M473" s="29"/>
      <c r="N473" s="29"/>
    </row>
    <row r="474">
      <c r="A474" s="32"/>
      <c r="B474" s="29"/>
      <c r="C474" s="29"/>
      <c r="D474" s="29"/>
      <c r="E474" s="241"/>
      <c r="F474" s="241"/>
      <c r="G474" s="241"/>
      <c r="H474" s="29"/>
      <c r="I474" s="257"/>
      <c r="J474" s="29"/>
      <c r="K474" s="32"/>
      <c r="L474" s="29"/>
      <c r="M474" s="29"/>
      <c r="N474" s="29"/>
    </row>
    <row r="475">
      <c r="A475" s="32"/>
      <c r="B475" s="29"/>
      <c r="C475" s="29"/>
      <c r="D475" s="29"/>
      <c r="E475" s="241"/>
      <c r="F475" s="241"/>
      <c r="G475" s="241"/>
      <c r="H475" s="29"/>
      <c r="I475" s="257"/>
      <c r="J475" s="29"/>
      <c r="K475" s="32"/>
      <c r="L475" s="29"/>
      <c r="M475" s="29"/>
      <c r="N475" s="29"/>
    </row>
    <row r="476">
      <c r="A476" s="32"/>
      <c r="B476" s="29"/>
      <c r="C476" s="29"/>
      <c r="D476" s="29"/>
      <c r="E476" s="241"/>
      <c r="F476" s="241"/>
      <c r="G476" s="241"/>
      <c r="H476" s="29"/>
      <c r="I476" s="257"/>
      <c r="J476" s="29"/>
      <c r="K476" s="32"/>
      <c r="L476" s="29"/>
      <c r="M476" s="29"/>
      <c r="N476" s="29"/>
    </row>
    <row r="477">
      <c r="A477" s="32"/>
      <c r="B477" s="29"/>
      <c r="C477" s="29"/>
      <c r="D477" s="29"/>
      <c r="E477" s="241"/>
      <c r="F477" s="241"/>
      <c r="G477" s="241"/>
      <c r="H477" s="29"/>
      <c r="I477" s="257"/>
      <c r="J477" s="29"/>
      <c r="K477" s="32"/>
      <c r="L477" s="29"/>
      <c r="M477" s="29"/>
      <c r="N477" s="29"/>
    </row>
    <row r="478">
      <c r="A478" s="32"/>
      <c r="B478" s="29"/>
      <c r="C478" s="29"/>
      <c r="D478" s="29"/>
      <c r="E478" s="241"/>
      <c r="F478" s="241"/>
      <c r="G478" s="241"/>
      <c r="H478" s="29"/>
      <c r="I478" s="257"/>
      <c r="J478" s="29"/>
      <c r="K478" s="32"/>
      <c r="L478" s="29"/>
      <c r="M478" s="29"/>
      <c r="N478" s="29"/>
    </row>
    <row r="479">
      <c r="A479" s="32"/>
      <c r="B479" s="29"/>
      <c r="C479" s="29"/>
      <c r="D479" s="29"/>
      <c r="E479" s="241"/>
      <c r="F479" s="241"/>
      <c r="G479" s="241"/>
      <c r="H479" s="29"/>
      <c r="I479" s="257"/>
      <c r="J479" s="29"/>
      <c r="K479" s="32"/>
      <c r="L479" s="29"/>
      <c r="M479" s="29"/>
      <c r="N479" s="29"/>
    </row>
    <row r="480">
      <c r="A480" s="32"/>
      <c r="B480" s="29"/>
      <c r="C480" s="29"/>
      <c r="D480" s="29"/>
      <c r="E480" s="241"/>
      <c r="F480" s="241"/>
      <c r="G480" s="241"/>
      <c r="H480" s="29"/>
      <c r="I480" s="257"/>
      <c r="J480" s="29"/>
      <c r="K480" s="32"/>
      <c r="L480" s="29"/>
      <c r="M480" s="29"/>
      <c r="N480" s="29"/>
    </row>
    <row r="481">
      <c r="A481" s="32"/>
      <c r="B481" s="29"/>
      <c r="C481" s="29"/>
      <c r="D481" s="29"/>
      <c r="E481" s="241"/>
      <c r="F481" s="241"/>
      <c r="G481" s="241"/>
      <c r="H481" s="29"/>
      <c r="I481" s="257"/>
      <c r="J481" s="29"/>
      <c r="K481" s="32"/>
      <c r="L481" s="29"/>
      <c r="M481" s="29"/>
      <c r="N481" s="29"/>
    </row>
    <row r="482">
      <c r="A482" s="32"/>
      <c r="B482" s="29"/>
      <c r="C482" s="29"/>
      <c r="D482" s="29"/>
      <c r="E482" s="241"/>
      <c r="F482" s="241"/>
      <c r="G482" s="241"/>
      <c r="H482" s="29"/>
      <c r="I482" s="257"/>
      <c r="J482" s="29"/>
      <c r="K482" s="32"/>
      <c r="L482" s="29"/>
      <c r="M482" s="29"/>
      <c r="N482" s="29"/>
    </row>
    <row r="483">
      <c r="A483" s="32"/>
      <c r="B483" s="29"/>
      <c r="C483" s="29"/>
      <c r="D483" s="29"/>
      <c r="E483" s="241"/>
      <c r="F483" s="241"/>
      <c r="G483" s="241"/>
      <c r="H483" s="29"/>
      <c r="I483" s="257"/>
      <c r="J483" s="29"/>
      <c r="K483" s="32"/>
      <c r="L483" s="29"/>
      <c r="M483" s="29"/>
      <c r="N483" s="29"/>
    </row>
    <row r="484">
      <c r="A484" s="32"/>
      <c r="B484" s="29"/>
      <c r="C484" s="29"/>
      <c r="D484" s="29"/>
      <c r="E484" s="241"/>
      <c r="F484" s="241"/>
      <c r="G484" s="241"/>
      <c r="H484" s="29"/>
      <c r="I484" s="257"/>
      <c r="J484" s="29"/>
      <c r="K484" s="32"/>
      <c r="L484" s="29"/>
      <c r="M484" s="29"/>
      <c r="N484" s="29"/>
    </row>
    <row r="485">
      <c r="A485" s="32"/>
      <c r="B485" s="29"/>
      <c r="C485" s="29"/>
      <c r="D485" s="29"/>
      <c r="E485" s="241"/>
      <c r="F485" s="241"/>
      <c r="G485" s="241"/>
      <c r="H485" s="29"/>
      <c r="I485" s="257"/>
      <c r="J485" s="29"/>
      <c r="K485" s="32"/>
      <c r="L485" s="29"/>
      <c r="M485" s="29"/>
      <c r="N485" s="29"/>
    </row>
    <row r="486">
      <c r="A486" s="32"/>
      <c r="B486" s="29"/>
      <c r="C486" s="29"/>
      <c r="D486" s="29"/>
      <c r="E486" s="241"/>
      <c r="F486" s="241"/>
      <c r="G486" s="241"/>
      <c r="H486" s="29"/>
      <c r="I486" s="257"/>
      <c r="J486" s="29"/>
      <c r="K486" s="32"/>
      <c r="L486" s="29"/>
      <c r="M486" s="29"/>
      <c r="N486" s="29"/>
    </row>
    <row r="487">
      <c r="A487" s="32"/>
      <c r="B487" s="29"/>
      <c r="C487" s="29"/>
      <c r="D487" s="29"/>
      <c r="E487" s="241"/>
      <c r="F487" s="241"/>
      <c r="G487" s="241"/>
      <c r="H487" s="29"/>
      <c r="I487" s="257"/>
      <c r="J487" s="29"/>
      <c r="K487" s="32"/>
      <c r="L487" s="29"/>
      <c r="M487" s="29"/>
      <c r="N487" s="29"/>
    </row>
    <row r="488">
      <c r="A488" s="32"/>
      <c r="B488" s="29"/>
      <c r="C488" s="29"/>
      <c r="D488" s="29"/>
      <c r="E488" s="241"/>
      <c r="F488" s="241"/>
      <c r="G488" s="241"/>
      <c r="H488" s="29"/>
      <c r="I488" s="257"/>
      <c r="J488" s="29"/>
      <c r="K488" s="32"/>
      <c r="L488" s="29"/>
      <c r="M488" s="29"/>
      <c r="N488" s="29"/>
    </row>
    <row r="489">
      <c r="A489" s="32"/>
      <c r="B489" s="29"/>
      <c r="C489" s="29"/>
      <c r="D489" s="29"/>
      <c r="E489" s="241"/>
      <c r="F489" s="241"/>
      <c r="G489" s="241"/>
      <c r="H489" s="29"/>
      <c r="I489" s="257"/>
      <c r="J489" s="29"/>
      <c r="K489" s="32"/>
      <c r="L489" s="29"/>
      <c r="M489" s="29"/>
      <c r="N489" s="29"/>
    </row>
    <row r="490">
      <c r="A490" s="32"/>
      <c r="B490" s="29"/>
      <c r="C490" s="29"/>
      <c r="D490" s="29"/>
      <c r="E490" s="241"/>
      <c r="F490" s="241"/>
      <c r="G490" s="241"/>
      <c r="H490" s="29"/>
      <c r="I490" s="257"/>
      <c r="J490" s="29"/>
      <c r="K490" s="32"/>
      <c r="L490" s="29"/>
      <c r="M490" s="29"/>
      <c r="N490" s="29"/>
    </row>
    <row r="491">
      <c r="A491" s="32"/>
      <c r="B491" s="29"/>
      <c r="C491" s="29"/>
      <c r="D491" s="29"/>
      <c r="E491" s="241"/>
      <c r="F491" s="241"/>
      <c r="G491" s="241"/>
      <c r="H491" s="29"/>
      <c r="I491" s="257"/>
      <c r="J491" s="29"/>
      <c r="K491" s="32"/>
      <c r="L491" s="29"/>
      <c r="M491" s="29"/>
      <c r="N491" s="29"/>
    </row>
    <row r="492">
      <c r="A492" s="32"/>
      <c r="B492" s="29"/>
      <c r="C492" s="29"/>
      <c r="D492" s="29"/>
      <c r="E492" s="241"/>
      <c r="F492" s="241"/>
      <c r="G492" s="241"/>
      <c r="H492" s="29"/>
      <c r="I492" s="257"/>
      <c r="J492" s="29"/>
      <c r="K492" s="32"/>
      <c r="L492" s="29"/>
      <c r="M492" s="29"/>
      <c r="N492" s="29"/>
    </row>
    <row r="493">
      <c r="A493" s="32"/>
      <c r="B493" s="29"/>
      <c r="C493" s="29"/>
      <c r="D493" s="29"/>
      <c r="E493" s="241"/>
      <c r="F493" s="241"/>
      <c r="G493" s="241"/>
      <c r="H493" s="29"/>
      <c r="I493" s="257"/>
      <c r="J493" s="29"/>
      <c r="K493" s="32"/>
      <c r="L493" s="29"/>
      <c r="M493" s="29"/>
      <c r="N493" s="29"/>
    </row>
    <row r="494">
      <c r="A494" s="32"/>
      <c r="B494" s="29"/>
      <c r="C494" s="29"/>
      <c r="D494" s="29"/>
      <c r="E494" s="241"/>
      <c r="F494" s="241"/>
      <c r="G494" s="241"/>
      <c r="H494" s="29"/>
      <c r="I494" s="257"/>
      <c r="J494" s="29"/>
      <c r="K494" s="32"/>
      <c r="L494" s="29"/>
      <c r="M494" s="29"/>
      <c r="N494" s="29"/>
    </row>
    <row r="495">
      <c r="A495" s="32"/>
      <c r="B495" s="29"/>
      <c r="C495" s="29"/>
      <c r="D495" s="29"/>
      <c r="E495" s="241"/>
      <c r="F495" s="241"/>
      <c r="G495" s="241"/>
      <c r="H495" s="29"/>
      <c r="I495" s="257"/>
      <c r="J495" s="29"/>
      <c r="K495" s="32"/>
      <c r="L495" s="29"/>
      <c r="M495" s="29"/>
      <c r="N495" s="29"/>
    </row>
    <row r="496">
      <c r="A496" s="32"/>
      <c r="B496" s="29"/>
      <c r="C496" s="29"/>
      <c r="D496" s="29"/>
      <c r="E496" s="241"/>
      <c r="F496" s="241"/>
      <c r="G496" s="241"/>
      <c r="H496" s="29"/>
      <c r="I496" s="257"/>
      <c r="J496" s="29"/>
      <c r="K496" s="32"/>
      <c r="L496" s="29"/>
      <c r="M496" s="29"/>
      <c r="N496" s="29"/>
    </row>
    <row r="497">
      <c r="A497" s="32"/>
      <c r="B497" s="29"/>
      <c r="C497" s="29"/>
      <c r="D497" s="29"/>
      <c r="E497" s="241"/>
      <c r="F497" s="241"/>
      <c r="G497" s="241"/>
      <c r="H497" s="29"/>
      <c r="I497" s="257"/>
      <c r="J497" s="29"/>
      <c r="K497" s="32"/>
      <c r="L497" s="29"/>
      <c r="M497" s="29"/>
      <c r="N497" s="29"/>
    </row>
    <row r="498">
      <c r="A498" s="32"/>
      <c r="B498" s="29"/>
      <c r="C498" s="29"/>
      <c r="D498" s="29"/>
      <c r="E498" s="241"/>
      <c r="F498" s="241"/>
      <c r="G498" s="241"/>
      <c r="H498" s="29"/>
      <c r="I498" s="257"/>
      <c r="J498" s="29"/>
      <c r="K498" s="32"/>
      <c r="L498" s="29"/>
      <c r="M498" s="29"/>
      <c r="N498" s="29"/>
    </row>
    <row r="499">
      <c r="A499" s="32"/>
      <c r="B499" s="29"/>
      <c r="C499" s="29"/>
      <c r="D499" s="29"/>
      <c r="E499" s="241"/>
      <c r="F499" s="241"/>
      <c r="G499" s="241"/>
      <c r="H499" s="29"/>
      <c r="I499" s="257"/>
      <c r="J499" s="29"/>
      <c r="K499" s="32"/>
      <c r="L499" s="29"/>
      <c r="M499" s="29"/>
      <c r="N499" s="29"/>
    </row>
    <row r="500">
      <c r="A500" s="32"/>
      <c r="B500" s="29"/>
      <c r="C500" s="29"/>
      <c r="D500" s="29"/>
      <c r="E500" s="241"/>
      <c r="F500" s="241"/>
      <c r="G500" s="241"/>
      <c r="H500" s="29"/>
      <c r="I500" s="257"/>
      <c r="J500" s="29"/>
      <c r="K500" s="32"/>
      <c r="L500" s="29"/>
      <c r="M500" s="29"/>
      <c r="N500" s="29"/>
    </row>
    <row r="501">
      <c r="A501" s="32"/>
      <c r="B501" s="29"/>
      <c r="C501" s="29"/>
      <c r="D501" s="29"/>
      <c r="E501" s="241"/>
      <c r="F501" s="241"/>
      <c r="G501" s="241"/>
      <c r="H501" s="29"/>
      <c r="I501" s="257"/>
      <c r="J501" s="29"/>
      <c r="K501" s="32"/>
      <c r="L501" s="29"/>
      <c r="M501" s="29"/>
      <c r="N501" s="29"/>
    </row>
    <row r="502">
      <c r="A502" s="32"/>
      <c r="B502" s="29"/>
      <c r="C502" s="29"/>
      <c r="D502" s="29"/>
      <c r="E502" s="241"/>
      <c r="F502" s="241"/>
      <c r="G502" s="241"/>
      <c r="H502" s="29"/>
      <c r="I502" s="257"/>
      <c r="J502" s="29"/>
      <c r="K502" s="32"/>
      <c r="L502" s="29"/>
      <c r="M502" s="29"/>
      <c r="N502" s="29"/>
    </row>
    <row r="503">
      <c r="A503" s="32"/>
      <c r="B503" s="29"/>
      <c r="C503" s="29"/>
      <c r="D503" s="29"/>
      <c r="E503" s="241"/>
      <c r="F503" s="241"/>
      <c r="G503" s="241"/>
      <c r="H503" s="29"/>
      <c r="I503" s="257"/>
      <c r="J503" s="29"/>
      <c r="K503" s="32"/>
      <c r="L503" s="29"/>
      <c r="M503" s="29"/>
      <c r="N503" s="29"/>
    </row>
    <row r="504">
      <c r="A504" s="32"/>
      <c r="B504" s="29"/>
      <c r="C504" s="29"/>
      <c r="D504" s="29"/>
      <c r="E504" s="241"/>
      <c r="F504" s="241"/>
      <c r="G504" s="241"/>
      <c r="H504" s="29"/>
      <c r="I504" s="257"/>
      <c r="J504" s="29"/>
      <c r="K504" s="32"/>
      <c r="L504" s="29"/>
      <c r="M504" s="29"/>
      <c r="N504" s="29"/>
    </row>
    <row r="505">
      <c r="A505" s="32"/>
      <c r="B505" s="29"/>
      <c r="C505" s="29"/>
      <c r="D505" s="29"/>
      <c r="E505" s="241"/>
      <c r="F505" s="241"/>
      <c r="G505" s="241"/>
      <c r="H505" s="29"/>
      <c r="I505" s="257"/>
      <c r="J505" s="29"/>
      <c r="K505" s="32"/>
      <c r="L505" s="29"/>
      <c r="M505" s="29"/>
      <c r="N505" s="29"/>
    </row>
    <row r="506">
      <c r="A506" s="32"/>
      <c r="B506" s="29"/>
      <c r="C506" s="29"/>
      <c r="D506" s="29"/>
      <c r="E506" s="241"/>
      <c r="F506" s="241"/>
      <c r="G506" s="241"/>
      <c r="H506" s="29"/>
      <c r="I506" s="257"/>
      <c r="J506" s="29"/>
      <c r="K506" s="32"/>
      <c r="L506" s="29"/>
      <c r="M506" s="29"/>
      <c r="N506" s="29"/>
    </row>
    <row r="507">
      <c r="A507" s="32"/>
      <c r="B507" s="29"/>
      <c r="C507" s="29"/>
      <c r="D507" s="29"/>
      <c r="E507" s="241"/>
      <c r="F507" s="241"/>
      <c r="G507" s="241"/>
      <c r="H507" s="29"/>
      <c r="I507" s="257"/>
      <c r="J507" s="29"/>
      <c r="K507" s="32"/>
      <c r="L507" s="29"/>
      <c r="M507" s="29"/>
      <c r="N507" s="29"/>
    </row>
    <row r="508">
      <c r="A508" s="32"/>
      <c r="B508" s="29"/>
      <c r="C508" s="29"/>
      <c r="D508" s="29"/>
      <c r="E508" s="241"/>
      <c r="F508" s="241"/>
      <c r="G508" s="241"/>
      <c r="H508" s="29"/>
      <c r="I508" s="257"/>
      <c r="J508" s="29"/>
      <c r="K508" s="32"/>
      <c r="L508" s="29"/>
      <c r="M508" s="29"/>
      <c r="N508" s="29"/>
    </row>
    <row r="509">
      <c r="A509" s="32"/>
      <c r="B509" s="29"/>
      <c r="C509" s="29"/>
      <c r="D509" s="29"/>
      <c r="E509" s="241"/>
      <c r="F509" s="241"/>
      <c r="G509" s="241"/>
      <c r="H509" s="29"/>
      <c r="I509" s="257"/>
      <c r="J509" s="29"/>
      <c r="K509" s="32"/>
      <c r="L509" s="29"/>
      <c r="M509" s="29"/>
      <c r="N509" s="29"/>
    </row>
    <row r="510">
      <c r="A510" s="32"/>
      <c r="B510" s="29"/>
      <c r="C510" s="29"/>
      <c r="D510" s="29"/>
      <c r="E510" s="241"/>
      <c r="F510" s="241"/>
      <c r="G510" s="241"/>
      <c r="H510" s="29"/>
      <c r="I510" s="257"/>
      <c r="J510" s="29"/>
      <c r="K510" s="32"/>
      <c r="L510" s="29"/>
      <c r="M510" s="29"/>
      <c r="N510" s="29"/>
    </row>
    <row r="511">
      <c r="A511" s="32"/>
      <c r="B511" s="29"/>
      <c r="C511" s="29"/>
      <c r="D511" s="29"/>
      <c r="E511" s="241"/>
      <c r="F511" s="241"/>
      <c r="G511" s="241"/>
      <c r="H511" s="29"/>
      <c r="I511" s="257"/>
      <c r="J511" s="29"/>
      <c r="K511" s="32"/>
      <c r="L511" s="29"/>
      <c r="M511" s="29"/>
      <c r="N511" s="29"/>
    </row>
    <row r="512">
      <c r="A512" s="32"/>
      <c r="B512" s="29"/>
      <c r="C512" s="29"/>
      <c r="D512" s="29"/>
      <c r="E512" s="241"/>
      <c r="F512" s="241"/>
      <c r="G512" s="241"/>
      <c r="H512" s="29"/>
      <c r="I512" s="257"/>
      <c r="J512" s="29"/>
      <c r="K512" s="32"/>
      <c r="L512" s="29"/>
      <c r="M512" s="29"/>
      <c r="N512" s="29"/>
    </row>
    <row r="513">
      <c r="A513" s="32"/>
      <c r="B513" s="29"/>
      <c r="C513" s="29"/>
      <c r="D513" s="29"/>
      <c r="E513" s="241"/>
      <c r="F513" s="241"/>
      <c r="G513" s="241"/>
      <c r="H513" s="29"/>
      <c r="I513" s="257"/>
      <c r="J513" s="29"/>
      <c r="K513" s="32"/>
      <c r="L513" s="29"/>
      <c r="M513" s="29"/>
      <c r="N513" s="29"/>
    </row>
    <row r="514">
      <c r="A514" s="32"/>
      <c r="B514" s="29"/>
      <c r="C514" s="29"/>
      <c r="D514" s="29"/>
      <c r="E514" s="241"/>
      <c r="F514" s="241"/>
      <c r="G514" s="241"/>
      <c r="H514" s="29"/>
      <c r="I514" s="257"/>
      <c r="J514" s="29"/>
      <c r="K514" s="32"/>
      <c r="L514" s="29"/>
      <c r="M514" s="29"/>
      <c r="N514" s="29"/>
    </row>
    <row r="515">
      <c r="A515" s="32"/>
      <c r="B515" s="29"/>
      <c r="C515" s="29"/>
      <c r="D515" s="29"/>
      <c r="E515" s="241"/>
      <c r="F515" s="241"/>
      <c r="G515" s="241"/>
      <c r="H515" s="29"/>
      <c r="I515" s="257"/>
      <c r="J515" s="29"/>
      <c r="K515" s="32"/>
      <c r="L515" s="29"/>
      <c r="M515" s="29"/>
      <c r="N515" s="29"/>
    </row>
    <row r="516">
      <c r="A516" s="32"/>
      <c r="B516" s="29"/>
      <c r="C516" s="29"/>
      <c r="D516" s="29"/>
      <c r="E516" s="241"/>
      <c r="F516" s="241"/>
      <c r="G516" s="241"/>
      <c r="H516" s="29"/>
      <c r="I516" s="257"/>
      <c r="J516" s="29"/>
      <c r="K516" s="32"/>
      <c r="L516" s="29"/>
      <c r="M516" s="29"/>
      <c r="N516" s="29"/>
    </row>
    <row r="517">
      <c r="A517" s="32"/>
      <c r="B517" s="29"/>
      <c r="C517" s="29"/>
      <c r="D517" s="29"/>
      <c r="E517" s="241"/>
      <c r="F517" s="241"/>
      <c r="G517" s="241"/>
      <c r="H517" s="29"/>
      <c r="I517" s="257"/>
      <c r="J517" s="29"/>
      <c r="K517" s="32"/>
      <c r="L517" s="29"/>
      <c r="M517" s="29"/>
      <c r="N517" s="29"/>
    </row>
    <row r="518">
      <c r="A518" s="32"/>
      <c r="B518" s="29"/>
      <c r="C518" s="29"/>
      <c r="D518" s="29"/>
      <c r="E518" s="241"/>
      <c r="F518" s="241"/>
      <c r="G518" s="241"/>
      <c r="H518" s="29"/>
      <c r="I518" s="257"/>
      <c r="J518" s="29"/>
      <c r="K518" s="32"/>
      <c r="L518" s="29"/>
      <c r="M518" s="29"/>
      <c r="N518" s="29"/>
    </row>
    <row r="519">
      <c r="A519" s="32"/>
      <c r="B519" s="29"/>
      <c r="C519" s="29"/>
      <c r="D519" s="29"/>
      <c r="E519" s="241"/>
      <c r="F519" s="241"/>
      <c r="G519" s="241"/>
      <c r="H519" s="29"/>
      <c r="I519" s="257"/>
      <c r="J519" s="29"/>
      <c r="K519" s="32"/>
      <c r="L519" s="29"/>
      <c r="M519" s="29"/>
      <c r="N519" s="29"/>
    </row>
    <row r="520">
      <c r="A520" s="32"/>
      <c r="B520" s="29"/>
      <c r="C520" s="29"/>
      <c r="D520" s="29"/>
      <c r="E520" s="241"/>
      <c r="F520" s="241"/>
      <c r="G520" s="241"/>
      <c r="H520" s="29"/>
      <c r="I520" s="257"/>
      <c r="J520" s="29"/>
      <c r="K520" s="32"/>
      <c r="L520" s="29"/>
      <c r="M520" s="29"/>
      <c r="N520" s="29"/>
    </row>
    <row r="521">
      <c r="A521" s="32"/>
      <c r="B521" s="29"/>
      <c r="C521" s="29"/>
      <c r="D521" s="29"/>
      <c r="E521" s="241"/>
      <c r="F521" s="241"/>
      <c r="G521" s="241"/>
      <c r="H521" s="29"/>
      <c r="I521" s="257"/>
      <c r="J521" s="29"/>
      <c r="K521" s="32"/>
      <c r="L521" s="29"/>
      <c r="M521" s="29"/>
      <c r="N521" s="29"/>
    </row>
    <row r="522">
      <c r="A522" s="32"/>
      <c r="B522" s="29"/>
      <c r="C522" s="29"/>
      <c r="D522" s="29"/>
      <c r="E522" s="241"/>
      <c r="F522" s="241"/>
      <c r="G522" s="241"/>
      <c r="H522" s="29"/>
      <c r="I522" s="257"/>
      <c r="J522" s="29"/>
      <c r="K522" s="32"/>
      <c r="L522" s="29"/>
      <c r="M522" s="29"/>
      <c r="N522" s="29"/>
    </row>
    <row r="523">
      <c r="A523" s="32"/>
      <c r="B523" s="29"/>
      <c r="C523" s="29"/>
      <c r="D523" s="29"/>
      <c r="E523" s="241"/>
      <c r="F523" s="241"/>
      <c r="G523" s="241"/>
      <c r="H523" s="29"/>
      <c r="I523" s="257"/>
      <c r="J523" s="29"/>
      <c r="K523" s="32"/>
      <c r="L523" s="29"/>
      <c r="M523" s="29"/>
      <c r="N523" s="29"/>
    </row>
    <row r="524">
      <c r="A524" s="32"/>
      <c r="B524" s="29"/>
      <c r="C524" s="29"/>
      <c r="D524" s="29"/>
      <c r="E524" s="241"/>
      <c r="F524" s="241"/>
      <c r="G524" s="241"/>
      <c r="H524" s="29"/>
      <c r="I524" s="257"/>
      <c r="J524" s="29"/>
      <c r="K524" s="32"/>
      <c r="L524" s="29"/>
      <c r="M524" s="29"/>
      <c r="N524" s="29"/>
    </row>
    <row r="525">
      <c r="A525" s="32"/>
      <c r="B525" s="29"/>
      <c r="C525" s="29"/>
      <c r="D525" s="29"/>
      <c r="E525" s="241"/>
      <c r="F525" s="241"/>
      <c r="G525" s="241"/>
      <c r="H525" s="29"/>
      <c r="I525" s="257"/>
      <c r="J525" s="29"/>
      <c r="K525" s="32"/>
      <c r="L525" s="29"/>
      <c r="M525" s="29"/>
      <c r="N525" s="29"/>
    </row>
    <row r="526">
      <c r="A526" s="32"/>
      <c r="B526" s="29"/>
      <c r="C526" s="29"/>
      <c r="D526" s="29"/>
      <c r="E526" s="241"/>
      <c r="F526" s="241"/>
      <c r="G526" s="241"/>
      <c r="H526" s="29"/>
      <c r="I526" s="257"/>
      <c r="J526" s="29"/>
      <c r="K526" s="32"/>
      <c r="L526" s="29"/>
      <c r="M526" s="29"/>
      <c r="N526" s="29"/>
    </row>
    <row r="527">
      <c r="A527" s="32"/>
      <c r="B527" s="29"/>
      <c r="C527" s="29"/>
      <c r="D527" s="29"/>
      <c r="E527" s="241"/>
      <c r="F527" s="241"/>
      <c r="G527" s="241"/>
      <c r="H527" s="29"/>
      <c r="I527" s="257"/>
      <c r="J527" s="29"/>
      <c r="K527" s="32"/>
      <c r="L527" s="29"/>
      <c r="M527" s="29"/>
      <c r="N527" s="29"/>
    </row>
    <row r="528">
      <c r="A528" s="32"/>
      <c r="B528" s="29"/>
      <c r="C528" s="29"/>
      <c r="D528" s="29"/>
      <c r="E528" s="241"/>
      <c r="F528" s="241"/>
      <c r="G528" s="241"/>
      <c r="H528" s="29"/>
      <c r="I528" s="257"/>
      <c r="J528" s="29"/>
      <c r="K528" s="32"/>
      <c r="L528" s="29"/>
      <c r="M528" s="29"/>
      <c r="N528" s="29"/>
    </row>
    <row r="529">
      <c r="A529" s="32"/>
      <c r="B529" s="29"/>
      <c r="C529" s="29"/>
      <c r="D529" s="29"/>
      <c r="E529" s="241"/>
      <c r="F529" s="241"/>
      <c r="G529" s="241"/>
      <c r="H529" s="29"/>
      <c r="I529" s="257"/>
      <c r="J529" s="29"/>
      <c r="K529" s="32"/>
      <c r="L529" s="29"/>
      <c r="M529" s="29"/>
      <c r="N529" s="29"/>
    </row>
    <row r="530">
      <c r="A530" s="32"/>
      <c r="B530" s="29"/>
      <c r="C530" s="29"/>
      <c r="D530" s="29"/>
      <c r="E530" s="241"/>
      <c r="F530" s="241"/>
      <c r="G530" s="241"/>
      <c r="H530" s="29"/>
      <c r="I530" s="257"/>
      <c r="J530" s="29"/>
      <c r="K530" s="32"/>
      <c r="L530" s="29"/>
      <c r="M530" s="29"/>
      <c r="N530" s="29"/>
    </row>
    <row r="531">
      <c r="A531" s="32"/>
      <c r="B531" s="29"/>
      <c r="C531" s="29"/>
      <c r="D531" s="29"/>
      <c r="E531" s="241"/>
      <c r="F531" s="241"/>
      <c r="G531" s="241"/>
      <c r="H531" s="29"/>
      <c r="I531" s="257"/>
      <c r="J531" s="29"/>
      <c r="K531" s="32"/>
      <c r="L531" s="29"/>
      <c r="M531" s="29"/>
      <c r="N531" s="29"/>
    </row>
    <row r="532">
      <c r="A532" s="32"/>
      <c r="B532" s="29"/>
      <c r="C532" s="29"/>
      <c r="D532" s="29"/>
      <c r="E532" s="241"/>
      <c r="F532" s="241"/>
      <c r="G532" s="241"/>
      <c r="H532" s="29"/>
      <c r="I532" s="257"/>
      <c r="J532" s="29"/>
      <c r="K532" s="32"/>
      <c r="L532" s="29"/>
      <c r="M532" s="29"/>
      <c r="N532" s="29"/>
    </row>
    <row r="533">
      <c r="A533" s="32"/>
      <c r="B533" s="29"/>
      <c r="C533" s="29"/>
      <c r="D533" s="29"/>
      <c r="E533" s="241"/>
      <c r="F533" s="241"/>
      <c r="G533" s="241"/>
      <c r="H533" s="29"/>
      <c r="I533" s="257"/>
      <c r="J533" s="29"/>
      <c r="K533" s="32"/>
      <c r="L533" s="29"/>
      <c r="M533" s="29"/>
      <c r="N533" s="29"/>
    </row>
    <row r="534">
      <c r="A534" s="32"/>
      <c r="B534" s="29"/>
      <c r="C534" s="29"/>
      <c r="D534" s="29"/>
      <c r="E534" s="241"/>
      <c r="F534" s="241"/>
      <c r="G534" s="241"/>
      <c r="H534" s="29"/>
      <c r="I534" s="257"/>
      <c r="J534" s="29"/>
      <c r="K534" s="32"/>
      <c r="L534" s="29"/>
      <c r="M534" s="29"/>
      <c r="N534" s="29"/>
    </row>
    <row r="535">
      <c r="A535" s="32"/>
      <c r="B535" s="29"/>
      <c r="C535" s="29"/>
      <c r="D535" s="29"/>
      <c r="E535" s="241"/>
      <c r="F535" s="241"/>
      <c r="G535" s="241"/>
      <c r="H535" s="29"/>
      <c r="I535" s="257"/>
      <c r="J535" s="29"/>
      <c r="K535" s="32"/>
      <c r="L535" s="29"/>
      <c r="M535" s="29"/>
      <c r="N535" s="29"/>
    </row>
    <row r="536">
      <c r="A536" s="32"/>
      <c r="B536" s="29"/>
      <c r="C536" s="29"/>
      <c r="D536" s="29"/>
      <c r="E536" s="241"/>
      <c r="F536" s="241"/>
      <c r="G536" s="241"/>
      <c r="H536" s="29"/>
      <c r="I536" s="257"/>
      <c r="J536" s="29"/>
      <c r="K536" s="32"/>
      <c r="L536" s="29"/>
      <c r="M536" s="29"/>
      <c r="N536" s="29"/>
    </row>
    <row r="537">
      <c r="A537" s="32"/>
      <c r="B537" s="29"/>
      <c r="C537" s="29"/>
      <c r="D537" s="29"/>
      <c r="E537" s="241"/>
      <c r="F537" s="241"/>
      <c r="G537" s="241"/>
      <c r="H537" s="29"/>
      <c r="I537" s="257"/>
      <c r="J537" s="29"/>
      <c r="K537" s="32"/>
      <c r="L537" s="29"/>
      <c r="M537" s="29"/>
      <c r="N537" s="29"/>
    </row>
    <row r="538">
      <c r="A538" s="32"/>
      <c r="B538" s="29"/>
      <c r="C538" s="29"/>
      <c r="D538" s="29"/>
      <c r="E538" s="241"/>
      <c r="F538" s="241"/>
      <c r="G538" s="241"/>
      <c r="H538" s="29"/>
      <c r="I538" s="257"/>
      <c r="J538" s="29"/>
      <c r="K538" s="32"/>
      <c r="L538" s="29"/>
      <c r="M538" s="29"/>
      <c r="N538" s="29"/>
    </row>
    <row r="539">
      <c r="A539" s="32"/>
      <c r="B539" s="29"/>
      <c r="C539" s="29"/>
      <c r="D539" s="29"/>
      <c r="E539" s="241"/>
      <c r="F539" s="241"/>
      <c r="G539" s="241"/>
      <c r="H539" s="29"/>
      <c r="I539" s="257"/>
      <c r="J539" s="29"/>
      <c r="K539" s="32"/>
      <c r="L539" s="29"/>
      <c r="M539" s="29"/>
      <c r="N539" s="29"/>
    </row>
    <row r="540">
      <c r="A540" s="32"/>
      <c r="B540" s="29"/>
      <c r="C540" s="29"/>
      <c r="D540" s="29"/>
      <c r="E540" s="241"/>
      <c r="F540" s="241"/>
      <c r="G540" s="241"/>
      <c r="H540" s="29"/>
      <c r="I540" s="257"/>
      <c r="J540" s="29"/>
      <c r="K540" s="32"/>
      <c r="L540" s="29"/>
      <c r="M540" s="29"/>
      <c r="N540" s="29"/>
    </row>
    <row r="541">
      <c r="A541" s="32"/>
      <c r="B541" s="29"/>
      <c r="C541" s="29"/>
      <c r="D541" s="29"/>
      <c r="E541" s="241"/>
      <c r="F541" s="241"/>
      <c r="G541" s="241"/>
      <c r="H541" s="29"/>
      <c r="I541" s="257"/>
      <c r="J541" s="29"/>
      <c r="K541" s="32"/>
      <c r="L541" s="29"/>
      <c r="M541" s="29"/>
      <c r="N541" s="29"/>
    </row>
    <row r="542">
      <c r="A542" s="32"/>
      <c r="B542" s="29"/>
      <c r="C542" s="29"/>
      <c r="D542" s="29"/>
      <c r="E542" s="241"/>
      <c r="F542" s="241"/>
      <c r="G542" s="241"/>
      <c r="H542" s="29"/>
      <c r="I542" s="257"/>
      <c r="J542" s="29"/>
      <c r="K542" s="32"/>
      <c r="L542" s="29"/>
      <c r="M542" s="29"/>
      <c r="N542" s="29"/>
    </row>
    <row r="543">
      <c r="A543" s="32"/>
      <c r="B543" s="29"/>
      <c r="C543" s="29"/>
      <c r="D543" s="29"/>
      <c r="E543" s="241"/>
      <c r="F543" s="241"/>
      <c r="G543" s="241"/>
      <c r="H543" s="29"/>
      <c r="I543" s="257"/>
      <c r="J543" s="29"/>
      <c r="K543" s="32"/>
      <c r="L543" s="29"/>
      <c r="M543" s="29"/>
      <c r="N543" s="29"/>
    </row>
    <row r="544">
      <c r="A544" s="32"/>
      <c r="B544" s="29"/>
      <c r="C544" s="29"/>
      <c r="D544" s="29"/>
      <c r="E544" s="241"/>
      <c r="F544" s="241"/>
      <c r="G544" s="241"/>
      <c r="H544" s="29"/>
      <c r="I544" s="257"/>
      <c r="J544" s="29"/>
      <c r="K544" s="32"/>
      <c r="L544" s="29"/>
      <c r="M544" s="29"/>
      <c r="N544" s="29"/>
    </row>
    <row r="545">
      <c r="A545" s="32"/>
      <c r="B545" s="29"/>
      <c r="C545" s="29"/>
      <c r="D545" s="29"/>
      <c r="E545" s="241"/>
      <c r="F545" s="241"/>
      <c r="G545" s="241"/>
      <c r="H545" s="29"/>
      <c r="I545" s="257"/>
      <c r="J545" s="29"/>
      <c r="K545" s="32"/>
      <c r="L545" s="29"/>
      <c r="M545" s="29"/>
      <c r="N545" s="29"/>
    </row>
    <row r="546">
      <c r="A546" s="32"/>
      <c r="B546" s="29"/>
      <c r="C546" s="29"/>
      <c r="D546" s="29"/>
      <c r="E546" s="241"/>
      <c r="F546" s="241"/>
      <c r="G546" s="241"/>
      <c r="H546" s="29"/>
      <c r="I546" s="257"/>
      <c r="J546" s="29"/>
      <c r="K546" s="32"/>
      <c r="L546" s="29"/>
      <c r="M546" s="29"/>
      <c r="N546" s="29"/>
    </row>
    <row r="547">
      <c r="A547" s="32"/>
      <c r="B547" s="29"/>
      <c r="C547" s="29"/>
      <c r="D547" s="29"/>
      <c r="E547" s="241"/>
      <c r="F547" s="241"/>
      <c r="G547" s="241"/>
      <c r="H547" s="29"/>
      <c r="I547" s="257"/>
      <c r="J547" s="29"/>
      <c r="K547" s="32"/>
      <c r="L547" s="29"/>
      <c r="M547" s="29"/>
      <c r="N547" s="29"/>
    </row>
    <row r="548">
      <c r="A548" s="32"/>
      <c r="B548" s="29"/>
      <c r="C548" s="29"/>
      <c r="D548" s="29"/>
      <c r="E548" s="241"/>
      <c r="F548" s="241"/>
      <c r="G548" s="241"/>
      <c r="H548" s="29"/>
      <c r="I548" s="257"/>
      <c r="J548" s="29"/>
      <c r="K548" s="32"/>
      <c r="L548" s="29"/>
      <c r="M548" s="29"/>
      <c r="N548" s="29"/>
    </row>
    <row r="549">
      <c r="A549" s="32"/>
      <c r="B549" s="29"/>
      <c r="C549" s="29"/>
      <c r="D549" s="29"/>
      <c r="E549" s="241"/>
      <c r="F549" s="241"/>
      <c r="G549" s="241"/>
      <c r="H549" s="29"/>
      <c r="I549" s="257"/>
      <c r="J549" s="29"/>
      <c r="K549" s="32"/>
      <c r="L549" s="29"/>
      <c r="M549" s="29"/>
      <c r="N549" s="29"/>
    </row>
    <row r="550">
      <c r="A550" s="32"/>
      <c r="B550" s="29"/>
      <c r="C550" s="29"/>
      <c r="D550" s="29"/>
      <c r="E550" s="241"/>
      <c r="F550" s="241"/>
      <c r="G550" s="241"/>
      <c r="H550" s="29"/>
      <c r="I550" s="257"/>
      <c r="J550" s="29"/>
      <c r="K550" s="32"/>
      <c r="L550" s="29"/>
      <c r="M550" s="29"/>
      <c r="N550" s="29"/>
    </row>
    <row r="551">
      <c r="A551" s="32"/>
      <c r="B551" s="29"/>
      <c r="C551" s="29"/>
      <c r="D551" s="29"/>
      <c r="E551" s="241"/>
      <c r="F551" s="241"/>
      <c r="G551" s="241"/>
      <c r="H551" s="29"/>
      <c r="I551" s="257"/>
      <c r="J551" s="29"/>
      <c r="K551" s="32"/>
      <c r="L551" s="29"/>
      <c r="M551" s="29"/>
      <c r="N551" s="29"/>
    </row>
    <row r="552">
      <c r="A552" s="32"/>
      <c r="B552" s="29"/>
      <c r="C552" s="29"/>
      <c r="D552" s="29"/>
      <c r="E552" s="241"/>
      <c r="F552" s="241"/>
      <c r="G552" s="241"/>
      <c r="H552" s="29"/>
      <c r="I552" s="257"/>
      <c r="J552" s="29"/>
      <c r="K552" s="32"/>
      <c r="L552" s="29"/>
      <c r="M552" s="29"/>
      <c r="N552" s="29"/>
    </row>
    <row r="553">
      <c r="A553" s="32"/>
      <c r="B553" s="29"/>
      <c r="C553" s="29"/>
      <c r="D553" s="29"/>
      <c r="E553" s="241"/>
      <c r="F553" s="241"/>
      <c r="G553" s="241"/>
      <c r="H553" s="29"/>
      <c r="I553" s="257"/>
      <c r="J553" s="29"/>
      <c r="K553" s="32"/>
      <c r="L553" s="29"/>
      <c r="M553" s="29"/>
      <c r="N553" s="29"/>
    </row>
    <row r="554">
      <c r="A554" s="32"/>
      <c r="B554" s="29"/>
      <c r="C554" s="29"/>
      <c r="D554" s="29"/>
      <c r="E554" s="241"/>
      <c r="F554" s="241"/>
      <c r="G554" s="241"/>
      <c r="H554" s="29"/>
      <c r="I554" s="257"/>
      <c r="J554" s="29"/>
      <c r="K554" s="32"/>
      <c r="L554" s="29"/>
      <c r="M554" s="29"/>
      <c r="N554" s="29"/>
    </row>
    <row r="555">
      <c r="A555" s="32"/>
      <c r="B555" s="29"/>
      <c r="C555" s="29"/>
      <c r="D555" s="29"/>
      <c r="E555" s="241"/>
      <c r="F555" s="241"/>
      <c r="G555" s="241"/>
      <c r="H555" s="29"/>
      <c r="I555" s="257"/>
      <c r="J555" s="29"/>
      <c r="K555" s="32"/>
      <c r="L555" s="29"/>
      <c r="M555" s="29"/>
      <c r="N555" s="29"/>
    </row>
    <row r="556">
      <c r="A556" s="32"/>
      <c r="B556" s="29"/>
      <c r="C556" s="29"/>
      <c r="D556" s="29"/>
      <c r="E556" s="241"/>
      <c r="F556" s="241"/>
      <c r="G556" s="241"/>
      <c r="H556" s="29"/>
      <c r="I556" s="257"/>
      <c r="J556" s="29"/>
      <c r="K556" s="32"/>
      <c r="L556" s="29"/>
      <c r="M556" s="29"/>
      <c r="N556" s="29"/>
    </row>
    <row r="557">
      <c r="A557" s="32"/>
      <c r="B557" s="29"/>
      <c r="C557" s="29"/>
      <c r="D557" s="29"/>
      <c r="E557" s="241"/>
      <c r="F557" s="241"/>
      <c r="G557" s="241"/>
      <c r="H557" s="29"/>
      <c r="I557" s="257"/>
      <c r="J557" s="29"/>
      <c r="K557" s="32"/>
      <c r="L557" s="29"/>
      <c r="M557" s="29"/>
      <c r="N557" s="29"/>
    </row>
    <row r="558">
      <c r="A558" s="32"/>
      <c r="B558" s="29"/>
      <c r="C558" s="29"/>
      <c r="D558" s="29"/>
      <c r="E558" s="241"/>
      <c r="F558" s="241"/>
      <c r="G558" s="241"/>
      <c r="H558" s="29"/>
      <c r="I558" s="257"/>
      <c r="J558" s="29"/>
      <c r="K558" s="32"/>
      <c r="L558" s="29"/>
      <c r="M558" s="29"/>
      <c r="N558" s="29"/>
    </row>
    <row r="559">
      <c r="A559" s="32"/>
      <c r="B559" s="29"/>
      <c r="C559" s="29"/>
      <c r="D559" s="29"/>
      <c r="E559" s="241"/>
      <c r="F559" s="241"/>
      <c r="G559" s="241"/>
      <c r="H559" s="29"/>
      <c r="I559" s="257"/>
      <c r="J559" s="29"/>
      <c r="K559" s="32"/>
      <c r="L559" s="29"/>
      <c r="M559" s="29"/>
      <c r="N559" s="29"/>
    </row>
    <row r="560">
      <c r="A560" s="32"/>
      <c r="B560" s="29"/>
      <c r="C560" s="29"/>
      <c r="D560" s="29"/>
      <c r="E560" s="241"/>
      <c r="F560" s="241"/>
      <c r="G560" s="241"/>
      <c r="H560" s="29"/>
      <c r="I560" s="257"/>
      <c r="J560" s="29"/>
      <c r="K560" s="32"/>
      <c r="L560" s="29"/>
      <c r="M560" s="29"/>
      <c r="N560" s="29"/>
    </row>
    <row r="561">
      <c r="A561" s="32"/>
      <c r="B561" s="29"/>
      <c r="C561" s="29"/>
      <c r="D561" s="29"/>
      <c r="E561" s="241"/>
      <c r="F561" s="241"/>
      <c r="G561" s="241"/>
      <c r="H561" s="29"/>
      <c r="I561" s="257"/>
      <c r="J561" s="29"/>
      <c r="K561" s="32"/>
      <c r="L561" s="29"/>
      <c r="M561" s="29"/>
      <c r="N561" s="29"/>
    </row>
    <row r="562">
      <c r="A562" s="32"/>
      <c r="B562" s="29"/>
      <c r="C562" s="29"/>
      <c r="D562" s="29"/>
      <c r="E562" s="241"/>
      <c r="F562" s="241"/>
      <c r="G562" s="241"/>
      <c r="H562" s="29"/>
      <c r="I562" s="257"/>
      <c r="J562" s="29"/>
      <c r="K562" s="32"/>
      <c r="L562" s="29"/>
      <c r="M562" s="29"/>
      <c r="N562" s="29"/>
    </row>
    <row r="563">
      <c r="A563" s="32"/>
      <c r="B563" s="29"/>
      <c r="C563" s="29"/>
      <c r="D563" s="29"/>
      <c r="E563" s="241"/>
      <c r="F563" s="241"/>
      <c r="G563" s="241"/>
      <c r="H563" s="29"/>
      <c r="I563" s="257"/>
      <c r="J563" s="29"/>
      <c r="K563" s="32"/>
      <c r="L563" s="29"/>
      <c r="M563" s="29"/>
      <c r="N563" s="29"/>
    </row>
    <row r="564">
      <c r="A564" s="32"/>
      <c r="B564" s="29"/>
      <c r="C564" s="29"/>
      <c r="D564" s="29"/>
      <c r="E564" s="241"/>
      <c r="F564" s="241"/>
      <c r="G564" s="241"/>
      <c r="H564" s="29"/>
      <c r="I564" s="257"/>
      <c r="J564" s="29"/>
      <c r="K564" s="32"/>
      <c r="L564" s="29"/>
      <c r="M564" s="29"/>
      <c r="N564" s="29"/>
    </row>
    <row r="565">
      <c r="A565" s="32"/>
      <c r="B565" s="29"/>
      <c r="C565" s="29"/>
      <c r="D565" s="29"/>
      <c r="E565" s="241"/>
      <c r="F565" s="241"/>
      <c r="G565" s="241"/>
      <c r="H565" s="29"/>
      <c r="I565" s="257"/>
      <c r="J565" s="29"/>
      <c r="K565" s="32"/>
      <c r="L565" s="29"/>
      <c r="M565" s="29"/>
      <c r="N565" s="29"/>
    </row>
    <row r="566">
      <c r="A566" s="32"/>
      <c r="B566" s="29"/>
      <c r="C566" s="29"/>
      <c r="D566" s="29"/>
      <c r="E566" s="241"/>
      <c r="F566" s="241"/>
      <c r="G566" s="241"/>
      <c r="H566" s="29"/>
      <c r="I566" s="257"/>
      <c r="J566" s="29"/>
      <c r="K566" s="32"/>
      <c r="L566" s="29"/>
      <c r="M566" s="29"/>
      <c r="N566" s="29"/>
    </row>
    <row r="567">
      <c r="A567" s="32"/>
      <c r="B567" s="29"/>
      <c r="C567" s="29"/>
      <c r="D567" s="29"/>
      <c r="E567" s="241"/>
      <c r="F567" s="241"/>
      <c r="G567" s="241"/>
      <c r="H567" s="29"/>
      <c r="I567" s="257"/>
      <c r="J567" s="29"/>
      <c r="K567" s="32"/>
      <c r="L567" s="29"/>
      <c r="M567" s="29"/>
      <c r="N567" s="29"/>
    </row>
    <row r="568">
      <c r="A568" s="32"/>
      <c r="B568" s="29"/>
      <c r="C568" s="29"/>
      <c r="D568" s="29"/>
      <c r="E568" s="241"/>
      <c r="F568" s="241"/>
      <c r="G568" s="241"/>
      <c r="H568" s="29"/>
      <c r="I568" s="257"/>
      <c r="J568" s="29"/>
      <c r="K568" s="32"/>
      <c r="L568" s="29"/>
      <c r="M568" s="29"/>
      <c r="N568" s="29"/>
    </row>
    <row r="569">
      <c r="A569" s="32"/>
      <c r="B569" s="29"/>
      <c r="C569" s="29"/>
      <c r="D569" s="29"/>
      <c r="E569" s="241"/>
      <c r="F569" s="241"/>
      <c r="G569" s="241"/>
      <c r="H569" s="29"/>
      <c r="I569" s="257"/>
      <c r="J569" s="29"/>
      <c r="K569" s="32"/>
      <c r="L569" s="29"/>
      <c r="M569" s="29"/>
      <c r="N569" s="29"/>
    </row>
    <row r="570">
      <c r="A570" s="32"/>
      <c r="B570" s="29"/>
      <c r="C570" s="29"/>
      <c r="D570" s="29"/>
      <c r="E570" s="241"/>
      <c r="F570" s="241"/>
      <c r="G570" s="241"/>
      <c r="H570" s="29"/>
      <c r="I570" s="257"/>
      <c r="J570" s="29"/>
      <c r="K570" s="32"/>
      <c r="L570" s="29"/>
      <c r="M570" s="29"/>
      <c r="N570" s="29"/>
    </row>
    <row r="571">
      <c r="A571" s="32"/>
      <c r="B571" s="29"/>
      <c r="C571" s="29"/>
      <c r="D571" s="29"/>
      <c r="E571" s="241"/>
      <c r="F571" s="241"/>
      <c r="G571" s="241"/>
      <c r="H571" s="29"/>
      <c r="I571" s="257"/>
      <c r="J571" s="29"/>
      <c r="K571" s="32"/>
      <c r="L571" s="29"/>
      <c r="M571" s="29"/>
      <c r="N571" s="29"/>
    </row>
    <row r="572">
      <c r="A572" s="32"/>
      <c r="B572" s="29"/>
      <c r="C572" s="29"/>
      <c r="D572" s="29"/>
      <c r="E572" s="241"/>
      <c r="F572" s="241"/>
      <c r="G572" s="241"/>
      <c r="H572" s="29"/>
      <c r="I572" s="257"/>
      <c r="J572" s="29"/>
      <c r="K572" s="32"/>
      <c r="L572" s="29"/>
      <c r="M572" s="29"/>
      <c r="N572" s="29"/>
    </row>
    <row r="573">
      <c r="A573" s="32"/>
      <c r="B573" s="29"/>
      <c r="C573" s="29"/>
      <c r="D573" s="29"/>
      <c r="E573" s="241"/>
      <c r="F573" s="241"/>
      <c r="G573" s="241"/>
      <c r="H573" s="29"/>
      <c r="I573" s="257"/>
      <c r="J573" s="29"/>
      <c r="K573" s="32"/>
      <c r="L573" s="29"/>
      <c r="M573" s="29"/>
      <c r="N573" s="29"/>
    </row>
    <row r="574">
      <c r="A574" s="32"/>
      <c r="B574" s="29"/>
      <c r="C574" s="29"/>
      <c r="D574" s="29"/>
      <c r="E574" s="241"/>
      <c r="F574" s="241"/>
      <c r="G574" s="241"/>
      <c r="H574" s="29"/>
      <c r="I574" s="257"/>
      <c r="J574" s="29"/>
      <c r="K574" s="32"/>
      <c r="L574" s="29"/>
      <c r="M574" s="29"/>
      <c r="N574" s="29"/>
    </row>
    <row r="575">
      <c r="A575" s="32"/>
      <c r="B575" s="29"/>
      <c r="C575" s="29"/>
      <c r="D575" s="29"/>
      <c r="E575" s="241"/>
      <c r="F575" s="241"/>
      <c r="G575" s="241"/>
      <c r="H575" s="29"/>
      <c r="I575" s="257"/>
      <c r="J575" s="29"/>
      <c r="K575" s="32"/>
      <c r="L575" s="29"/>
      <c r="M575" s="29"/>
      <c r="N575" s="29"/>
    </row>
    <row r="576">
      <c r="A576" s="32"/>
      <c r="B576" s="29"/>
      <c r="C576" s="29"/>
      <c r="D576" s="29"/>
      <c r="E576" s="241"/>
      <c r="F576" s="241"/>
      <c r="G576" s="241"/>
      <c r="H576" s="29"/>
      <c r="I576" s="257"/>
      <c r="J576" s="29"/>
      <c r="K576" s="32"/>
      <c r="L576" s="29"/>
      <c r="M576" s="29"/>
      <c r="N576" s="29"/>
    </row>
    <row r="577">
      <c r="A577" s="32"/>
      <c r="B577" s="29"/>
      <c r="C577" s="29"/>
      <c r="D577" s="29"/>
      <c r="E577" s="241"/>
      <c r="F577" s="241"/>
      <c r="G577" s="241"/>
      <c r="H577" s="29"/>
      <c r="I577" s="257"/>
      <c r="J577" s="29"/>
      <c r="K577" s="32"/>
      <c r="L577" s="29"/>
      <c r="M577" s="29"/>
      <c r="N577" s="29"/>
    </row>
    <row r="578">
      <c r="A578" s="32"/>
      <c r="B578" s="29"/>
      <c r="C578" s="29"/>
      <c r="D578" s="29"/>
      <c r="E578" s="241"/>
      <c r="F578" s="241"/>
      <c r="G578" s="241"/>
      <c r="H578" s="29"/>
      <c r="I578" s="257"/>
      <c r="J578" s="29"/>
      <c r="K578" s="32"/>
      <c r="L578" s="29"/>
      <c r="M578" s="29"/>
      <c r="N578" s="29"/>
    </row>
    <row r="579">
      <c r="A579" s="32"/>
      <c r="B579" s="29"/>
      <c r="C579" s="29"/>
      <c r="D579" s="29"/>
      <c r="E579" s="241"/>
      <c r="F579" s="241"/>
      <c r="G579" s="241"/>
      <c r="H579" s="29"/>
      <c r="I579" s="257"/>
      <c r="J579" s="29"/>
      <c r="K579" s="32"/>
      <c r="L579" s="29"/>
      <c r="M579" s="29"/>
      <c r="N579" s="29"/>
    </row>
    <row r="580">
      <c r="A580" s="32"/>
      <c r="B580" s="29"/>
      <c r="C580" s="29"/>
      <c r="D580" s="29"/>
      <c r="E580" s="241"/>
      <c r="F580" s="241"/>
      <c r="G580" s="241"/>
      <c r="H580" s="29"/>
      <c r="I580" s="257"/>
      <c r="J580" s="29"/>
      <c r="K580" s="32"/>
      <c r="L580" s="29"/>
      <c r="M580" s="29"/>
      <c r="N580" s="29"/>
    </row>
    <row r="581">
      <c r="A581" s="32"/>
      <c r="B581" s="29"/>
      <c r="C581" s="29"/>
      <c r="D581" s="29"/>
      <c r="E581" s="241"/>
      <c r="F581" s="241"/>
      <c r="G581" s="241"/>
      <c r="H581" s="29"/>
      <c r="I581" s="257"/>
      <c r="J581" s="29"/>
      <c r="K581" s="32"/>
      <c r="L581" s="29"/>
      <c r="M581" s="29"/>
      <c r="N581" s="29"/>
    </row>
    <row r="582">
      <c r="A582" s="32"/>
      <c r="B582" s="29"/>
      <c r="C582" s="29"/>
      <c r="D582" s="29"/>
      <c r="E582" s="241"/>
      <c r="F582" s="241"/>
      <c r="G582" s="241"/>
      <c r="H582" s="29"/>
      <c r="I582" s="257"/>
      <c r="J582" s="29"/>
      <c r="K582" s="32"/>
      <c r="L582" s="29"/>
      <c r="M582" s="29"/>
      <c r="N582" s="29"/>
    </row>
    <row r="583">
      <c r="A583" s="32"/>
      <c r="B583" s="29"/>
      <c r="C583" s="29"/>
      <c r="D583" s="29"/>
      <c r="E583" s="241"/>
      <c r="F583" s="241"/>
      <c r="G583" s="241"/>
      <c r="H583" s="29"/>
      <c r="I583" s="257"/>
      <c r="J583" s="29"/>
      <c r="K583" s="32"/>
      <c r="L583" s="29"/>
      <c r="M583" s="29"/>
      <c r="N583" s="29"/>
    </row>
    <row r="584">
      <c r="A584" s="32"/>
      <c r="B584" s="29"/>
      <c r="C584" s="29"/>
      <c r="D584" s="29"/>
      <c r="E584" s="241"/>
      <c r="F584" s="241"/>
      <c r="G584" s="241"/>
      <c r="H584" s="29"/>
      <c r="I584" s="257"/>
      <c r="J584" s="29"/>
      <c r="K584" s="32"/>
      <c r="L584" s="29"/>
      <c r="M584" s="29"/>
      <c r="N584" s="29"/>
    </row>
    <row r="585">
      <c r="A585" s="32"/>
      <c r="B585" s="29"/>
      <c r="C585" s="29"/>
      <c r="D585" s="29"/>
      <c r="E585" s="241"/>
      <c r="F585" s="241"/>
      <c r="G585" s="241"/>
      <c r="H585" s="29"/>
      <c r="I585" s="257"/>
      <c r="J585" s="29"/>
      <c r="K585" s="32"/>
      <c r="L585" s="29"/>
      <c r="M585" s="29"/>
      <c r="N585" s="29"/>
    </row>
    <row r="586">
      <c r="A586" s="32"/>
      <c r="B586" s="29"/>
      <c r="C586" s="29"/>
      <c r="D586" s="29"/>
      <c r="E586" s="241"/>
      <c r="F586" s="241"/>
      <c r="G586" s="241"/>
      <c r="H586" s="29"/>
      <c r="I586" s="257"/>
      <c r="J586" s="29"/>
      <c r="K586" s="32"/>
      <c r="L586" s="29"/>
      <c r="M586" s="29"/>
      <c r="N586" s="29"/>
    </row>
    <row r="587">
      <c r="A587" s="32"/>
      <c r="B587" s="29"/>
      <c r="C587" s="29"/>
      <c r="D587" s="29"/>
      <c r="E587" s="241"/>
      <c r="F587" s="241"/>
      <c r="G587" s="241"/>
      <c r="H587" s="29"/>
      <c r="I587" s="257"/>
      <c r="J587" s="29"/>
      <c r="K587" s="32"/>
      <c r="L587" s="29"/>
      <c r="M587" s="29"/>
      <c r="N587" s="29"/>
    </row>
    <row r="588">
      <c r="A588" s="32"/>
      <c r="B588" s="29"/>
      <c r="C588" s="29"/>
      <c r="D588" s="29"/>
      <c r="E588" s="241"/>
      <c r="F588" s="241"/>
      <c r="G588" s="241"/>
      <c r="H588" s="29"/>
      <c r="I588" s="257"/>
      <c r="J588" s="29"/>
      <c r="K588" s="32"/>
      <c r="L588" s="29"/>
      <c r="M588" s="29"/>
      <c r="N588" s="29"/>
    </row>
    <row r="589">
      <c r="A589" s="32"/>
      <c r="B589" s="29"/>
      <c r="C589" s="29"/>
      <c r="D589" s="29"/>
      <c r="E589" s="241"/>
      <c r="F589" s="241"/>
      <c r="G589" s="241"/>
      <c r="H589" s="29"/>
      <c r="I589" s="257"/>
      <c r="J589" s="29"/>
      <c r="K589" s="32"/>
      <c r="L589" s="29"/>
      <c r="M589" s="29"/>
      <c r="N589" s="29"/>
    </row>
    <row r="590">
      <c r="A590" s="32"/>
      <c r="B590" s="29"/>
      <c r="C590" s="29"/>
      <c r="D590" s="29"/>
      <c r="E590" s="241"/>
      <c r="F590" s="241"/>
      <c r="G590" s="241"/>
      <c r="H590" s="29"/>
      <c r="I590" s="257"/>
      <c r="J590" s="29"/>
      <c r="K590" s="32"/>
      <c r="L590" s="29"/>
      <c r="M590" s="29"/>
      <c r="N590" s="29"/>
    </row>
    <row r="591">
      <c r="A591" s="32"/>
      <c r="B591" s="29"/>
      <c r="C591" s="29"/>
      <c r="D591" s="29"/>
      <c r="E591" s="241"/>
      <c r="F591" s="241"/>
      <c r="G591" s="241"/>
      <c r="H591" s="29"/>
      <c r="I591" s="257"/>
      <c r="J591" s="29"/>
      <c r="K591" s="32"/>
      <c r="L591" s="29"/>
      <c r="M591" s="29"/>
      <c r="N591" s="29"/>
    </row>
    <row r="592">
      <c r="A592" s="32"/>
      <c r="B592" s="29"/>
      <c r="C592" s="29"/>
      <c r="D592" s="29"/>
      <c r="E592" s="241"/>
      <c r="F592" s="241"/>
      <c r="G592" s="241"/>
      <c r="H592" s="29"/>
      <c r="I592" s="257"/>
      <c r="J592" s="29"/>
      <c r="K592" s="32"/>
      <c r="L592" s="29"/>
      <c r="M592" s="29"/>
      <c r="N592" s="29"/>
    </row>
    <row r="593">
      <c r="A593" s="32"/>
      <c r="B593" s="29"/>
      <c r="C593" s="29"/>
      <c r="D593" s="29"/>
      <c r="E593" s="241"/>
      <c r="F593" s="241"/>
      <c r="G593" s="241"/>
      <c r="H593" s="29"/>
      <c r="I593" s="257"/>
      <c r="J593" s="29"/>
      <c r="K593" s="32"/>
      <c r="L593" s="29"/>
      <c r="M593" s="29"/>
      <c r="N593" s="29"/>
    </row>
    <row r="594">
      <c r="A594" s="32"/>
      <c r="B594" s="29"/>
      <c r="C594" s="29"/>
      <c r="D594" s="29"/>
      <c r="E594" s="241"/>
      <c r="F594" s="241"/>
      <c r="G594" s="241"/>
      <c r="H594" s="29"/>
      <c r="I594" s="257"/>
      <c r="J594" s="29"/>
      <c r="K594" s="32"/>
      <c r="L594" s="29"/>
      <c r="M594" s="29"/>
      <c r="N594" s="29"/>
    </row>
    <row r="595">
      <c r="A595" s="32"/>
      <c r="B595" s="29"/>
      <c r="C595" s="29"/>
      <c r="D595" s="29"/>
      <c r="E595" s="241"/>
      <c r="F595" s="241"/>
      <c r="G595" s="241"/>
      <c r="H595" s="29"/>
      <c r="I595" s="257"/>
      <c r="J595" s="29"/>
      <c r="K595" s="32"/>
      <c r="L595" s="29"/>
      <c r="M595" s="29"/>
      <c r="N595" s="29"/>
    </row>
    <row r="596">
      <c r="A596" s="32"/>
      <c r="B596" s="29"/>
      <c r="C596" s="29"/>
      <c r="D596" s="29"/>
      <c r="E596" s="241"/>
      <c r="F596" s="241"/>
      <c r="G596" s="241"/>
      <c r="H596" s="29"/>
      <c r="I596" s="257"/>
      <c r="J596" s="29"/>
      <c r="K596" s="32"/>
      <c r="L596" s="29"/>
      <c r="M596" s="29"/>
      <c r="N596" s="29"/>
    </row>
    <row r="597">
      <c r="A597" s="32"/>
      <c r="B597" s="29"/>
      <c r="C597" s="29"/>
      <c r="D597" s="29"/>
      <c r="E597" s="241"/>
      <c r="F597" s="241"/>
      <c r="G597" s="241"/>
      <c r="H597" s="29"/>
      <c r="I597" s="257"/>
      <c r="J597" s="29"/>
      <c r="K597" s="32"/>
      <c r="L597" s="29"/>
      <c r="M597" s="29"/>
      <c r="N597" s="29"/>
    </row>
    <row r="598">
      <c r="A598" s="32"/>
      <c r="B598" s="29"/>
      <c r="C598" s="29"/>
      <c r="D598" s="29"/>
      <c r="E598" s="241"/>
      <c r="F598" s="241"/>
      <c r="G598" s="241"/>
      <c r="H598" s="29"/>
      <c r="I598" s="257"/>
      <c r="J598" s="29"/>
      <c r="K598" s="32"/>
      <c r="L598" s="29"/>
      <c r="M598" s="29"/>
      <c r="N598" s="29"/>
    </row>
    <row r="599">
      <c r="A599" s="32"/>
      <c r="B599" s="29"/>
      <c r="C599" s="29"/>
      <c r="D599" s="29"/>
      <c r="E599" s="241"/>
      <c r="F599" s="241"/>
      <c r="G599" s="241"/>
      <c r="H599" s="29"/>
      <c r="I599" s="257"/>
      <c r="J599" s="29"/>
      <c r="K599" s="32"/>
      <c r="L599" s="29"/>
      <c r="M599" s="29"/>
      <c r="N599" s="29"/>
    </row>
    <row r="600">
      <c r="A600" s="32"/>
      <c r="B600" s="29"/>
      <c r="C600" s="29"/>
      <c r="D600" s="29"/>
      <c r="E600" s="241"/>
      <c r="F600" s="241"/>
      <c r="G600" s="241"/>
      <c r="H600" s="29"/>
      <c r="I600" s="257"/>
      <c r="J600" s="29"/>
      <c r="K600" s="32"/>
      <c r="L600" s="29"/>
      <c r="M600" s="29"/>
      <c r="N600" s="29"/>
    </row>
    <row r="601">
      <c r="A601" s="32"/>
      <c r="B601" s="29"/>
      <c r="C601" s="29"/>
      <c r="D601" s="29"/>
      <c r="E601" s="241"/>
      <c r="F601" s="241"/>
      <c r="G601" s="241"/>
      <c r="H601" s="29"/>
      <c r="I601" s="257"/>
      <c r="J601" s="29"/>
      <c r="K601" s="32"/>
      <c r="L601" s="29"/>
      <c r="M601" s="29"/>
      <c r="N601" s="29"/>
    </row>
    <row r="602">
      <c r="A602" s="32"/>
      <c r="B602" s="29"/>
      <c r="C602" s="29"/>
      <c r="D602" s="29"/>
      <c r="E602" s="241"/>
      <c r="F602" s="241"/>
      <c r="G602" s="241"/>
      <c r="H602" s="29"/>
      <c r="I602" s="257"/>
      <c r="J602" s="29"/>
      <c r="K602" s="32"/>
      <c r="L602" s="29"/>
      <c r="M602" s="29"/>
      <c r="N602" s="29"/>
    </row>
    <row r="603">
      <c r="A603" s="32"/>
      <c r="B603" s="29"/>
      <c r="C603" s="29"/>
      <c r="D603" s="29"/>
      <c r="E603" s="241"/>
      <c r="F603" s="241"/>
      <c r="G603" s="241"/>
      <c r="H603" s="29"/>
      <c r="I603" s="257"/>
      <c r="J603" s="29"/>
      <c r="K603" s="32"/>
      <c r="L603" s="29"/>
      <c r="M603" s="29"/>
      <c r="N603" s="29"/>
    </row>
    <row r="604">
      <c r="A604" s="32"/>
      <c r="B604" s="29"/>
      <c r="C604" s="29"/>
      <c r="D604" s="29"/>
      <c r="E604" s="241"/>
      <c r="F604" s="241"/>
      <c r="G604" s="241"/>
      <c r="H604" s="29"/>
      <c r="I604" s="257"/>
      <c r="J604" s="29"/>
      <c r="K604" s="32"/>
      <c r="L604" s="29"/>
      <c r="M604" s="29"/>
      <c r="N604" s="29"/>
    </row>
    <row r="605">
      <c r="A605" s="32"/>
      <c r="B605" s="29"/>
      <c r="C605" s="29"/>
      <c r="D605" s="29"/>
      <c r="E605" s="241"/>
      <c r="F605" s="241"/>
      <c r="G605" s="241"/>
      <c r="H605" s="29"/>
      <c r="I605" s="257"/>
      <c r="J605" s="29"/>
      <c r="K605" s="32"/>
      <c r="L605" s="29"/>
      <c r="M605" s="29"/>
      <c r="N605" s="29"/>
    </row>
    <row r="606">
      <c r="A606" s="32"/>
      <c r="B606" s="29"/>
      <c r="C606" s="29"/>
      <c r="D606" s="29"/>
      <c r="E606" s="241"/>
      <c r="F606" s="241"/>
      <c r="G606" s="241"/>
      <c r="H606" s="29"/>
      <c r="I606" s="257"/>
      <c r="J606" s="29"/>
      <c r="K606" s="32"/>
      <c r="L606" s="29"/>
      <c r="M606" s="29"/>
      <c r="N606" s="29"/>
    </row>
    <row r="607">
      <c r="A607" s="32"/>
      <c r="B607" s="29"/>
      <c r="C607" s="29"/>
      <c r="D607" s="29"/>
      <c r="E607" s="241"/>
      <c r="F607" s="241"/>
      <c r="G607" s="241"/>
      <c r="H607" s="29"/>
      <c r="I607" s="257"/>
      <c r="J607" s="29"/>
      <c r="K607" s="32"/>
      <c r="L607" s="29"/>
      <c r="M607" s="29"/>
      <c r="N607" s="29"/>
    </row>
    <row r="608">
      <c r="A608" s="32"/>
      <c r="B608" s="29"/>
      <c r="C608" s="29"/>
      <c r="D608" s="29"/>
      <c r="E608" s="241"/>
      <c r="F608" s="241"/>
      <c r="G608" s="241"/>
      <c r="H608" s="29"/>
      <c r="I608" s="257"/>
      <c r="J608" s="29"/>
      <c r="K608" s="32"/>
      <c r="L608" s="29"/>
      <c r="M608" s="29"/>
      <c r="N608" s="29"/>
    </row>
    <row r="609">
      <c r="A609" s="32"/>
      <c r="B609" s="29"/>
      <c r="C609" s="29"/>
      <c r="D609" s="29"/>
      <c r="E609" s="241"/>
      <c r="F609" s="241"/>
      <c r="G609" s="241"/>
      <c r="H609" s="29"/>
      <c r="I609" s="257"/>
      <c r="J609" s="29"/>
      <c r="K609" s="32"/>
      <c r="L609" s="29"/>
      <c r="M609" s="29"/>
      <c r="N609" s="29"/>
    </row>
    <row r="610">
      <c r="A610" s="32"/>
      <c r="B610" s="29"/>
      <c r="C610" s="29"/>
      <c r="D610" s="29"/>
      <c r="E610" s="241"/>
      <c r="F610" s="241"/>
      <c r="G610" s="241"/>
      <c r="H610" s="29"/>
      <c r="I610" s="257"/>
      <c r="J610" s="29"/>
      <c r="K610" s="32"/>
      <c r="L610" s="29"/>
      <c r="M610" s="29"/>
      <c r="N610" s="29"/>
    </row>
    <row r="611">
      <c r="A611" s="32"/>
      <c r="B611" s="29"/>
      <c r="C611" s="29"/>
      <c r="D611" s="29"/>
      <c r="E611" s="241"/>
      <c r="F611" s="241"/>
      <c r="G611" s="241"/>
      <c r="H611" s="29"/>
      <c r="I611" s="257"/>
      <c r="J611" s="29"/>
      <c r="K611" s="32"/>
      <c r="L611" s="29"/>
      <c r="M611" s="29"/>
      <c r="N611" s="29"/>
    </row>
    <row r="612">
      <c r="A612" s="32"/>
      <c r="B612" s="29"/>
      <c r="C612" s="29"/>
      <c r="D612" s="29"/>
      <c r="E612" s="241"/>
      <c r="F612" s="241"/>
      <c r="G612" s="241"/>
      <c r="H612" s="29"/>
      <c r="I612" s="257"/>
      <c r="J612" s="29"/>
      <c r="K612" s="32"/>
      <c r="L612" s="29"/>
      <c r="M612" s="29"/>
      <c r="N612" s="29"/>
    </row>
    <row r="613">
      <c r="A613" s="32"/>
      <c r="B613" s="29"/>
      <c r="C613" s="29"/>
      <c r="D613" s="29"/>
      <c r="E613" s="241"/>
      <c r="F613" s="241"/>
      <c r="G613" s="241"/>
      <c r="H613" s="29"/>
      <c r="I613" s="257"/>
      <c r="J613" s="29"/>
      <c r="K613" s="32"/>
      <c r="L613" s="29"/>
      <c r="M613" s="29"/>
      <c r="N613" s="29"/>
    </row>
    <row r="614">
      <c r="A614" s="32"/>
      <c r="B614" s="29"/>
      <c r="C614" s="29"/>
      <c r="D614" s="29"/>
      <c r="E614" s="241"/>
      <c r="F614" s="241"/>
      <c r="G614" s="241"/>
      <c r="H614" s="29"/>
      <c r="I614" s="257"/>
      <c r="J614" s="29"/>
      <c r="K614" s="32"/>
      <c r="L614" s="29"/>
      <c r="M614" s="29"/>
      <c r="N614" s="29"/>
    </row>
    <row r="615">
      <c r="A615" s="32"/>
      <c r="B615" s="29"/>
      <c r="C615" s="29"/>
      <c r="D615" s="29"/>
      <c r="E615" s="241"/>
      <c r="F615" s="241"/>
      <c r="G615" s="241"/>
      <c r="H615" s="29"/>
      <c r="I615" s="257"/>
      <c r="J615" s="29"/>
      <c r="K615" s="32"/>
      <c r="L615" s="29"/>
      <c r="M615" s="29"/>
      <c r="N615" s="29"/>
    </row>
    <row r="616">
      <c r="A616" s="32"/>
      <c r="B616" s="29"/>
      <c r="C616" s="29"/>
      <c r="D616" s="29"/>
      <c r="E616" s="241"/>
      <c r="F616" s="241"/>
      <c r="G616" s="241"/>
      <c r="H616" s="29"/>
      <c r="I616" s="257"/>
      <c r="J616" s="29"/>
      <c r="K616" s="32"/>
      <c r="L616" s="29"/>
      <c r="M616" s="29"/>
      <c r="N616" s="29"/>
    </row>
    <row r="617">
      <c r="A617" s="32"/>
      <c r="B617" s="29"/>
      <c r="C617" s="29"/>
      <c r="D617" s="29"/>
      <c r="E617" s="241"/>
      <c r="F617" s="241"/>
      <c r="G617" s="241"/>
      <c r="H617" s="29"/>
      <c r="I617" s="257"/>
      <c r="J617" s="29"/>
      <c r="K617" s="32"/>
      <c r="L617" s="29"/>
      <c r="M617" s="29"/>
      <c r="N617" s="29"/>
    </row>
    <row r="618">
      <c r="A618" s="32"/>
      <c r="B618" s="29"/>
      <c r="C618" s="29"/>
      <c r="D618" s="29"/>
      <c r="E618" s="241"/>
      <c r="F618" s="241"/>
      <c r="G618" s="241"/>
      <c r="H618" s="29"/>
      <c r="I618" s="257"/>
      <c r="J618" s="29"/>
      <c r="K618" s="32"/>
      <c r="L618" s="29"/>
      <c r="M618" s="29"/>
      <c r="N618" s="29"/>
    </row>
    <row r="619">
      <c r="A619" s="32"/>
      <c r="B619" s="29"/>
      <c r="C619" s="29"/>
      <c r="D619" s="29"/>
      <c r="E619" s="241"/>
      <c r="F619" s="241"/>
      <c r="G619" s="241"/>
      <c r="H619" s="29"/>
      <c r="I619" s="257"/>
      <c r="J619" s="29"/>
      <c r="K619" s="32"/>
      <c r="L619" s="29"/>
      <c r="M619" s="29"/>
      <c r="N619" s="29"/>
    </row>
    <row r="620">
      <c r="A620" s="32"/>
      <c r="B620" s="29"/>
      <c r="C620" s="29"/>
      <c r="D620" s="29"/>
      <c r="E620" s="241"/>
      <c r="F620" s="241"/>
      <c r="G620" s="241"/>
      <c r="H620" s="29"/>
      <c r="I620" s="257"/>
      <c r="J620" s="29"/>
      <c r="K620" s="32"/>
      <c r="L620" s="29"/>
      <c r="M620" s="29"/>
      <c r="N620" s="29"/>
    </row>
    <row r="621">
      <c r="A621" s="32"/>
      <c r="B621" s="29"/>
      <c r="C621" s="29"/>
      <c r="D621" s="29"/>
      <c r="E621" s="241"/>
      <c r="F621" s="241"/>
      <c r="G621" s="241"/>
      <c r="H621" s="29"/>
      <c r="I621" s="257"/>
      <c r="J621" s="29"/>
      <c r="K621" s="32"/>
      <c r="L621" s="29"/>
      <c r="M621" s="29"/>
      <c r="N621" s="29"/>
    </row>
    <row r="622">
      <c r="A622" s="32"/>
      <c r="B622" s="29"/>
      <c r="C622" s="29"/>
      <c r="D622" s="29"/>
      <c r="E622" s="241"/>
      <c r="F622" s="241"/>
      <c r="G622" s="241"/>
      <c r="H622" s="29"/>
      <c r="I622" s="257"/>
      <c r="J622" s="29"/>
      <c r="K622" s="32"/>
      <c r="L622" s="29"/>
      <c r="M622" s="29"/>
      <c r="N622" s="29"/>
    </row>
    <row r="623">
      <c r="A623" s="32"/>
      <c r="B623" s="29"/>
      <c r="C623" s="29"/>
      <c r="D623" s="29"/>
      <c r="E623" s="241"/>
      <c r="F623" s="241"/>
      <c r="G623" s="241"/>
      <c r="H623" s="29"/>
      <c r="I623" s="257"/>
      <c r="J623" s="29"/>
      <c r="K623" s="32"/>
      <c r="L623" s="29"/>
      <c r="M623" s="29"/>
      <c r="N623" s="29"/>
    </row>
    <row r="624">
      <c r="A624" s="32"/>
      <c r="B624" s="29"/>
      <c r="C624" s="29"/>
      <c r="D624" s="29"/>
      <c r="E624" s="241"/>
      <c r="F624" s="241"/>
      <c r="G624" s="241"/>
      <c r="H624" s="29"/>
      <c r="I624" s="257"/>
      <c r="J624" s="29"/>
      <c r="K624" s="32"/>
      <c r="L624" s="29"/>
      <c r="M624" s="29"/>
      <c r="N624" s="29"/>
    </row>
    <row r="625">
      <c r="A625" s="32"/>
      <c r="B625" s="29"/>
      <c r="C625" s="29"/>
      <c r="D625" s="29"/>
      <c r="E625" s="241"/>
      <c r="F625" s="241"/>
      <c r="G625" s="241"/>
      <c r="H625" s="29"/>
      <c r="I625" s="257"/>
      <c r="J625" s="29"/>
      <c r="K625" s="32"/>
      <c r="L625" s="29"/>
      <c r="M625" s="29"/>
      <c r="N625" s="29"/>
    </row>
    <row r="626">
      <c r="A626" s="32"/>
      <c r="B626" s="29"/>
      <c r="C626" s="29"/>
      <c r="D626" s="29"/>
      <c r="E626" s="241"/>
      <c r="F626" s="241"/>
      <c r="G626" s="241"/>
      <c r="H626" s="29"/>
      <c r="I626" s="257"/>
      <c r="J626" s="29"/>
      <c r="K626" s="32"/>
      <c r="L626" s="29"/>
      <c r="M626" s="29"/>
      <c r="N626" s="29"/>
    </row>
    <row r="627">
      <c r="A627" s="32"/>
      <c r="B627" s="29"/>
      <c r="C627" s="29"/>
      <c r="D627" s="29"/>
      <c r="E627" s="241"/>
      <c r="F627" s="241"/>
      <c r="G627" s="241"/>
      <c r="H627" s="29"/>
      <c r="I627" s="257"/>
      <c r="J627" s="29"/>
      <c r="K627" s="32"/>
      <c r="L627" s="29"/>
      <c r="M627" s="29"/>
      <c r="N627" s="29"/>
    </row>
    <row r="628">
      <c r="A628" s="32"/>
      <c r="B628" s="29"/>
      <c r="C628" s="29"/>
      <c r="D628" s="29"/>
      <c r="E628" s="241"/>
      <c r="F628" s="241"/>
      <c r="G628" s="241"/>
      <c r="H628" s="29"/>
      <c r="I628" s="257"/>
      <c r="J628" s="29"/>
      <c r="K628" s="32"/>
      <c r="L628" s="29"/>
      <c r="M628" s="29"/>
      <c r="N628" s="29"/>
    </row>
    <row r="629">
      <c r="A629" s="32"/>
      <c r="B629" s="29"/>
      <c r="C629" s="29"/>
      <c r="D629" s="29"/>
      <c r="E629" s="241"/>
      <c r="F629" s="241"/>
      <c r="G629" s="241"/>
      <c r="H629" s="29"/>
      <c r="I629" s="257"/>
      <c r="J629" s="29"/>
      <c r="K629" s="32"/>
      <c r="L629" s="29"/>
      <c r="M629" s="29"/>
      <c r="N629" s="29"/>
    </row>
    <row r="630">
      <c r="A630" s="32"/>
      <c r="B630" s="29"/>
      <c r="C630" s="29"/>
      <c r="D630" s="29"/>
      <c r="E630" s="241"/>
      <c r="F630" s="241"/>
      <c r="G630" s="241"/>
      <c r="H630" s="29"/>
      <c r="I630" s="257"/>
      <c r="J630" s="29"/>
      <c r="K630" s="32"/>
      <c r="L630" s="29"/>
      <c r="M630" s="29"/>
      <c r="N630" s="29"/>
    </row>
    <row r="631">
      <c r="A631" s="32"/>
      <c r="B631" s="29"/>
      <c r="C631" s="29"/>
      <c r="D631" s="29"/>
      <c r="E631" s="241"/>
      <c r="F631" s="241"/>
      <c r="G631" s="241"/>
      <c r="H631" s="29"/>
      <c r="I631" s="257"/>
      <c r="J631" s="29"/>
      <c r="K631" s="32"/>
      <c r="L631" s="29"/>
      <c r="M631" s="29"/>
      <c r="N631" s="29"/>
    </row>
    <row r="632">
      <c r="A632" s="32"/>
      <c r="B632" s="29"/>
      <c r="C632" s="29"/>
      <c r="D632" s="29"/>
      <c r="E632" s="241"/>
      <c r="F632" s="241"/>
      <c r="G632" s="241"/>
      <c r="H632" s="29"/>
      <c r="I632" s="257"/>
      <c r="J632" s="29"/>
      <c r="K632" s="32"/>
      <c r="L632" s="29"/>
      <c r="M632" s="29"/>
      <c r="N632" s="29"/>
    </row>
    <row r="633">
      <c r="A633" s="32"/>
      <c r="B633" s="29"/>
      <c r="C633" s="29"/>
      <c r="D633" s="29"/>
      <c r="E633" s="241"/>
      <c r="F633" s="241"/>
      <c r="G633" s="241"/>
      <c r="H633" s="29"/>
      <c r="I633" s="257"/>
      <c r="J633" s="29"/>
      <c r="K633" s="32"/>
      <c r="L633" s="29"/>
      <c r="M633" s="29"/>
      <c r="N633" s="29"/>
    </row>
    <row r="634">
      <c r="A634" s="32"/>
      <c r="B634" s="29"/>
      <c r="C634" s="29"/>
      <c r="D634" s="29"/>
      <c r="E634" s="241"/>
      <c r="F634" s="241"/>
      <c r="G634" s="241"/>
      <c r="H634" s="29"/>
      <c r="I634" s="257"/>
      <c r="J634" s="29"/>
      <c r="K634" s="32"/>
      <c r="L634" s="29"/>
      <c r="M634" s="29"/>
      <c r="N634" s="29"/>
    </row>
    <row r="635">
      <c r="A635" s="32"/>
      <c r="B635" s="29"/>
      <c r="C635" s="29"/>
      <c r="D635" s="29"/>
      <c r="E635" s="241"/>
      <c r="F635" s="241"/>
      <c r="G635" s="241"/>
      <c r="H635" s="29"/>
      <c r="I635" s="257"/>
      <c r="J635" s="29"/>
      <c r="K635" s="32"/>
      <c r="L635" s="29"/>
      <c r="M635" s="29"/>
      <c r="N635" s="29"/>
    </row>
    <row r="636">
      <c r="A636" s="32"/>
      <c r="B636" s="29"/>
      <c r="C636" s="29"/>
      <c r="D636" s="29"/>
      <c r="E636" s="241"/>
      <c r="F636" s="241"/>
      <c r="G636" s="241"/>
      <c r="H636" s="29"/>
      <c r="I636" s="257"/>
      <c r="J636" s="29"/>
      <c r="K636" s="32"/>
      <c r="L636" s="29"/>
      <c r="M636" s="29"/>
      <c r="N636" s="29"/>
    </row>
    <row r="637">
      <c r="A637" s="32"/>
      <c r="B637" s="29"/>
      <c r="C637" s="29"/>
      <c r="D637" s="29"/>
      <c r="E637" s="241"/>
      <c r="F637" s="241"/>
      <c r="G637" s="241"/>
      <c r="H637" s="29"/>
      <c r="I637" s="257"/>
      <c r="J637" s="29"/>
      <c r="K637" s="32"/>
      <c r="L637" s="29"/>
      <c r="M637" s="29"/>
      <c r="N637" s="29"/>
    </row>
    <row r="638">
      <c r="A638" s="32"/>
      <c r="B638" s="29"/>
      <c r="C638" s="29"/>
      <c r="D638" s="29"/>
      <c r="E638" s="241"/>
      <c r="F638" s="241"/>
      <c r="G638" s="241"/>
      <c r="H638" s="29"/>
      <c r="I638" s="257"/>
      <c r="J638" s="29"/>
      <c r="K638" s="32"/>
      <c r="L638" s="29"/>
      <c r="M638" s="29"/>
      <c r="N638" s="29"/>
    </row>
    <row r="639">
      <c r="A639" s="32"/>
      <c r="B639" s="29"/>
      <c r="C639" s="29"/>
      <c r="D639" s="29"/>
      <c r="E639" s="241"/>
      <c r="F639" s="241"/>
      <c r="G639" s="241"/>
      <c r="H639" s="29"/>
      <c r="I639" s="257"/>
      <c r="J639" s="29"/>
      <c r="K639" s="32"/>
      <c r="L639" s="29"/>
      <c r="M639" s="29"/>
      <c r="N639" s="29"/>
    </row>
    <row r="640">
      <c r="A640" s="32"/>
      <c r="B640" s="29"/>
      <c r="C640" s="29"/>
      <c r="D640" s="29"/>
      <c r="E640" s="241"/>
      <c r="F640" s="241"/>
      <c r="G640" s="241"/>
      <c r="H640" s="29"/>
      <c r="I640" s="257"/>
      <c r="J640" s="29"/>
      <c r="K640" s="32"/>
      <c r="L640" s="29"/>
      <c r="M640" s="29"/>
      <c r="N640" s="29"/>
    </row>
    <row r="641">
      <c r="A641" s="32"/>
      <c r="B641" s="29"/>
      <c r="C641" s="29"/>
      <c r="D641" s="29"/>
      <c r="E641" s="241"/>
      <c r="F641" s="241"/>
      <c r="G641" s="241"/>
      <c r="H641" s="29"/>
      <c r="I641" s="257"/>
      <c r="J641" s="29"/>
      <c r="K641" s="32"/>
      <c r="L641" s="29"/>
      <c r="M641" s="29"/>
      <c r="N641" s="29"/>
    </row>
    <row r="642">
      <c r="A642" s="32"/>
      <c r="B642" s="29"/>
      <c r="C642" s="29"/>
      <c r="D642" s="29"/>
      <c r="E642" s="241"/>
      <c r="F642" s="241"/>
      <c r="G642" s="241"/>
      <c r="H642" s="29"/>
      <c r="I642" s="257"/>
      <c r="J642" s="29"/>
      <c r="K642" s="32"/>
      <c r="L642" s="29"/>
      <c r="M642" s="29"/>
      <c r="N642" s="29"/>
    </row>
    <row r="643">
      <c r="A643" s="32"/>
      <c r="B643" s="29"/>
      <c r="C643" s="29"/>
      <c r="D643" s="29"/>
      <c r="E643" s="241"/>
      <c r="F643" s="241"/>
      <c r="G643" s="241"/>
      <c r="H643" s="29"/>
      <c r="I643" s="257"/>
      <c r="J643" s="29"/>
      <c r="K643" s="32"/>
      <c r="L643" s="29"/>
      <c r="M643" s="29"/>
      <c r="N643" s="29"/>
    </row>
    <row r="644">
      <c r="A644" s="32"/>
      <c r="B644" s="29"/>
      <c r="C644" s="29"/>
      <c r="D644" s="29"/>
      <c r="E644" s="241"/>
      <c r="F644" s="241"/>
      <c r="G644" s="241"/>
      <c r="H644" s="29"/>
      <c r="I644" s="257"/>
      <c r="J644" s="29"/>
      <c r="K644" s="32"/>
      <c r="L644" s="29"/>
      <c r="M644" s="29"/>
      <c r="N644" s="29"/>
    </row>
    <row r="645">
      <c r="A645" s="32"/>
      <c r="B645" s="29"/>
      <c r="C645" s="29"/>
      <c r="D645" s="29"/>
      <c r="E645" s="241"/>
      <c r="F645" s="241"/>
      <c r="G645" s="241"/>
      <c r="H645" s="29"/>
      <c r="I645" s="257"/>
      <c r="J645" s="29"/>
      <c r="K645" s="32"/>
      <c r="L645" s="29"/>
      <c r="M645" s="29"/>
      <c r="N645" s="29"/>
    </row>
    <row r="646">
      <c r="A646" s="32"/>
      <c r="B646" s="29"/>
      <c r="C646" s="29"/>
      <c r="D646" s="29"/>
      <c r="E646" s="241"/>
      <c r="F646" s="241"/>
      <c r="G646" s="241"/>
      <c r="H646" s="29"/>
      <c r="I646" s="257"/>
      <c r="J646" s="29"/>
      <c r="K646" s="32"/>
      <c r="L646" s="29"/>
      <c r="M646" s="29"/>
      <c r="N646" s="29"/>
    </row>
    <row r="647">
      <c r="A647" s="32"/>
      <c r="B647" s="29"/>
      <c r="C647" s="29"/>
      <c r="D647" s="29"/>
      <c r="E647" s="241"/>
      <c r="F647" s="241"/>
      <c r="G647" s="241"/>
      <c r="H647" s="29"/>
      <c r="I647" s="257"/>
      <c r="J647" s="29"/>
      <c r="K647" s="32"/>
      <c r="L647" s="29"/>
      <c r="M647" s="29"/>
      <c r="N647" s="29"/>
    </row>
    <row r="648">
      <c r="A648" s="32"/>
      <c r="B648" s="29"/>
      <c r="C648" s="29"/>
      <c r="D648" s="29"/>
      <c r="E648" s="241"/>
      <c r="F648" s="241"/>
      <c r="G648" s="241"/>
      <c r="H648" s="29"/>
      <c r="I648" s="257"/>
      <c r="J648" s="29"/>
      <c r="K648" s="32"/>
      <c r="L648" s="29"/>
      <c r="M648" s="29"/>
      <c r="N648" s="29"/>
    </row>
    <row r="649">
      <c r="A649" s="32"/>
      <c r="B649" s="29"/>
      <c r="C649" s="29"/>
      <c r="D649" s="29"/>
      <c r="E649" s="241"/>
      <c r="F649" s="241"/>
      <c r="G649" s="241"/>
      <c r="H649" s="29"/>
      <c r="I649" s="257"/>
      <c r="J649" s="29"/>
      <c r="K649" s="32"/>
      <c r="L649" s="29"/>
      <c r="M649" s="29"/>
      <c r="N649" s="29"/>
    </row>
    <row r="650">
      <c r="A650" s="32"/>
      <c r="B650" s="29"/>
      <c r="C650" s="29"/>
      <c r="D650" s="29"/>
      <c r="E650" s="241"/>
      <c r="F650" s="241"/>
      <c r="G650" s="241"/>
      <c r="H650" s="29"/>
      <c r="I650" s="257"/>
      <c r="J650" s="29"/>
      <c r="K650" s="32"/>
      <c r="L650" s="29"/>
      <c r="M650" s="29"/>
      <c r="N650" s="29"/>
    </row>
    <row r="651">
      <c r="A651" s="32"/>
      <c r="B651" s="29"/>
      <c r="C651" s="29"/>
      <c r="D651" s="29"/>
      <c r="E651" s="241"/>
      <c r="F651" s="241"/>
      <c r="G651" s="241"/>
      <c r="H651" s="29"/>
      <c r="I651" s="257"/>
      <c r="J651" s="29"/>
      <c r="K651" s="32"/>
      <c r="L651" s="29"/>
      <c r="M651" s="29"/>
      <c r="N651" s="29"/>
    </row>
    <row r="652">
      <c r="A652" s="32"/>
      <c r="B652" s="29"/>
      <c r="C652" s="29"/>
      <c r="D652" s="29"/>
      <c r="E652" s="241"/>
      <c r="F652" s="241"/>
      <c r="G652" s="241"/>
      <c r="H652" s="29"/>
      <c r="I652" s="257"/>
      <c r="J652" s="29"/>
      <c r="K652" s="32"/>
      <c r="L652" s="29"/>
      <c r="M652" s="29"/>
      <c r="N652" s="29"/>
    </row>
    <row r="653">
      <c r="A653" s="32"/>
      <c r="B653" s="29"/>
      <c r="C653" s="29"/>
      <c r="D653" s="29"/>
      <c r="E653" s="241"/>
      <c r="F653" s="241"/>
      <c r="G653" s="241"/>
      <c r="H653" s="29"/>
      <c r="I653" s="257"/>
      <c r="J653" s="29"/>
      <c r="K653" s="32"/>
      <c r="L653" s="29"/>
      <c r="M653" s="29"/>
      <c r="N653" s="29"/>
    </row>
    <row r="654">
      <c r="A654" s="32"/>
      <c r="B654" s="29"/>
      <c r="C654" s="29"/>
      <c r="D654" s="29"/>
      <c r="E654" s="241"/>
      <c r="F654" s="241"/>
      <c r="G654" s="241"/>
      <c r="H654" s="29"/>
      <c r="I654" s="257"/>
      <c r="J654" s="29"/>
      <c r="K654" s="32"/>
      <c r="L654" s="29"/>
      <c r="M654" s="29"/>
      <c r="N654" s="29"/>
    </row>
    <row r="655">
      <c r="A655" s="32"/>
      <c r="B655" s="29"/>
      <c r="C655" s="29"/>
      <c r="D655" s="29"/>
      <c r="E655" s="241"/>
      <c r="F655" s="241"/>
      <c r="G655" s="241"/>
      <c r="H655" s="29"/>
      <c r="I655" s="257"/>
      <c r="J655" s="29"/>
      <c r="K655" s="32"/>
      <c r="L655" s="29"/>
      <c r="M655" s="29"/>
      <c r="N655" s="29"/>
    </row>
    <row r="656">
      <c r="A656" s="32"/>
      <c r="B656" s="29"/>
      <c r="C656" s="29"/>
      <c r="D656" s="29"/>
      <c r="E656" s="241"/>
      <c r="F656" s="241"/>
      <c r="G656" s="241"/>
      <c r="H656" s="29"/>
      <c r="I656" s="257"/>
      <c r="J656" s="29"/>
      <c r="K656" s="32"/>
      <c r="L656" s="29"/>
      <c r="M656" s="29"/>
      <c r="N656" s="29"/>
    </row>
    <row r="657">
      <c r="A657" s="32"/>
      <c r="B657" s="29"/>
      <c r="C657" s="29"/>
      <c r="D657" s="29"/>
      <c r="E657" s="241"/>
      <c r="F657" s="241"/>
      <c r="G657" s="241"/>
      <c r="H657" s="29"/>
      <c r="I657" s="257"/>
      <c r="J657" s="29"/>
      <c r="K657" s="32"/>
      <c r="L657" s="29"/>
      <c r="M657" s="29"/>
      <c r="N657" s="29"/>
    </row>
    <row r="658">
      <c r="A658" s="32"/>
      <c r="B658" s="29"/>
      <c r="C658" s="29"/>
      <c r="D658" s="29"/>
      <c r="E658" s="241"/>
      <c r="F658" s="241"/>
      <c r="G658" s="241"/>
      <c r="H658" s="29"/>
      <c r="I658" s="257"/>
      <c r="J658" s="29"/>
      <c r="K658" s="32"/>
      <c r="L658" s="29"/>
      <c r="M658" s="29"/>
      <c r="N658" s="29"/>
    </row>
    <row r="659">
      <c r="A659" s="32"/>
      <c r="B659" s="29"/>
      <c r="C659" s="29"/>
      <c r="D659" s="29"/>
      <c r="E659" s="241"/>
      <c r="F659" s="241"/>
      <c r="G659" s="241"/>
      <c r="H659" s="29"/>
      <c r="I659" s="257"/>
      <c r="J659" s="29"/>
      <c r="K659" s="32"/>
      <c r="L659" s="29"/>
      <c r="M659" s="29"/>
      <c r="N659" s="29"/>
    </row>
    <row r="660">
      <c r="A660" s="32"/>
      <c r="B660" s="29"/>
      <c r="C660" s="29"/>
      <c r="D660" s="29"/>
      <c r="E660" s="241"/>
      <c r="F660" s="241"/>
      <c r="G660" s="241"/>
      <c r="H660" s="29"/>
      <c r="I660" s="257"/>
      <c r="J660" s="29"/>
      <c r="K660" s="32"/>
      <c r="L660" s="29"/>
      <c r="M660" s="29"/>
      <c r="N660" s="29"/>
    </row>
    <row r="661">
      <c r="A661" s="32"/>
      <c r="B661" s="29"/>
      <c r="C661" s="29"/>
      <c r="D661" s="29"/>
      <c r="E661" s="241"/>
      <c r="F661" s="241"/>
      <c r="G661" s="241"/>
      <c r="H661" s="29"/>
      <c r="I661" s="257"/>
      <c r="J661" s="29"/>
      <c r="K661" s="32"/>
      <c r="L661" s="29"/>
      <c r="M661" s="29"/>
      <c r="N661" s="29"/>
    </row>
    <row r="662">
      <c r="A662" s="32"/>
      <c r="B662" s="29"/>
      <c r="C662" s="29"/>
      <c r="D662" s="29"/>
      <c r="E662" s="241"/>
      <c r="F662" s="241"/>
      <c r="G662" s="241"/>
      <c r="H662" s="29"/>
      <c r="I662" s="257"/>
      <c r="J662" s="29"/>
      <c r="K662" s="32"/>
      <c r="L662" s="29"/>
      <c r="M662" s="29"/>
      <c r="N662" s="29"/>
    </row>
    <row r="663">
      <c r="A663" s="32"/>
      <c r="B663" s="29"/>
      <c r="C663" s="29"/>
      <c r="D663" s="29"/>
      <c r="E663" s="241"/>
      <c r="F663" s="241"/>
      <c r="G663" s="241"/>
      <c r="H663" s="29"/>
      <c r="I663" s="257"/>
      <c r="J663" s="29"/>
      <c r="K663" s="32"/>
      <c r="L663" s="29"/>
      <c r="M663" s="29"/>
      <c r="N663" s="29"/>
    </row>
    <row r="664">
      <c r="A664" s="32"/>
      <c r="B664" s="29"/>
      <c r="C664" s="29"/>
      <c r="D664" s="29"/>
      <c r="E664" s="241"/>
      <c r="F664" s="241"/>
      <c r="G664" s="241"/>
      <c r="H664" s="29"/>
      <c r="I664" s="257"/>
      <c r="J664" s="29"/>
      <c r="K664" s="32"/>
      <c r="L664" s="29"/>
      <c r="M664" s="29"/>
      <c r="N664" s="29"/>
    </row>
    <row r="665">
      <c r="A665" s="32"/>
      <c r="B665" s="29"/>
      <c r="C665" s="29"/>
      <c r="D665" s="29"/>
      <c r="E665" s="241"/>
      <c r="F665" s="241"/>
      <c r="G665" s="241"/>
      <c r="H665" s="29"/>
      <c r="I665" s="257"/>
      <c r="J665" s="29"/>
      <c r="K665" s="32"/>
      <c r="L665" s="29"/>
      <c r="M665" s="29"/>
      <c r="N665" s="29"/>
    </row>
    <row r="666">
      <c r="A666" s="32"/>
      <c r="B666" s="29"/>
      <c r="C666" s="29"/>
      <c r="D666" s="29"/>
      <c r="E666" s="241"/>
      <c r="F666" s="241"/>
      <c r="G666" s="241"/>
      <c r="H666" s="29"/>
      <c r="I666" s="257"/>
      <c r="J666" s="29"/>
      <c r="K666" s="32"/>
      <c r="L666" s="29"/>
      <c r="M666" s="29"/>
      <c r="N666" s="29"/>
    </row>
    <row r="667">
      <c r="A667" s="32"/>
      <c r="B667" s="29"/>
      <c r="C667" s="29"/>
      <c r="D667" s="29"/>
      <c r="E667" s="241"/>
      <c r="F667" s="241"/>
      <c r="G667" s="241"/>
      <c r="H667" s="29"/>
      <c r="I667" s="257"/>
      <c r="J667" s="29"/>
      <c r="K667" s="32"/>
      <c r="L667" s="29"/>
      <c r="M667" s="29"/>
      <c r="N667" s="29"/>
    </row>
    <row r="668">
      <c r="A668" s="32"/>
      <c r="B668" s="29"/>
      <c r="C668" s="29"/>
      <c r="D668" s="29"/>
      <c r="E668" s="241"/>
      <c r="F668" s="241"/>
      <c r="G668" s="241"/>
      <c r="H668" s="29"/>
      <c r="I668" s="257"/>
      <c r="J668" s="29"/>
      <c r="K668" s="32"/>
      <c r="L668" s="29"/>
      <c r="M668" s="29"/>
      <c r="N668" s="29"/>
    </row>
    <row r="669">
      <c r="A669" s="32"/>
      <c r="B669" s="29"/>
      <c r="C669" s="29"/>
      <c r="D669" s="29"/>
      <c r="E669" s="241"/>
      <c r="F669" s="241"/>
      <c r="G669" s="241"/>
      <c r="H669" s="29"/>
      <c r="I669" s="257"/>
      <c r="J669" s="29"/>
      <c r="K669" s="32"/>
      <c r="L669" s="29"/>
      <c r="M669" s="29"/>
      <c r="N669" s="29"/>
    </row>
    <row r="670">
      <c r="A670" s="32"/>
      <c r="B670" s="29"/>
      <c r="C670" s="29"/>
      <c r="D670" s="29"/>
      <c r="E670" s="241"/>
      <c r="F670" s="241"/>
      <c r="G670" s="241"/>
      <c r="H670" s="29"/>
      <c r="I670" s="257"/>
      <c r="J670" s="29"/>
      <c r="K670" s="32"/>
      <c r="L670" s="29"/>
      <c r="M670" s="29"/>
      <c r="N670" s="29"/>
    </row>
    <row r="671">
      <c r="A671" s="32"/>
      <c r="B671" s="29"/>
      <c r="C671" s="29"/>
      <c r="D671" s="29"/>
      <c r="E671" s="241"/>
      <c r="F671" s="241"/>
      <c r="G671" s="241"/>
      <c r="H671" s="29"/>
      <c r="I671" s="257"/>
      <c r="J671" s="29"/>
      <c r="K671" s="32"/>
      <c r="L671" s="29"/>
      <c r="M671" s="29"/>
      <c r="N671" s="29"/>
    </row>
    <row r="672">
      <c r="A672" s="32"/>
      <c r="B672" s="29"/>
      <c r="C672" s="29"/>
      <c r="D672" s="29"/>
      <c r="E672" s="241"/>
      <c r="F672" s="241"/>
      <c r="G672" s="241"/>
      <c r="H672" s="29"/>
      <c r="I672" s="257"/>
      <c r="J672" s="29"/>
      <c r="K672" s="32"/>
      <c r="L672" s="29"/>
      <c r="M672" s="29"/>
      <c r="N672" s="29"/>
    </row>
    <row r="673">
      <c r="A673" s="32"/>
      <c r="B673" s="29"/>
      <c r="C673" s="29"/>
      <c r="D673" s="29"/>
      <c r="E673" s="241"/>
      <c r="F673" s="241"/>
      <c r="G673" s="241"/>
      <c r="H673" s="29"/>
      <c r="I673" s="257"/>
      <c r="J673" s="29"/>
      <c r="K673" s="32"/>
      <c r="L673" s="29"/>
      <c r="M673" s="29"/>
      <c r="N673" s="29"/>
    </row>
    <row r="674">
      <c r="A674" s="32"/>
      <c r="B674" s="29"/>
      <c r="C674" s="29"/>
      <c r="D674" s="29"/>
      <c r="E674" s="241"/>
      <c r="F674" s="241"/>
      <c r="G674" s="241"/>
      <c r="H674" s="29"/>
      <c r="I674" s="257"/>
      <c r="J674" s="29"/>
      <c r="K674" s="32"/>
      <c r="L674" s="29"/>
      <c r="M674" s="29"/>
      <c r="N674" s="29"/>
    </row>
    <row r="675">
      <c r="A675" s="32"/>
      <c r="B675" s="29"/>
      <c r="C675" s="29"/>
      <c r="D675" s="29"/>
      <c r="E675" s="241"/>
      <c r="F675" s="241"/>
      <c r="G675" s="241"/>
      <c r="H675" s="29"/>
      <c r="I675" s="257"/>
      <c r="J675" s="29"/>
      <c r="K675" s="32"/>
      <c r="L675" s="29"/>
      <c r="M675" s="29"/>
      <c r="N675" s="29"/>
    </row>
    <row r="676">
      <c r="A676" s="32"/>
      <c r="B676" s="29"/>
      <c r="C676" s="29"/>
      <c r="D676" s="29"/>
      <c r="E676" s="241"/>
      <c r="F676" s="241"/>
      <c r="G676" s="241"/>
      <c r="H676" s="29"/>
      <c r="I676" s="257"/>
      <c r="J676" s="29"/>
      <c r="K676" s="32"/>
      <c r="L676" s="29"/>
      <c r="M676" s="29"/>
      <c r="N676" s="29"/>
    </row>
    <row r="677">
      <c r="A677" s="32"/>
      <c r="B677" s="29"/>
      <c r="C677" s="29"/>
      <c r="D677" s="29"/>
      <c r="E677" s="241"/>
      <c r="F677" s="241"/>
      <c r="G677" s="241"/>
      <c r="H677" s="29"/>
      <c r="I677" s="257"/>
      <c r="J677" s="29"/>
      <c r="K677" s="32"/>
      <c r="L677" s="29"/>
      <c r="M677" s="29"/>
      <c r="N677" s="29"/>
    </row>
    <row r="678">
      <c r="A678" s="32"/>
      <c r="B678" s="29"/>
      <c r="C678" s="29"/>
      <c r="D678" s="29"/>
      <c r="E678" s="241"/>
      <c r="F678" s="241"/>
      <c r="G678" s="241"/>
      <c r="H678" s="29"/>
      <c r="I678" s="257"/>
      <c r="J678" s="29"/>
      <c r="K678" s="32"/>
      <c r="L678" s="29"/>
      <c r="M678" s="29"/>
      <c r="N678" s="29"/>
    </row>
    <row r="679">
      <c r="A679" s="32"/>
      <c r="B679" s="29"/>
      <c r="C679" s="29"/>
      <c r="D679" s="29"/>
      <c r="E679" s="241"/>
      <c r="F679" s="241"/>
      <c r="G679" s="241"/>
      <c r="H679" s="29"/>
      <c r="I679" s="257"/>
      <c r="J679" s="29"/>
      <c r="K679" s="32"/>
      <c r="L679" s="29"/>
      <c r="M679" s="29"/>
      <c r="N679" s="29"/>
    </row>
    <row r="680">
      <c r="A680" s="32"/>
      <c r="B680" s="29"/>
      <c r="C680" s="29"/>
      <c r="D680" s="29"/>
      <c r="E680" s="241"/>
      <c r="F680" s="241"/>
      <c r="G680" s="241"/>
      <c r="H680" s="29"/>
      <c r="I680" s="257"/>
      <c r="J680" s="29"/>
      <c r="K680" s="32"/>
      <c r="L680" s="29"/>
      <c r="M680" s="29"/>
      <c r="N680" s="29"/>
    </row>
    <row r="681">
      <c r="A681" s="32"/>
      <c r="B681" s="29"/>
      <c r="C681" s="29"/>
      <c r="D681" s="29"/>
      <c r="E681" s="241"/>
      <c r="F681" s="241"/>
      <c r="G681" s="241"/>
      <c r="H681" s="29"/>
      <c r="I681" s="257"/>
      <c r="J681" s="29"/>
      <c r="K681" s="32"/>
      <c r="L681" s="29"/>
      <c r="M681" s="29"/>
      <c r="N681" s="29"/>
    </row>
    <row r="682">
      <c r="A682" s="32"/>
      <c r="B682" s="29"/>
      <c r="C682" s="29"/>
      <c r="D682" s="29"/>
      <c r="E682" s="241"/>
      <c r="F682" s="241"/>
      <c r="G682" s="241"/>
      <c r="H682" s="29"/>
      <c r="I682" s="257"/>
      <c r="J682" s="29"/>
      <c r="K682" s="32"/>
      <c r="L682" s="29"/>
      <c r="M682" s="29"/>
      <c r="N682" s="29"/>
    </row>
    <row r="683">
      <c r="A683" s="32"/>
      <c r="B683" s="29"/>
      <c r="C683" s="29"/>
      <c r="D683" s="29"/>
      <c r="E683" s="241"/>
      <c r="F683" s="241"/>
      <c r="G683" s="241"/>
      <c r="H683" s="29"/>
      <c r="I683" s="257"/>
      <c r="J683" s="29"/>
      <c r="K683" s="32"/>
      <c r="L683" s="29"/>
      <c r="M683" s="29"/>
      <c r="N683" s="29"/>
    </row>
    <row r="684">
      <c r="A684" s="32"/>
      <c r="B684" s="29"/>
      <c r="C684" s="29"/>
      <c r="D684" s="29"/>
      <c r="E684" s="241"/>
      <c r="F684" s="241"/>
      <c r="G684" s="241"/>
      <c r="H684" s="29"/>
      <c r="I684" s="257"/>
      <c r="J684" s="29"/>
      <c r="K684" s="32"/>
      <c r="L684" s="29"/>
      <c r="M684" s="29"/>
      <c r="N684" s="29"/>
    </row>
    <row r="685">
      <c r="A685" s="32"/>
      <c r="B685" s="29"/>
      <c r="C685" s="29"/>
      <c r="D685" s="29"/>
      <c r="E685" s="241"/>
      <c r="F685" s="241"/>
      <c r="G685" s="241"/>
      <c r="H685" s="29"/>
      <c r="I685" s="257"/>
      <c r="J685" s="29"/>
      <c r="K685" s="32"/>
      <c r="L685" s="29"/>
      <c r="M685" s="29"/>
      <c r="N685" s="29"/>
    </row>
    <row r="686">
      <c r="A686" s="32"/>
      <c r="B686" s="29"/>
      <c r="C686" s="29"/>
      <c r="D686" s="29"/>
      <c r="E686" s="241"/>
      <c r="F686" s="241"/>
      <c r="G686" s="241"/>
      <c r="H686" s="29"/>
      <c r="I686" s="257"/>
      <c r="J686" s="29"/>
      <c r="K686" s="32"/>
      <c r="L686" s="29"/>
      <c r="M686" s="29"/>
      <c r="N686" s="29"/>
    </row>
    <row r="687">
      <c r="A687" s="32"/>
      <c r="B687" s="29"/>
      <c r="C687" s="29"/>
      <c r="D687" s="29"/>
      <c r="E687" s="241"/>
      <c r="F687" s="241"/>
      <c r="G687" s="241"/>
      <c r="H687" s="29"/>
      <c r="I687" s="257"/>
      <c r="J687" s="29"/>
      <c r="K687" s="32"/>
      <c r="L687" s="29"/>
      <c r="M687" s="29"/>
      <c r="N687" s="29"/>
    </row>
    <row r="688">
      <c r="A688" s="32"/>
      <c r="B688" s="29"/>
      <c r="C688" s="29"/>
      <c r="D688" s="29"/>
      <c r="E688" s="241"/>
      <c r="F688" s="241"/>
      <c r="G688" s="241"/>
      <c r="H688" s="29"/>
      <c r="I688" s="257"/>
      <c r="J688" s="29"/>
      <c r="K688" s="32"/>
      <c r="L688" s="29"/>
      <c r="M688" s="29"/>
      <c r="N688" s="29"/>
    </row>
    <row r="689">
      <c r="A689" s="32"/>
      <c r="B689" s="29"/>
      <c r="C689" s="29"/>
      <c r="D689" s="29"/>
      <c r="E689" s="241"/>
      <c r="F689" s="241"/>
      <c r="G689" s="241"/>
      <c r="H689" s="29"/>
      <c r="I689" s="257"/>
      <c r="J689" s="29"/>
      <c r="K689" s="32"/>
      <c r="L689" s="29"/>
      <c r="M689" s="29"/>
      <c r="N689" s="29"/>
    </row>
    <row r="690">
      <c r="A690" s="32"/>
      <c r="B690" s="29"/>
      <c r="C690" s="29"/>
      <c r="D690" s="29"/>
      <c r="E690" s="241"/>
      <c r="F690" s="241"/>
      <c r="G690" s="241"/>
      <c r="H690" s="29"/>
      <c r="I690" s="257"/>
      <c r="J690" s="29"/>
      <c r="K690" s="32"/>
      <c r="L690" s="29"/>
      <c r="M690" s="29"/>
      <c r="N690" s="29"/>
    </row>
    <row r="691">
      <c r="A691" s="32"/>
      <c r="B691" s="29"/>
      <c r="C691" s="29"/>
      <c r="D691" s="29"/>
      <c r="E691" s="241"/>
      <c r="F691" s="241"/>
      <c r="G691" s="241"/>
      <c r="H691" s="29"/>
      <c r="I691" s="257"/>
      <c r="J691" s="29"/>
      <c r="K691" s="32"/>
      <c r="L691" s="29"/>
      <c r="M691" s="29"/>
      <c r="N691" s="29"/>
    </row>
    <row r="692">
      <c r="A692" s="32"/>
      <c r="B692" s="29"/>
      <c r="C692" s="29"/>
      <c r="D692" s="29"/>
      <c r="E692" s="241"/>
      <c r="F692" s="241"/>
      <c r="G692" s="241"/>
      <c r="H692" s="29"/>
      <c r="I692" s="257"/>
      <c r="J692" s="29"/>
      <c r="K692" s="32"/>
      <c r="L692" s="29"/>
      <c r="M692" s="29"/>
      <c r="N692" s="29"/>
    </row>
    <row r="693">
      <c r="A693" s="32"/>
      <c r="B693" s="29"/>
      <c r="C693" s="29"/>
      <c r="D693" s="29"/>
      <c r="E693" s="241"/>
      <c r="F693" s="241"/>
      <c r="G693" s="241"/>
      <c r="H693" s="29"/>
      <c r="I693" s="257"/>
      <c r="J693" s="29"/>
      <c r="K693" s="32"/>
      <c r="L693" s="29"/>
      <c r="M693" s="29"/>
      <c r="N693" s="29"/>
    </row>
    <row r="694">
      <c r="A694" s="32"/>
      <c r="B694" s="29"/>
      <c r="C694" s="29"/>
      <c r="D694" s="29"/>
      <c r="E694" s="241"/>
      <c r="F694" s="241"/>
      <c r="G694" s="241"/>
      <c r="H694" s="29"/>
      <c r="I694" s="257"/>
      <c r="J694" s="29"/>
      <c r="K694" s="32"/>
      <c r="L694" s="29"/>
      <c r="M694" s="29"/>
      <c r="N694" s="29"/>
    </row>
    <row r="695">
      <c r="A695" s="32"/>
      <c r="B695" s="29"/>
      <c r="C695" s="29"/>
      <c r="D695" s="29"/>
      <c r="E695" s="241"/>
      <c r="F695" s="241"/>
      <c r="G695" s="241"/>
      <c r="H695" s="29"/>
      <c r="I695" s="257"/>
      <c r="J695" s="29"/>
      <c r="K695" s="32"/>
      <c r="L695" s="29"/>
      <c r="M695" s="29"/>
      <c r="N695" s="29"/>
    </row>
    <row r="696">
      <c r="A696" s="32"/>
      <c r="B696" s="29"/>
      <c r="C696" s="29"/>
      <c r="D696" s="29"/>
      <c r="E696" s="241"/>
      <c r="F696" s="241"/>
      <c r="G696" s="241"/>
      <c r="H696" s="29"/>
      <c r="I696" s="257"/>
      <c r="J696" s="29"/>
      <c r="K696" s="32"/>
      <c r="L696" s="29"/>
      <c r="M696" s="29"/>
      <c r="N696" s="29"/>
    </row>
    <row r="697">
      <c r="A697" s="32"/>
      <c r="B697" s="29"/>
      <c r="C697" s="29"/>
      <c r="D697" s="29"/>
      <c r="E697" s="241"/>
      <c r="F697" s="241"/>
      <c r="G697" s="241"/>
      <c r="H697" s="29"/>
      <c r="I697" s="257"/>
      <c r="J697" s="29"/>
      <c r="K697" s="32"/>
      <c r="L697" s="29"/>
      <c r="M697" s="29"/>
      <c r="N697" s="29"/>
    </row>
    <row r="698">
      <c r="A698" s="32"/>
      <c r="B698" s="29"/>
      <c r="C698" s="29"/>
      <c r="D698" s="29"/>
      <c r="E698" s="241"/>
      <c r="F698" s="241"/>
      <c r="G698" s="241"/>
      <c r="H698" s="29"/>
      <c r="I698" s="257"/>
      <c r="J698" s="29"/>
      <c r="K698" s="32"/>
      <c r="L698" s="29"/>
      <c r="M698" s="29"/>
      <c r="N698" s="29"/>
    </row>
    <row r="699">
      <c r="A699" s="32"/>
      <c r="B699" s="29"/>
      <c r="C699" s="29"/>
      <c r="D699" s="29"/>
      <c r="E699" s="241"/>
      <c r="F699" s="241"/>
      <c r="G699" s="241"/>
      <c r="H699" s="29"/>
      <c r="I699" s="257"/>
      <c r="J699" s="29"/>
      <c r="K699" s="32"/>
      <c r="L699" s="29"/>
      <c r="M699" s="29"/>
      <c r="N699" s="29"/>
    </row>
    <row r="700">
      <c r="A700" s="32"/>
      <c r="B700" s="29"/>
      <c r="C700" s="29"/>
      <c r="D700" s="29"/>
      <c r="E700" s="241"/>
      <c r="F700" s="241"/>
      <c r="G700" s="241"/>
      <c r="H700" s="29"/>
      <c r="I700" s="257"/>
      <c r="J700" s="29"/>
      <c r="K700" s="32"/>
      <c r="L700" s="29"/>
      <c r="M700" s="29"/>
      <c r="N700" s="29"/>
    </row>
    <row r="701">
      <c r="A701" s="32"/>
      <c r="B701" s="29"/>
      <c r="C701" s="29"/>
      <c r="D701" s="29"/>
      <c r="E701" s="241"/>
      <c r="F701" s="241"/>
      <c r="G701" s="241"/>
      <c r="H701" s="29"/>
      <c r="I701" s="257"/>
      <c r="J701" s="29"/>
      <c r="K701" s="32"/>
      <c r="L701" s="29"/>
      <c r="M701" s="29"/>
      <c r="N701" s="29"/>
    </row>
    <row r="702">
      <c r="A702" s="32"/>
      <c r="B702" s="29"/>
      <c r="C702" s="29"/>
      <c r="D702" s="29"/>
      <c r="E702" s="241"/>
      <c r="F702" s="241"/>
      <c r="G702" s="241"/>
      <c r="H702" s="29"/>
      <c r="I702" s="257"/>
      <c r="J702" s="29"/>
      <c r="K702" s="32"/>
      <c r="L702" s="29"/>
      <c r="M702" s="29"/>
      <c r="N702" s="29"/>
    </row>
    <row r="703">
      <c r="A703" s="32"/>
      <c r="B703" s="29"/>
      <c r="C703" s="29"/>
      <c r="D703" s="29"/>
      <c r="E703" s="241"/>
      <c r="F703" s="241"/>
      <c r="G703" s="241"/>
      <c r="H703" s="29"/>
      <c r="I703" s="257"/>
      <c r="J703" s="29"/>
      <c r="K703" s="32"/>
      <c r="L703" s="29"/>
      <c r="M703" s="29"/>
      <c r="N703" s="29"/>
    </row>
    <row r="704">
      <c r="A704" s="32"/>
      <c r="B704" s="29"/>
      <c r="C704" s="29"/>
      <c r="D704" s="29"/>
      <c r="E704" s="241"/>
      <c r="F704" s="241"/>
      <c r="G704" s="241"/>
      <c r="H704" s="29"/>
      <c r="I704" s="257"/>
      <c r="J704" s="29"/>
      <c r="K704" s="32"/>
      <c r="L704" s="29"/>
      <c r="M704" s="29"/>
      <c r="N704" s="29"/>
    </row>
    <row r="705">
      <c r="A705" s="32"/>
      <c r="B705" s="29"/>
      <c r="C705" s="29"/>
      <c r="D705" s="29"/>
      <c r="E705" s="241"/>
      <c r="F705" s="241"/>
      <c r="G705" s="241"/>
      <c r="H705" s="29"/>
      <c r="I705" s="257"/>
      <c r="J705" s="29"/>
      <c r="K705" s="32"/>
      <c r="L705" s="29"/>
      <c r="M705" s="29"/>
      <c r="N705" s="29"/>
    </row>
    <row r="706">
      <c r="A706" s="32"/>
      <c r="B706" s="29"/>
      <c r="C706" s="29"/>
      <c r="D706" s="29"/>
      <c r="E706" s="241"/>
      <c r="F706" s="241"/>
      <c r="G706" s="241"/>
      <c r="H706" s="29"/>
      <c r="I706" s="257"/>
      <c r="J706" s="29"/>
      <c r="K706" s="32"/>
      <c r="L706" s="29"/>
      <c r="M706" s="29"/>
      <c r="N706" s="29"/>
    </row>
    <row r="707">
      <c r="A707" s="32"/>
      <c r="B707" s="29"/>
      <c r="C707" s="29"/>
      <c r="D707" s="29"/>
      <c r="E707" s="241"/>
      <c r="F707" s="241"/>
      <c r="G707" s="241"/>
      <c r="H707" s="29"/>
      <c r="I707" s="257"/>
      <c r="J707" s="29"/>
      <c r="K707" s="32"/>
      <c r="L707" s="29"/>
      <c r="M707" s="29"/>
      <c r="N707" s="29"/>
    </row>
    <row r="708">
      <c r="A708" s="32"/>
      <c r="B708" s="29"/>
      <c r="C708" s="29"/>
      <c r="D708" s="29"/>
      <c r="E708" s="241"/>
      <c r="F708" s="241"/>
      <c r="G708" s="241"/>
      <c r="H708" s="29"/>
      <c r="I708" s="257"/>
      <c r="J708" s="29"/>
      <c r="K708" s="32"/>
      <c r="L708" s="29"/>
      <c r="M708" s="29"/>
      <c r="N708" s="29"/>
    </row>
    <row r="709">
      <c r="A709" s="32"/>
      <c r="B709" s="29"/>
      <c r="C709" s="29"/>
      <c r="D709" s="29"/>
      <c r="E709" s="241"/>
      <c r="F709" s="241"/>
      <c r="G709" s="241"/>
      <c r="H709" s="29"/>
      <c r="I709" s="257"/>
      <c r="J709" s="29"/>
      <c r="K709" s="32"/>
      <c r="L709" s="29"/>
      <c r="M709" s="29"/>
      <c r="N709" s="29"/>
    </row>
    <row r="710">
      <c r="A710" s="32"/>
      <c r="B710" s="29"/>
      <c r="C710" s="29"/>
      <c r="D710" s="29"/>
      <c r="E710" s="241"/>
      <c r="F710" s="241"/>
      <c r="G710" s="241"/>
      <c r="H710" s="29"/>
      <c r="I710" s="257"/>
      <c r="J710" s="29"/>
      <c r="K710" s="32"/>
      <c r="L710" s="29"/>
      <c r="M710" s="29"/>
      <c r="N710" s="29"/>
    </row>
    <row r="711">
      <c r="A711" s="32"/>
      <c r="B711" s="29"/>
      <c r="C711" s="29"/>
      <c r="D711" s="29"/>
      <c r="E711" s="241"/>
      <c r="F711" s="241"/>
      <c r="G711" s="241"/>
      <c r="H711" s="29"/>
      <c r="I711" s="257"/>
      <c r="J711" s="29"/>
      <c r="K711" s="32"/>
      <c r="L711" s="29"/>
      <c r="M711" s="29"/>
      <c r="N711" s="29"/>
    </row>
    <row r="712">
      <c r="A712" s="32"/>
      <c r="B712" s="29"/>
      <c r="C712" s="29"/>
      <c r="D712" s="29"/>
      <c r="E712" s="241"/>
      <c r="F712" s="241"/>
      <c r="G712" s="241"/>
      <c r="H712" s="29"/>
      <c r="I712" s="257"/>
      <c r="J712" s="29"/>
      <c r="K712" s="32"/>
      <c r="L712" s="29"/>
      <c r="M712" s="29"/>
      <c r="N712" s="29"/>
    </row>
    <row r="713">
      <c r="A713" s="32"/>
      <c r="B713" s="29"/>
      <c r="C713" s="29"/>
      <c r="D713" s="29"/>
      <c r="E713" s="241"/>
      <c r="F713" s="241"/>
      <c r="G713" s="241"/>
      <c r="H713" s="29"/>
      <c r="I713" s="257"/>
      <c r="J713" s="29"/>
      <c r="K713" s="32"/>
      <c r="L713" s="29"/>
      <c r="M713" s="29"/>
      <c r="N713" s="29"/>
    </row>
    <row r="714">
      <c r="A714" s="32"/>
      <c r="B714" s="29"/>
      <c r="C714" s="29"/>
      <c r="D714" s="29"/>
      <c r="E714" s="241"/>
      <c r="F714" s="241"/>
      <c r="G714" s="241"/>
      <c r="H714" s="29"/>
      <c r="I714" s="257"/>
      <c r="J714" s="29"/>
      <c r="K714" s="32"/>
      <c r="L714" s="29"/>
      <c r="M714" s="29"/>
      <c r="N714" s="29"/>
    </row>
    <row r="715">
      <c r="A715" s="32"/>
      <c r="B715" s="29"/>
      <c r="C715" s="29"/>
      <c r="D715" s="29"/>
      <c r="E715" s="241"/>
      <c r="F715" s="241"/>
      <c r="G715" s="241"/>
      <c r="H715" s="29"/>
      <c r="I715" s="257"/>
      <c r="J715" s="29"/>
      <c r="K715" s="32"/>
      <c r="L715" s="29"/>
      <c r="M715" s="29"/>
      <c r="N715" s="29"/>
    </row>
    <row r="716">
      <c r="A716" s="32"/>
      <c r="B716" s="29"/>
      <c r="C716" s="29"/>
      <c r="D716" s="29"/>
      <c r="E716" s="241"/>
      <c r="F716" s="241"/>
      <c r="G716" s="241"/>
      <c r="H716" s="29"/>
      <c r="I716" s="257"/>
      <c r="J716" s="29"/>
      <c r="K716" s="32"/>
      <c r="L716" s="29"/>
      <c r="M716" s="29"/>
      <c r="N716" s="29"/>
    </row>
    <row r="717">
      <c r="A717" s="32"/>
      <c r="B717" s="29"/>
      <c r="C717" s="29"/>
      <c r="D717" s="29"/>
      <c r="E717" s="241"/>
      <c r="F717" s="241"/>
      <c r="G717" s="241"/>
      <c r="H717" s="29"/>
      <c r="I717" s="257"/>
      <c r="J717" s="29"/>
      <c r="K717" s="32"/>
      <c r="L717" s="29"/>
      <c r="M717" s="29"/>
      <c r="N717" s="29"/>
    </row>
    <row r="718">
      <c r="A718" s="32"/>
      <c r="B718" s="29"/>
      <c r="C718" s="29"/>
      <c r="D718" s="29"/>
      <c r="E718" s="241"/>
      <c r="F718" s="241"/>
      <c r="G718" s="241"/>
      <c r="H718" s="29"/>
      <c r="I718" s="257"/>
      <c r="J718" s="29"/>
      <c r="K718" s="32"/>
      <c r="L718" s="29"/>
      <c r="M718" s="29"/>
      <c r="N718" s="29"/>
    </row>
    <row r="719">
      <c r="A719" s="32"/>
      <c r="B719" s="29"/>
      <c r="C719" s="29"/>
      <c r="D719" s="29"/>
      <c r="E719" s="241"/>
      <c r="F719" s="241"/>
      <c r="G719" s="241"/>
      <c r="H719" s="29"/>
      <c r="I719" s="257"/>
      <c r="J719" s="29"/>
      <c r="K719" s="32"/>
      <c r="L719" s="29"/>
      <c r="M719" s="29"/>
      <c r="N719" s="29"/>
    </row>
    <row r="720">
      <c r="A720" s="32"/>
      <c r="B720" s="29"/>
      <c r="C720" s="29"/>
      <c r="D720" s="29"/>
      <c r="E720" s="241"/>
      <c r="F720" s="241"/>
      <c r="G720" s="241"/>
      <c r="H720" s="29"/>
      <c r="I720" s="257"/>
      <c r="J720" s="29"/>
      <c r="K720" s="32"/>
      <c r="L720" s="29"/>
      <c r="M720" s="29"/>
      <c r="N720" s="29"/>
    </row>
    <row r="721">
      <c r="A721" s="32"/>
      <c r="B721" s="29"/>
      <c r="C721" s="29"/>
      <c r="D721" s="29"/>
      <c r="E721" s="241"/>
      <c r="F721" s="241"/>
      <c r="G721" s="241"/>
      <c r="H721" s="29"/>
      <c r="I721" s="257"/>
      <c r="J721" s="29"/>
      <c r="K721" s="32"/>
      <c r="L721" s="29"/>
      <c r="M721" s="29"/>
      <c r="N721" s="29"/>
    </row>
    <row r="722">
      <c r="A722" s="32"/>
      <c r="B722" s="29"/>
      <c r="C722" s="29"/>
      <c r="D722" s="29"/>
      <c r="E722" s="241"/>
      <c r="F722" s="241"/>
      <c r="G722" s="241"/>
      <c r="H722" s="29"/>
      <c r="I722" s="257"/>
      <c r="J722" s="29"/>
      <c r="K722" s="32"/>
      <c r="L722" s="29"/>
      <c r="M722" s="29"/>
      <c r="N722" s="29"/>
    </row>
    <row r="723">
      <c r="A723" s="32"/>
      <c r="B723" s="29"/>
      <c r="C723" s="29"/>
      <c r="D723" s="29"/>
      <c r="E723" s="241"/>
      <c r="F723" s="241"/>
      <c r="G723" s="241"/>
      <c r="H723" s="29"/>
      <c r="I723" s="257"/>
      <c r="J723" s="29"/>
      <c r="K723" s="32"/>
      <c r="L723" s="29"/>
      <c r="M723" s="29"/>
      <c r="N723" s="29"/>
    </row>
    <row r="724">
      <c r="A724" s="32"/>
      <c r="B724" s="29"/>
      <c r="C724" s="29"/>
      <c r="D724" s="29"/>
      <c r="E724" s="241"/>
      <c r="F724" s="241"/>
      <c r="G724" s="241"/>
      <c r="H724" s="29"/>
      <c r="I724" s="257"/>
      <c r="J724" s="29"/>
      <c r="K724" s="32"/>
      <c r="L724" s="29"/>
      <c r="M724" s="29"/>
      <c r="N724" s="29"/>
    </row>
    <row r="725">
      <c r="A725" s="32"/>
      <c r="B725" s="29"/>
      <c r="C725" s="29"/>
      <c r="D725" s="29"/>
      <c r="E725" s="241"/>
      <c r="F725" s="241"/>
      <c r="G725" s="241"/>
      <c r="H725" s="29"/>
      <c r="I725" s="257"/>
      <c r="J725" s="29"/>
      <c r="K725" s="32"/>
      <c r="L725" s="29"/>
      <c r="M725" s="29"/>
      <c r="N725" s="29"/>
    </row>
    <row r="726">
      <c r="A726" s="32"/>
      <c r="B726" s="29"/>
      <c r="C726" s="29"/>
      <c r="D726" s="29"/>
      <c r="E726" s="241"/>
      <c r="F726" s="241"/>
      <c r="G726" s="241"/>
      <c r="H726" s="29"/>
      <c r="I726" s="257"/>
      <c r="J726" s="29"/>
      <c r="K726" s="32"/>
      <c r="L726" s="29"/>
      <c r="M726" s="29"/>
      <c r="N726" s="29"/>
    </row>
    <row r="727">
      <c r="A727" s="32"/>
      <c r="B727" s="29"/>
      <c r="C727" s="29"/>
      <c r="D727" s="29"/>
      <c r="E727" s="241"/>
      <c r="F727" s="241"/>
      <c r="G727" s="241"/>
      <c r="H727" s="29"/>
      <c r="I727" s="257"/>
      <c r="J727" s="29"/>
      <c r="K727" s="32"/>
      <c r="L727" s="29"/>
      <c r="M727" s="29"/>
      <c r="N727" s="29"/>
    </row>
    <row r="728">
      <c r="A728" s="32"/>
      <c r="B728" s="29"/>
      <c r="C728" s="29"/>
      <c r="D728" s="29"/>
      <c r="E728" s="241"/>
      <c r="F728" s="241"/>
      <c r="G728" s="241"/>
      <c r="H728" s="29"/>
      <c r="I728" s="257"/>
      <c r="J728" s="29"/>
      <c r="K728" s="32"/>
      <c r="L728" s="29"/>
      <c r="M728" s="29"/>
      <c r="N728" s="29"/>
    </row>
    <row r="729">
      <c r="A729" s="32"/>
      <c r="B729" s="29"/>
      <c r="C729" s="29"/>
      <c r="D729" s="29"/>
      <c r="E729" s="241"/>
      <c r="F729" s="241"/>
      <c r="G729" s="241"/>
      <c r="H729" s="29"/>
      <c r="I729" s="257"/>
      <c r="J729" s="29"/>
      <c r="K729" s="32"/>
      <c r="L729" s="29"/>
      <c r="M729" s="29"/>
      <c r="N729" s="29"/>
    </row>
    <row r="730">
      <c r="A730" s="32"/>
      <c r="B730" s="29"/>
      <c r="C730" s="29"/>
      <c r="D730" s="29"/>
      <c r="E730" s="241"/>
      <c r="F730" s="241"/>
      <c r="G730" s="241"/>
      <c r="H730" s="29"/>
      <c r="I730" s="257"/>
      <c r="J730" s="29"/>
      <c r="K730" s="32"/>
      <c r="L730" s="29"/>
      <c r="M730" s="29"/>
      <c r="N730" s="29"/>
    </row>
    <row r="731">
      <c r="A731" s="32"/>
      <c r="B731" s="29"/>
      <c r="C731" s="29"/>
      <c r="D731" s="29"/>
      <c r="E731" s="241"/>
      <c r="F731" s="241"/>
      <c r="G731" s="241"/>
      <c r="H731" s="29"/>
      <c r="I731" s="257"/>
      <c r="J731" s="29"/>
      <c r="K731" s="32"/>
      <c r="L731" s="29"/>
      <c r="M731" s="29"/>
      <c r="N731" s="29"/>
    </row>
    <row r="732">
      <c r="A732" s="32"/>
      <c r="B732" s="29"/>
      <c r="C732" s="29"/>
      <c r="D732" s="29"/>
      <c r="E732" s="241"/>
      <c r="F732" s="241"/>
      <c r="G732" s="241"/>
      <c r="H732" s="29"/>
      <c r="I732" s="257"/>
      <c r="J732" s="29"/>
      <c r="K732" s="32"/>
      <c r="L732" s="29"/>
      <c r="M732" s="29"/>
      <c r="N732" s="29"/>
    </row>
    <row r="733">
      <c r="A733" s="32"/>
      <c r="B733" s="29"/>
      <c r="C733" s="29"/>
      <c r="D733" s="29"/>
      <c r="E733" s="241"/>
      <c r="F733" s="241"/>
      <c r="G733" s="241"/>
      <c r="H733" s="29"/>
      <c r="I733" s="257"/>
      <c r="J733" s="29"/>
      <c r="K733" s="32"/>
      <c r="L733" s="29"/>
      <c r="M733" s="29"/>
      <c r="N733" s="29"/>
    </row>
    <row r="734">
      <c r="A734" s="32"/>
      <c r="B734" s="29"/>
      <c r="C734" s="29"/>
      <c r="D734" s="29"/>
      <c r="E734" s="241"/>
      <c r="F734" s="241"/>
      <c r="G734" s="241"/>
      <c r="H734" s="29"/>
      <c r="I734" s="257"/>
      <c r="J734" s="29"/>
      <c r="K734" s="32"/>
      <c r="L734" s="29"/>
      <c r="M734" s="29"/>
      <c r="N734" s="29"/>
    </row>
    <row r="735">
      <c r="A735" s="32"/>
      <c r="B735" s="29"/>
      <c r="C735" s="29"/>
      <c r="D735" s="29"/>
      <c r="E735" s="241"/>
      <c r="F735" s="241"/>
      <c r="G735" s="241"/>
      <c r="H735" s="29"/>
      <c r="I735" s="257"/>
      <c r="J735" s="29"/>
      <c r="K735" s="32"/>
      <c r="L735" s="29"/>
      <c r="M735" s="29"/>
      <c r="N735" s="29"/>
    </row>
    <row r="736">
      <c r="A736" s="32"/>
      <c r="B736" s="29"/>
      <c r="C736" s="29"/>
      <c r="D736" s="29"/>
      <c r="E736" s="241"/>
      <c r="F736" s="241"/>
      <c r="G736" s="241"/>
      <c r="H736" s="29"/>
      <c r="I736" s="257"/>
      <c r="J736" s="29"/>
      <c r="K736" s="32"/>
      <c r="L736" s="29"/>
      <c r="M736" s="29"/>
      <c r="N736" s="29"/>
    </row>
    <row r="737">
      <c r="A737" s="32"/>
      <c r="B737" s="29"/>
      <c r="C737" s="29"/>
      <c r="D737" s="29"/>
      <c r="E737" s="241"/>
      <c r="F737" s="241"/>
      <c r="G737" s="241"/>
      <c r="H737" s="29"/>
      <c r="I737" s="257"/>
      <c r="J737" s="29"/>
      <c r="K737" s="32"/>
      <c r="L737" s="29"/>
      <c r="M737" s="29"/>
      <c r="N737" s="29"/>
    </row>
    <row r="738">
      <c r="A738" s="32"/>
      <c r="B738" s="29"/>
      <c r="C738" s="29"/>
      <c r="D738" s="29"/>
      <c r="E738" s="241"/>
      <c r="F738" s="241"/>
      <c r="G738" s="241"/>
      <c r="H738" s="29"/>
      <c r="I738" s="257"/>
      <c r="J738" s="29"/>
      <c r="K738" s="32"/>
      <c r="L738" s="29"/>
      <c r="M738" s="29"/>
      <c r="N738" s="29"/>
    </row>
    <row r="739">
      <c r="A739" s="32"/>
      <c r="B739" s="29"/>
      <c r="C739" s="29"/>
      <c r="D739" s="29"/>
      <c r="E739" s="241"/>
      <c r="F739" s="241"/>
      <c r="G739" s="241"/>
      <c r="H739" s="29"/>
      <c r="I739" s="257"/>
      <c r="J739" s="29"/>
      <c r="K739" s="32"/>
      <c r="L739" s="29"/>
      <c r="M739" s="29"/>
      <c r="N739" s="29"/>
    </row>
    <row r="740">
      <c r="A740" s="32"/>
      <c r="B740" s="29"/>
      <c r="C740" s="29"/>
      <c r="D740" s="29"/>
      <c r="E740" s="241"/>
      <c r="F740" s="241"/>
      <c r="G740" s="241"/>
      <c r="H740" s="29"/>
      <c r="I740" s="257"/>
      <c r="J740" s="29"/>
      <c r="K740" s="32"/>
      <c r="L740" s="29"/>
      <c r="M740" s="29"/>
      <c r="N740" s="29"/>
    </row>
    <row r="741">
      <c r="A741" s="32"/>
      <c r="B741" s="29"/>
      <c r="C741" s="29"/>
      <c r="D741" s="29"/>
      <c r="E741" s="241"/>
      <c r="F741" s="241"/>
      <c r="G741" s="241"/>
      <c r="H741" s="29"/>
      <c r="I741" s="257"/>
      <c r="J741" s="29"/>
      <c r="K741" s="32"/>
      <c r="L741" s="29"/>
      <c r="M741" s="29"/>
      <c r="N741" s="29"/>
    </row>
    <row r="742">
      <c r="A742" s="32"/>
      <c r="B742" s="29"/>
      <c r="C742" s="29"/>
      <c r="D742" s="29"/>
      <c r="E742" s="241"/>
      <c r="F742" s="241"/>
      <c r="G742" s="241"/>
      <c r="H742" s="29"/>
      <c r="I742" s="257"/>
      <c r="J742" s="29"/>
      <c r="K742" s="32"/>
      <c r="L742" s="29"/>
      <c r="M742" s="29"/>
      <c r="N742" s="29"/>
    </row>
    <row r="743">
      <c r="A743" s="32"/>
      <c r="B743" s="29"/>
      <c r="C743" s="29"/>
      <c r="D743" s="29"/>
      <c r="E743" s="241"/>
      <c r="F743" s="241"/>
      <c r="G743" s="241"/>
      <c r="H743" s="29"/>
      <c r="I743" s="257"/>
      <c r="J743" s="29"/>
      <c r="K743" s="32"/>
      <c r="L743" s="29"/>
      <c r="M743" s="29"/>
      <c r="N743" s="29"/>
    </row>
    <row r="744">
      <c r="A744" s="32"/>
      <c r="B744" s="29"/>
      <c r="C744" s="29"/>
      <c r="D744" s="29"/>
      <c r="E744" s="241"/>
      <c r="F744" s="241"/>
      <c r="G744" s="241"/>
      <c r="H744" s="29"/>
      <c r="I744" s="257"/>
      <c r="J744" s="29"/>
      <c r="K744" s="32"/>
      <c r="L744" s="29"/>
      <c r="M744" s="29"/>
      <c r="N744" s="29"/>
    </row>
    <row r="745">
      <c r="A745" s="32"/>
      <c r="B745" s="29"/>
      <c r="C745" s="29"/>
      <c r="D745" s="29"/>
      <c r="E745" s="241"/>
      <c r="F745" s="241"/>
      <c r="G745" s="241"/>
      <c r="H745" s="29"/>
      <c r="I745" s="257"/>
      <c r="J745" s="29"/>
      <c r="K745" s="32"/>
      <c r="L745" s="29"/>
      <c r="M745" s="29"/>
      <c r="N745" s="29"/>
    </row>
    <row r="746">
      <c r="A746" s="32"/>
      <c r="B746" s="29"/>
      <c r="C746" s="29"/>
      <c r="D746" s="29"/>
      <c r="E746" s="241"/>
      <c r="F746" s="241"/>
      <c r="G746" s="241"/>
      <c r="H746" s="29"/>
      <c r="I746" s="257"/>
      <c r="J746" s="29"/>
      <c r="K746" s="32"/>
      <c r="L746" s="29"/>
      <c r="M746" s="29"/>
      <c r="N746" s="29"/>
    </row>
    <row r="747">
      <c r="A747" s="32"/>
      <c r="B747" s="29"/>
      <c r="C747" s="29"/>
      <c r="D747" s="29"/>
      <c r="E747" s="241"/>
      <c r="F747" s="241"/>
      <c r="G747" s="241"/>
      <c r="H747" s="29"/>
      <c r="I747" s="257"/>
      <c r="J747" s="29"/>
      <c r="K747" s="32"/>
      <c r="L747" s="29"/>
      <c r="M747" s="29"/>
      <c r="N747" s="29"/>
    </row>
    <row r="748">
      <c r="A748" s="32"/>
      <c r="B748" s="29"/>
      <c r="C748" s="29"/>
      <c r="D748" s="29"/>
      <c r="E748" s="241"/>
      <c r="F748" s="241"/>
      <c r="G748" s="241"/>
      <c r="H748" s="29"/>
      <c r="I748" s="257"/>
      <c r="J748" s="29"/>
      <c r="K748" s="32"/>
      <c r="L748" s="29"/>
      <c r="M748" s="29"/>
      <c r="N748" s="29"/>
    </row>
    <row r="749">
      <c r="A749" s="32"/>
      <c r="B749" s="29"/>
      <c r="C749" s="29"/>
      <c r="D749" s="29"/>
      <c r="E749" s="241"/>
      <c r="F749" s="241"/>
      <c r="G749" s="241"/>
      <c r="H749" s="29"/>
      <c r="I749" s="257"/>
      <c r="J749" s="29"/>
      <c r="K749" s="32"/>
      <c r="L749" s="29"/>
      <c r="M749" s="29"/>
      <c r="N749" s="29"/>
    </row>
    <row r="750">
      <c r="A750" s="32"/>
      <c r="B750" s="29"/>
      <c r="C750" s="29"/>
      <c r="D750" s="29"/>
      <c r="E750" s="241"/>
      <c r="F750" s="241"/>
      <c r="G750" s="241"/>
      <c r="H750" s="29"/>
      <c r="I750" s="257"/>
      <c r="J750" s="29"/>
      <c r="K750" s="32"/>
      <c r="L750" s="29"/>
      <c r="M750" s="29"/>
      <c r="N750" s="29"/>
    </row>
    <row r="751">
      <c r="A751" s="32"/>
      <c r="B751" s="29"/>
      <c r="C751" s="29"/>
      <c r="D751" s="29"/>
      <c r="E751" s="241"/>
      <c r="F751" s="241"/>
      <c r="G751" s="241"/>
      <c r="H751" s="29"/>
      <c r="I751" s="257"/>
      <c r="J751" s="29"/>
      <c r="K751" s="32"/>
      <c r="L751" s="29"/>
      <c r="M751" s="29"/>
      <c r="N751" s="29"/>
    </row>
    <row r="752">
      <c r="A752" s="32"/>
      <c r="B752" s="29"/>
      <c r="C752" s="29"/>
      <c r="D752" s="29"/>
      <c r="E752" s="241"/>
      <c r="F752" s="241"/>
      <c r="G752" s="241"/>
      <c r="H752" s="29"/>
      <c r="I752" s="257"/>
      <c r="J752" s="29"/>
      <c r="K752" s="32"/>
      <c r="L752" s="29"/>
      <c r="M752" s="29"/>
      <c r="N752" s="29"/>
    </row>
    <row r="753">
      <c r="A753" s="32"/>
      <c r="B753" s="29"/>
      <c r="C753" s="29"/>
      <c r="D753" s="29"/>
      <c r="E753" s="241"/>
      <c r="F753" s="241"/>
      <c r="G753" s="241"/>
      <c r="H753" s="29"/>
      <c r="I753" s="257"/>
      <c r="J753" s="29"/>
      <c r="K753" s="32"/>
      <c r="L753" s="29"/>
      <c r="M753" s="29"/>
      <c r="N753" s="29"/>
    </row>
    <row r="754">
      <c r="A754" s="32"/>
      <c r="B754" s="29"/>
      <c r="C754" s="29"/>
      <c r="D754" s="29"/>
      <c r="E754" s="241"/>
      <c r="F754" s="241"/>
      <c r="G754" s="241"/>
      <c r="H754" s="29"/>
      <c r="I754" s="257"/>
      <c r="J754" s="29"/>
      <c r="K754" s="32"/>
      <c r="L754" s="29"/>
      <c r="M754" s="29"/>
      <c r="N754" s="29"/>
    </row>
    <row r="755">
      <c r="A755" s="32"/>
      <c r="B755" s="29"/>
      <c r="C755" s="29"/>
      <c r="D755" s="29"/>
      <c r="E755" s="241"/>
      <c r="F755" s="241"/>
      <c r="G755" s="241"/>
      <c r="H755" s="29"/>
      <c r="I755" s="257"/>
      <c r="J755" s="29"/>
      <c r="K755" s="32"/>
      <c r="L755" s="29"/>
      <c r="M755" s="29"/>
      <c r="N755" s="29"/>
    </row>
    <row r="756">
      <c r="A756" s="32"/>
      <c r="B756" s="29"/>
      <c r="C756" s="29"/>
      <c r="D756" s="29"/>
      <c r="E756" s="241"/>
      <c r="F756" s="241"/>
      <c r="G756" s="241"/>
      <c r="H756" s="29"/>
      <c r="I756" s="257"/>
      <c r="J756" s="29"/>
      <c r="K756" s="32"/>
      <c r="L756" s="29"/>
      <c r="M756" s="29"/>
      <c r="N756" s="29"/>
    </row>
    <row r="757">
      <c r="A757" s="32"/>
      <c r="B757" s="29"/>
      <c r="C757" s="29"/>
      <c r="D757" s="29"/>
      <c r="E757" s="241"/>
      <c r="F757" s="241"/>
      <c r="G757" s="241"/>
      <c r="H757" s="29"/>
      <c r="I757" s="257"/>
      <c r="J757" s="29"/>
      <c r="K757" s="32"/>
      <c r="L757" s="29"/>
      <c r="M757" s="29"/>
      <c r="N757" s="29"/>
    </row>
    <row r="758">
      <c r="A758" s="32"/>
      <c r="B758" s="29"/>
      <c r="C758" s="29"/>
      <c r="D758" s="29"/>
      <c r="E758" s="241"/>
      <c r="F758" s="241"/>
      <c r="G758" s="241"/>
      <c r="H758" s="29"/>
      <c r="I758" s="257"/>
      <c r="J758" s="29"/>
      <c r="K758" s="32"/>
      <c r="L758" s="29"/>
      <c r="M758" s="29"/>
      <c r="N758" s="29"/>
    </row>
    <row r="759">
      <c r="A759" s="32"/>
      <c r="B759" s="29"/>
      <c r="C759" s="29"/>
      <c r="D759" s="29"/>
      <c r="E759" s="241"/>
      <c r="F759" s="241"/>
      <c r="G759" s="241"/>
      <c r="H759" s="29"/>
      <c r="I759" s="257"/>
      <c r="J759" s="29"/>
      <c r="K759" s="32"/>
      <c r="L759" s="29"/>
      <c r="M759" s="29"/>
      <c r="N759" s="29"/>
    </row>
    <row r="760">
      <c r="A760" s="32"/>
      <c r="B760" s="29"/>
      <c r="C760" s="29"/>
      <c r="D760" s="29"/>
      <c r="E760" s="241"/>
      <c r="F760" s="241"/>
      <c r="G760" s="241"/>
      <c r="H760" s="29"/>
      <c r="I760" s="257"/>
      <c r="J760" s="29"/>
      <c r="K760" s="32"/>
      <c r="L760" s="29"/>
      <c r="M760" s="29"/>
      <c r="N760" s="29"/>
    </row>
    <row r="761">
      <c r="A761" s="32"/>
      <c r="B761" s="29"/>
      <c r="C761" s="29"/>
      <c r="D761" s="29"/>
      <c r="E761" s="241"/>
      <c r="F761" s="241"/>
      <c r="G761" s="241"/>
      <c r="H761" s="29"/>
      <c r="I761" s="257"/>
      <c r="J761" s="29"/>
      <c r="K761" s="32"/>
      <c r="L761" s="29"/>
      <c r="M761" s="29"/>
      <c r="N761" s="29"/>
    </row>
    <row r="762">
      <c r="A762" s="32"/>
      <c r="B762" s="29"/>
      <c r="C762" s="29"/>
      <c r="D762" s="29"/>
      <c r="E762" s="241"/>
      <c r="F762" s="241"/>
      <c r="G762" s="241"/>
      <c r="H762" s="29"/>
      <c r="I762" s="257"/>
      <c r="J762" s="29"/>
      <c r="K762" s="32"/>
      <c r="L762" s="29"/>
      <c r="M762" s="29"/>
      <c r="N762" s="29"/>
    </row>
    <row r="763">
      <c r="A763" s="32"/>
      <c r="B763" s="29"/>
      <c r="C763" s="29"/>
      <c r="D763" s="29"/>
      <c r="E763" s="241"/>
      <c r="F763" s="241"/>
      <c r="G763" s="241"/>
      <c r="H763" s="29"/>
      <c r="I763" s="257"/>
      <c r="J763" s="29"/>
      <c r="K763" s="32"/>
      <c r="L763" s="29"/>
      <c r="M763" s="29"/>
      <c r="N763" s="29"/>
    </row>
    <row r="764">
      <c r="A764" s="32"/>
      <c r="B764" s="29"/>
      <c r="C764" s="29"/>
      <c r="D764" s="29"/>
      <c r="E764" s="241"/>
      <c r="F764" s="241"/>
      <c r="G764" s="241"/>
      <c r="H764" s="29"/>
      <c r="I764" s="257"/>
      <c r="J764" s="29"/>
      <c r="K764" s="32"/>
      <c r="L764" s="29"/>
      <c r="M764" s="29"/>
      <c r="N764" s="29"/>
    </row>
    <row r="765">
      <c r="A765" s="32"/>
      <c r="B765" s="29"/>
      <c r="C765" s="29"/>
      <c r="D765" s="29"/>
      <c r="E765" s="241"/>
      <c r="F765" s="241"/>
      <c r="G765" s="241"/>
      <c r="H765" s="29"/>
      <c r="I765" s="257"/>
      <c r="J765" s="29"/>
      <c r="K765" s="32"/>
      <c r="L765" s="29"/>
      <c r="M765" s="29"/>
      <c r="N765" s="29"/>
    </row>
    <row r="766">
      <c r="A766" s="32"/>
      <c r="B766" s="29"/>
      <c r="C766" s="29"/>
      <c r="D766" s="29"/>
      <c r="E766" s="241"/>
      <c r="F766" s="241"/>
      <c r="G766" s="241"/>
      <c r="H766" s="29"/>
      <c r="I766" s="257"/>
      <c r="J766" s="29"/>
      <c r="K766" s="32"/>
      <c r="L766" s="29"/>
      <c r="M766" s="29"/>
      <c r="N766" s="29"/>
    </row>
    <row r="767">
      <c r="A767" s="32"/>
      <c r="B767" s="29"/>
      <c r="C767" s="29"/>
      <c r="D767" s="29"/>
      <c r="E767" s="241"/>
      <c r="F767" s="241"/>
      <c r="G767" s="241"/>
      <c r="H767" s="29"/>
      <c r="I767" s="257"/>
      <c r="J767" s="29"/>
      <c r="K767" s="32"/>
      <c r="L767" s="29"/>
      <c r="M767" s="29"/>
      <c r="N767" s="29"/>
    </row>
    <row r="768">
      <c r="A768" s="32"/>
      <c r="B768" s="29"/>
      <c r="C768" s="29"/>
      <c r="D768" s="29"/>
      <c r="E768" s="241"/>
      <c r="F768" s="241"/>
      <c r="G768" s="241"/>
      <c r="H768" s="29"/>
      <c r="I768" s="257"/>
      <c r="J768" s="29"/>
      <c r="K768" s="32"/>
      <c r="L768" s="29"/>
      <c r="M768" s="29"/>
      <c r="N768" s="29"/>
    </row>
    <row r="769">
      <c r="A769" s="32"/>
      <c r="B769" s="29"/>
      <c r="C769" s="29"/>
      <c r="D769" s="29"/>
      <c r="E769" s="241"/>
      <c r="F769" s="241"/>
      <c r="G769" s="241"/>
      <c r="H769" s="29"/>
      <c r="I769" s="257"/>
      <c r="J769" s="29"/>
      <c r="K769" s="32"/>
      <c r="L769" s="29"/>
      <c r="M769" s="29"/>
      <c r="N769" s="29"/>
    </row>
    <row r="770">
      <c r="A770" s="32"/>
      <c r="B770" s="29"/>
      <c r="C770" s="29"/>
      <c r="D770" s="29"/>
      <c r="E770" s="241"/>
      <c r="F770" s="241"/>
      <c r="G770" s="241"/>
      <c r="H770" s="29"/>
      <c r="I770" s="257"/>
      <c r="J770" s="29"/>
      <c r="K770" s="32"/>
      <c r="L770" s="29"/>
      <c r="M770" s="29"/>
      <c r="N770" s="29"/>
    </row>
    <row r="771">
      <c r="A771" s="32"/>
      <c r="B771" s="29"/>
      <c r="C771" s="29"/>
      <c r="D771" s="29"/>
      <c r="E771" s="241"/>
      <c r="F771" s="241"/>
      <c r="G771" s="241"/>
      <c r="H771" s="29"/>
      <c r="I771" s="257"/>
      <c r="J771" s="29"/>
      <c r="K771" s="32"/>
      <c r="L771" s="29"/>
      <c r="M771" s="29"/>
      <c r="N771" s="29"/>
    </row>
    <row r="772">
      <c r="A772" s="32"/>
      <c r="B772" s="29"/>
      <c r="C772" s="29"/>
      <c r="D772" s="29"/>
      <c r="E772" s="241"/>
      <c r="F772" s="241"/>
      <c r="G772" s="241"/>
      <c r="H772" s="29"/>
      <c r="I772" s="257"/>
      <c r="J772" s="29"/>
      <c r="K772" s="32"/>
      <c r="L772" s="29"/>
      <c r="M772" s="29"/>
      <c r="N772" s="29"/>
    </row>
    <row r="773">
      <c r="A773" s="32"/>
      <c r="B773" s="29"/>
      <c r="C773" s="29"/>
      <c r="D773" s="29"/>
      <c r="E773" s="241"/>
      <c r="F773" s="241"/>
      <c r="G773" s="241"/>
      <c r="H773" s="29"/>
      <c r="I773" s="257"/>
      <c r="J773" s="29"/>
      <c r="K773" s="32"/>
      <c r="L773" s="29"/>
      <c r="M773" s="29"/>
      <c r="N773" s="29"/>
    </row>
    <row r="774">
      <c r="A774" s="32"/>
      <c r="B774" s="29"/>
      <c r="C774" s="29"/>
      <c r="D774" s="29"/>
      <c r="E774" s="241"/>
      <c r="F774" s="241"/>
      <c r="G774" s="241"/>
      <c r="H774" s="29"/>
      <c r="I774" s="257"/>
      <c r="J774" s="29"/>
      <c r="K774" s="32"/>
      <c r="L774" s="29"/>
      <c r="M774" s="29"/>
      <c r="N774" s="29"/>
    </row>
    <row r="775">
      <c r="A775" s="32"/>
      <c r="B775" s="29"/>
      <c r="C775" s="29"/>
      <c r="D775" s="29"/>
      <c r="E775" s="241"/>
      <c r="F775" s="241"/>
      <c r="G775" s="241"/>
      <c r="H775" s="29"/>
      <c r="I775" s="257"/>
      <c r="J775" s="29"/>
      <c r="K775" s="32"/>
      <c r="L775" s="29"/>
      <c r="M775" s="29"/>
      <c r="N775" s="29"/>
    </row>
    <row r="776">
      <c r="A776" s="32"/>
      <c r="B776" s="29"/>
      <c r="C776" s="29"/>
      <c r="D776" s="29"/>
      <c r="E776" s="241"/>
      <c r="F776" s="241"/>
      <c r="G776" s="241"/>
      <c r="H776" s="29"/>
      <c r="I776" s="257"/>
      <c r="J776" s="29"/>
      <c r="K776" s="32"/>
      <c r="L776" s="29"/>
      <c r="M776" s="29"/>
      <c r="N776" s="29"/>
    </row>
    <row r="777">
      <c r="A777" s="32"/>
      <c r="B777" s="29"/>
      <c r="C777" s="29"/>
      <c r="D777" s="29"/>
      <c r="E777" s="241"/>
      <c r="F777" s="241"/>
      <c r="G777" s="241"/>
      <c r="H777" s="29"/>
      <c r="I777" s="257"/>
      <c r="J777" s="29"/>
      <c r="K777" s="32"/>
      <c r="L777" s="29"/>
      <c r="M777" s="29"/>
      <c r="N777" s="29"/>
    </row>
    <row r="778">
      <c r="A778" s="32"/>
      <c r="B778" s="29"/>
      <c r="C778" s="29"/>
      <c r="D778" s="29"/>
      <c r="E778" s="241"/>
      <c r="F778" s="241"/>
      <c r="G778" s="241"/>
      <c r="H778" s="29"/>
      <c r="I778" s="257"/>
      <c r="J778" s="29"/>
      <c r="K778" s="32"/>
      <c r="L778" s="29"/>
      <c r="M778" s="29"/>
      <c r="N778" s="29"/>
    </row>
    <row r="779">
      <c r="A779" s="32"/>
      <c r="B779" s="29"/>
      <c r="C779" s="29"/>
      <c r="D779" s="29"/>
      <c r="E779" s="241"/>
      <c r="F779" s="241"/>
      <c r="G779" s="241"/>
      <c r="H779" s="29"/>
      <c r="I779" s="257"/>
      <c r="J779" s="29"/>
      <c r="K779" s="32"/>
      <c r="L779" s="29"/>
      <c r="M779" s="29"/>
      <c r="N779" s="29"/>
    </row>
    <row r="780">
      <c r="A780" s="32"/>
      <c r="B780" s="29"/>
      <c r="C780" s="29"/>
      <c r="D780" s="29"/>
      <c r="E780" s="241"/>
      <c r="F780" s="241"/>
      <c r="G780" s="241"/>
      <c r="H780" s="29"/>
      <c r="I780" s="257"/>
      <c r="J780" s="29"/>
      <c r="K780" s="32"/>
      <c r="L780" s="29"/>
      <c r="M780" s="29"/>
      <c r="N780" s="29"/>
    </row>
    <row r="781">
      <c r="A781" s="32"/>
      <c r="B781" s="29"/>
      <c r="C781" s="29"/>
      <c r="D781" s="29"/>
      <c r="E781" s="241"/>
      <c r="F781" s="241"/>
      <c r="G781" s="241"/>
      <c r="H781" s="29"/>
      <c r="I781" s="257"/>
      <c r="J781" s="29"/>
      <c r="K781" s="32"/>
      <c r="L781" s="29"/>
      <c r="M781" s="29"/>
      <c r="N781" s="29"/>
    </row>
    <row r="782">
      <c r="A782" s="32"/>
      <c r="B782" s="29"/>
      <c r="C782" s="29"/>
      <c r="D782" s="29"/>
      <c r="E782" s="241"/>
      <c r="F782" s="241"/>
      <c r="G782" s="241"/>
      <c r="H782" s="29"/>
      <c r="I782" s="257"/>
      <c r="J782" s="29"/>
      <c r="K782" s="32"/>
      <c r="L782" s="29"/>
      <c r="M782" s="29"/>
      <c r="N782" s="29"/>
    </row>
    <row r="783">
      <c r="A783" s="32"/>
      <c r="B783" s="29"/>
      <c r="C783" s="29"/>
      <c r="D783" s="29"/>
      <c r="E783" s="241"/>
      <c r="F783" s="241"/>
      <c r="G783" s="241"/>
      <c r="H783" s="29"/>
      <c r="I783" s="257"/>
      <c r="J783" s="29"/>
      <c r="K783" s="32"/>
      <c r="L783" s="29"/>
      <c r="M783" s="29"/>
      <c r="N783" s="29"/>
    </row>
    <row r="784">
      <c r="A784" s="32"/>
      <c r="B784" s="29"/>
      <c r="C784" s="29"/>
      <c r="D784" s="29"/>
      <c r="E784" s="241"/>
      <c r="F784" s="241"/>
      <c r="G784" s="241"/>
      <c r="H784" s="29"/>
      <c r="I784" s="257"/>
      <c r="J784" s="29"/>
      <c r="K784" s="32"/>
      <c r="L784" s="29"/>
      <c r="M784" s="29"/>
      <c r="N784" s="29"/>
    </row>
    <row r="785">
      <c r="A785" s="32"/>
      <c r="B785" s="29"/>
      <c r="C785" s="29"/>
      <c r="D785" s="29"/>
      <c r="E785" s="241"/>
      <c r="F785" s="241"/>
      <c r="G785" s="241"/>
      <c r="H785" s="29"/>
      <c r="I785" s="257"/>
      <c r="J785" s="29"/>
      <c r="K785" s="32"/>
      <c r="L785" s="29"/>
      <c r="M785" s="29"/>
      <c r="N785" s="29"/>
    </row>
    <row r="786">
      <c r="A786" s="32"/>
      <c r="B786" s="29"/>
      <c r="C786" s="29"/>
      <c r="D786" s="29"/>
      <c r="E786" s="241"/>
      <c r="F786" s="241"/>
      <c r="G786" s="241"/>
      <c r="H786" s="29"/>
      <c r="I786" s="257"/>
      <c r="J786" s="29"/>
      <c r="K786" s="32"/>
      <c r="L786" s="29"/>
      <c r="M786" s="29"/>
      <c r="N786" s="29"/>
    </row>
    <row r="787">
      <c r="A787" s="32"/>
      <c r="B787" s="29"/>
      <c r="C787" s="29"/>
      <c r="D787" s="29"/>
      <c r="E787" s="241"/>
      <c r="F787" s="241"/>
      <c r="G787" s="241"/>
      <c r="H787" s="29"/>
      <c r="I787" s="257"/>
      <c r="J787" s="29"/>
      <c r="K787" s="32"/>
      <c r="L787" s="29"/>
      <c r="M787" s="29"/>
      <c r="N787" s="29"/>
    </row>
    <row r="788">
      <c r="A788" s="32"/>
      <c r="B788" s="29"/>
      <c r="C788" s="29"/>
      <c r="D788" s="29"/>
      <c r="E788" s="241"/>
      <c r="F788" s="241"/>
      <c r="G788" s="241"/>
      <c r="H788" s="29"/>
      <c r="I788" s="257"/>
      <c r="J788" s="29"/>
      <c r="K788" s="32"/>
      <c r="L788" s="29"/>
      <c r="M788" s="29"/>
      <c r="N788" s="29"/>
    </row>
    <row r="789">
      <c r="A789" s="32"/>
      <c r="B789" s="29"/>
      <c r="C789" s="29"/>
      <c r="D789" s="29"/>
      <c r="E789" s="241"/>
      <c r="F789" s="241"/>
      <c r="G789" s="241"/>
      <c r="H789" s="29"/>
      <c r="I789" s="257"/>
      <c r="J789" s="29"/>
      <c r="K789" s="32"/>
      <c r="L789" s="29"/>
      <c r="M789" s="29"/>
      <c r="N789" s="29"/>
    </row>
    <row r="790">
      <c r="A790" s="32"/>
      <c r="B790" s="29"/>
      <c r="C790" s="29"/>
      <c r="D790" s="29"/>
      <c r="E790" s="241"/>
      <c r="F790" s="241"/>
      <c r="G790" s="241"/>
      <c r="H790" s="29"/>
      <c r="I790" s="257"/>
      <c r="J790" s="29"/>
      <c r="K790" s="32"/>
      <c r="L790" s="29"/>
      <c r="M790" s="29"/>
      <c r="N790" s="29"/>
    </row>
    <row r="791">
      <c r="A791" s="32"/>
      <c r="B791" s="29"/>
      <c r="C791" s="29"/>
      <c r="D791" s="29"/>
      <c r="E791" s="241"/>
      <c r="F791" s="241"/>
      <c r="G791" s="241"/>
      <c r="H791" s="29"/>
      <c r="I791" s="257"/>
      <c r="J791" s="29"/>
      <c r="K791" s="32"/>
      <c r="L791" s="29"/>
      <c r="M791" s="29"/>
      <c r="N791" s="29"/>
    </row>
    <row r="792">
      <c r="A792" s="32"/>
      <c r="B792" s="29"/>
      <c r="C792" s="29"/>
      <c r="D792" s="29"/>
      <c r="E792" s="241"/>
      <c r="F792" s="241"/>
      <c r="G792" s="241"/>
      <c r="H792" s="29"/>
      <c r="I792" s="257"/>
      <c r="J792" s="29"/>
      <c r="K792" s="32"/>
      <c r="L792" s="29"/>
      <c r="M792" s="29"/>
      <c r="N792" s="29"/>
    </row>
    <row r="793">
      <c r="A793" s="32"/>
      <c r="B793" s="29"/>
      <c r="C793" s="29"/>
      <c r="D793" s="29"/>
      <c r="E793" s="241"/>
      <c r="F793" s="241"/>
      <c r="G793" s="241"/>
      <c r="H793" s="29"/>
      <c r="I793" s="257"/>
      <c r="J793" s="29"/>
      <c r="K793" s="32"/>
      <c r="L793" s="29"/>
      <c r="M793" s="29"/>
      <c r="N793" s="29"/>
    </row>
    <row r="794">
      <c r="A794" s="32"/>
      <c r="B794" s="29"/>
      <c r="C794" s="29"/>
      <c r="D794" s="29"/>
      <c r="E794" s="241"/>
      <c r="F794" s="241"/>
      <c r="G794" s="241"/>
      <c r="H794" s="29"/>
      <c r="I794" s="257"/>
      <c r="J794" s="29"/>
      <c r="K794" s="32"/>
      <c r="L794" s="29"/>
      <c r="M794" s="29"/>
      <c r="N794" s="29"/>
    </row>
    <row r="795">
      <c r="A795" s="32"/>
      <c r="B795" s="29"/>
      <c r="C795" s="29"/>
      <c r="D795" s="29"/>
      <c r="E795" s="241"/>
      <c r="F795" s="241"/>
      <c r="G795" s="241"/>
      <c r="H795" s="29"/>
      <c r="I795" s="257"/>
      <c r="J795" s="29"/>
      <c r="K795" s="32"/>
      <c r="L795" s="29"/>
      <c r="M795" s="29"/>
      <c r="N795" s="29"/>
    </row>
    <row r="796">
      <c r="A796" s="32"/>
      <c r="B796" s="29"/>
      <c r="C796" s="29"/>
      <c r="D796" s="29"/>
      <c r="E796" s="241"/>
      <c r="F796" s="241"/>
      <c r="G796" s="241"/>
      <c r="H796" s="29"/>
      <c r="I796" s="257"/>
      <c r="J796" s="29"/>
      <c r="K796" s="32"/>
      <c r="L796" s="29"/>
      <c r="M796" s="29"/>
      <c r="N796" s="29"/>
    </row>
    <row r="797">
      <c r="A797" s="32"/>
      <c r="B797" s="29"/>
      <c r="C797" s="29"/>
      <c r="D797" s="29"/>
      <c r="E797" s="241"/>
      <c r="F797" s="241"/>
      <c r="G797" s="241"/>
      <c r="H797" s="29"/>
      <c r="I797" s="257"/>
      <c r="J797" s="29"/>
      <c r="K797" s="32"/>
      <c r="L797" s="29"/>
      <c r="M797" s="29"/>
      <c r="N797" s="29"/>
    </row>
    <row r="798">
      <c r="A798" s="32"/>
      <c r="B798" s="29"/>
      <c r="C798" s="29"/>
      <c r="D798" s="29"/>
      <c r="E798" s="241"/>
      <c r="F798" s="241"/>
      <c r="G798" s="241"/>
      <c r="H798" s="29"/>
      <c r="I798" s="257"/>
      <c r="J798" s="29"/>
      <c r="K798" s="32"/>
      <c r="L798" s="29"/>
      <c r="M798" s="29"/>
      <c r="N798" s="29"/>
    </row>
    <row r="799">
      <c r="A799" s="32"/>
      <c r="B799" s="29"/>
      <c r="C799" s="29"/>
      <c r="D799" s="29"/>
      <c r="E799" s="241"/>
      <c r="F799" s="241"/>
      <c r="G799" s="241"/>
      <c r="H799" s="29"/>
      <c r="I799" s="257"/>
      <c r="J799" s="29"/>
      <c r="K799" s="32"/>
      <c r="L799" s="29"/>
      <c r="M799" s="29"/>
      <c r="N799" s="29"/>
    </row>
    <row r="800">
      <c r="A800" s="32"/>
      <c r="B800" s="29"/>
      <c r="C800" s="29"/>
      <c r="D800" s="29"/>
      <c r="E800" s="241"/>
      <c r="F800" s="241"/>
      <c r="G800" s="241"/>
      <c r="H800" s="29"/>
      <c r="I800" s="257"/>
      <c r="J800" s="29"/>
      <c r="K800" s="32"/>
      <c r="L800" s="29"/>
      <c r="M800" s="29"/>
      <c r="N800" s="29"/>
    </row>
    <row r="801">
      <c r="A801" s="32"/>
      <c r="B801" s="29"/>
      <c r="C801" s="29"/>
      <c r="D801" s="29"/>
      <c r="E801" s="241"/>
      <c r="F801" s="241"/>
      <c r="G801" s="241"/>
      <c r="H801" s="29"/>
      <c r="I801" s="257"/>
      <c r="J801" s="29"/>
      <c r="K801" s="32"/>
      <c r="L801" s="29"/>
      <c r="M801" s="29"/>
      <c r="N801" s="29"/>
    </row>
    <row r="802">
      <c r="A802" s="32"/>
      <c r="B802" s="29"/>
      <c r="C802" s="29"/>
      <c r="D802" s="29"/>
      <c r="E802" s="241"/>
      <c r="F802" s="241"/>
      <c r="G802" s="241"/>
      <c r="H802" s="29"/>
      <c r="I802" s="257"/>
      <c r="J802" s="29"/>
      <c r="K802" s="32"/>
      <c r="L802" s="29"/>
      <c r="M802" s="29"/>
      <c r="N802" s="29"/>
    </row>
    <row r="803">
      <c r="A803" s="32"/>
      <c r="B803" s="29"/>
      <c r="C803" s="29"/>
      <c r="D803" s="29"/>
      <c r="E803" s="241"/>
      <c r="F803" s="241"/>
      <c r="G803" s="241"/>
      <c r="H803" s="29"/>
      <c r="I803" s="257"/>
      <c r="J803" s="29"/>
      <c r="K803" s="32"/>
      <c r="L803" s="29"/>
      <c r="M803" s="29"/>
      <c r="N803" s="29"/>
    </row>
    <row r="804">
      <c r="A804" s="32"/>
      <c r="B804" s="29"/>
      <c r="C804" s="29"/>
      <c r="D804" s="29"/>
      <c r="E804" s="241"/>
      <c r="F804" s="241"/>
      <c r="G804" s="241"/>
      <c r="H804" s="29"/>
      <c r="I804" s="257"/>
      <c r="J804" s="29"/>
      <c r="K804" s="32"/>
      <c r="L804" s="29"/>
      <c r="M804" s="29"/>
      <c r="N804" s="29"/>
    </row>
    <row r="805">
      <c r="A805" s="32"/>
      <c r="B805" s="29"/>
      <c r="C805" s="29"/>
      <c r="D805" s="29"/>
      <c r="E805" s="241"/>
      <c r="F805" s="241"/>
      <c r="G805" s="241"/>
      <c r="H805" s="29"/>
      <c r="I805" s="257"/>
      <c r="J805" s="29"/>
      <c r="K805" s="32"/>
      <c r="L805" s="29"/>
      <c r="M805" s="29"/>
      <c r="N805" s="29"/>
    </row>
    <row r="806">
      <c r="A806" s="32"/>
      <c r="B806" s="29"/>
      <c r="C806" s="29"/>
      <c r="D806" s="29"/>
      <c r="E806" s="241"/>
      <c r="F806" s="241"/>
      <c r="G806" s="241"/>
      <c r="H806" s="29"/>
      <c r="I806" s="257"/>
      <c r="J806" s="29"/>
      <c r="K806" s="32"/>
      <c r="L806" s="29"/>
      <c r="M806" s="29"/>
      <c r="N806" s="29"/>
    </row>
    <row r="807">
      <c r="A807" s="32"/>
      <c r="B807" s="29"/>
      <c r="C807" s="29"/>
      <c r="D807" s="29"/>
      <c r="E807" s="241"/>
      <c r="F807" s="241"/>
      <c r="G807" s="241"/>
      <c r="H807" s="29"/>
      <c r="I807" s="257"/>
      <c r="J807" s="29"/>
      <c r="K807" s="32"/>
      <c r="L807" s="29"/>
      <c r="M807" s="29"/>
      <c r="N807" s="29"/>
    </row>
    <row r="808">
      <c r="A808" s="32"/>
      <c r="B808" s="29"/>
      <c r="C808" s="29"/>
      <c r="D808" s="29"/>
      <c r="E808" s="241"/>
      <c r="F808" s="241"/>
      <c r="G808" s="241"/>
      <c r="H808" s="29"/>
      <c r="I808" s="257"/>
      <c r="J808" s="29"/>
      <c r="K808" s="32"/>
      <c r="L808" s="29"/>
      <c r="M808" s="29"/>
      <c r="N808" s="29"/>
    </row>
    <row r="809">
      <c r="A809" s="32"/>
      <c r="B809" s="29"/>
      <c r="C809" s="29"/>
      <c r="D809" s="29"/>
      <c r="E809" s="241"/>
      <c r="F809" s="241"/>
      <c r="G809" s="241"/>
      <c r="H809" s="29"/>
      <c r="I809" s="257"/>
      <c r="J809" s="29"/>
      <c r="K809" s="32"/>
      <c r="L809" s="29"/>
      <c r="M809" s="29"/>
      <c r="N809" s="29"/>
    </row>
    <row r="810">
      <c r="A810" s="32"/>
      <c r="B810" s="29"/>
      <c r="C810" s="29"/>
      <c r="D810" s="29"/>
      <c r="E810" s="241"/>
      <c r="F810" s="241"/>
      <c r="G810" s="241"/>
      <c r="H810" s="29"/>
      <c r="I810" s="257"/>
      <c r="J810" s="29"/>
      <c r="K810" s="32"/>
      <c r="L810" s="29"/>
      <c r="M810" s="29"/>
      <c r="N810" s="29"/>
    </row>
    <row r="811">
      <c r="A811" s="32"/>
      <c r="B811" s="29"/>
      <c r="C811" s="29"/>
      <c r="D811" s="29"/>
      <c r="E811" s="241"/>
      <c r="F811" s="241"/>
      <c r="G811" s="241"/>
      <c r="H811" s="29"/>
      <c r="I811" s="257"/>
      <c r="J811" s="29"/>
      <c r="K811" s="32"/>
      <c r="L811" s="29"/>
      <c r="M811" s="29"/>
      <c r="N811" s="29"/>
    </row>
    <row r="812">
      <c r="A812" s="32"/>
      <c r="B812" s="29"/>
      <c r="C812" s="29"/>
      <c r="D812" s="29"/>
      <c r="E812" s="241"/>
      <c r="F812" s="241"/>
      <c r="G812" s="241"/>
      <c r="H812" s="29"/>
      <c r="I812" s="257"/>
      <c r="J812" s="29"/>
      <c r="K812" s="32"/>
      <c r="L812" s="29"/>
      <c r="M812" s="29"/>
      <c r="N812" s="29"/>
    </row>
    <row r="813">
      <c r="A813" s="32"/>
      <c r="B813" s="29"/>
      <c r="C813" s="29"/>
      <c r="D813" s="29"/>
      <c r="E813" s="241"/>
      <c r="F813" s="241"/>
      <c r="G813" s="241"/>
      <c r="H813" s="29"/>
      <c r="I813" s="257"/>
      <c r="J813" s="29"/>
      <c r="K813" s="32"/>
      <c r="L813" s="29"/>
      <c r="M813" s="29"/>
      <c r="N813" s="29"/>
    </row>
    <row r="814">
      <c r="A814" s="32"/>
      <c r="B814" s="29"/>
      <c r="C814" s="29"/>
      <c r="D814" s="29"/>
      <c r="E814" s="241"/>
      <c r="F814" s="241"/>
      <c r="G814" s="241"/>
      <c r="H814" s="29"/>
      <c r="I814" s="257"/>
      <c r="J814" s="29"/>
      <c r="K814" s="32"/>
      <c r="L814" s="29"/>
      <c r="M814" s="29"/>
      <c r="N814" s="29"/>
    </row>
    <row r="815">
      <c r="A815" s="32"/>
      <c r="B815" s="29"/>
      <c r="C815" s="29"/>
      <c r="D815" s="29"/>
      <c r="E815" s="241"/>
      <c r="F815" s="241"/>
      <c r="G815" s="241"/>
      <c r="H815" s="29"/>
      <c r="I815" s="257"/>
      <c r="J815" s="29"/>
      <c r="K815" s="32"/>
      <c r="L815" s="29"/>
      <c r="M815" s="29"/>
      <c r="N815" s="29"/>
    </row>
    <row r="816">
      <c r="A816" s="32"/>
      <c r="B816" s="29"/>
      <c r="C816" s="29"/>
      <c r="D816" s="29"/>
      <c r="E816" s="241"/>
      <c r="F816" s="241"/>
      <c r="G816" s="241"/>
      <c r="H816" s="29"/>
      <c r="I816" s="257"/>
      <c r="J816" s="29"/>
      <c r="K816" s="32"/>
      <c r="L816" s="29"/>
      <c r="M816" s="29"/>
      <c r="N816" s="29"/>
    </row>
    <row r="817">
      <c r="A817" s="32"/>
      <c r="B817" s="29"/>
      <c r="C817" s="29"/>
      <c r="D817" s="29"/>
      <c r="E817" s="241"/>
      <c r="F817" s="241"/>
      <c r="G817" s="241"/>
      <c r="H817" s="29"/>
      <c r="I817" s="257"/>
      <c r="J817" s="29"/>
      <c r="K817" s="32"/>
      <c r="L817" s="29"/>
      <c r="M817" s="29"/>
      <c r="N817" s="29"/>
    </row>
    <row r="818">
      <c r="A818" s="32"/>
      <c r="B818" s="29"/>
      <c r="C818" s="29"/>
      <c r="D818" s="29"/>
      <c r="E818" s="241"/>
      <c r="F818" s="241"/>
      <c r="G818" s="241"/>
      <c r="H818" s="29"/>
      <c r="I818" s="257"/>
      <c r="J818" s="29"/>
      <c r="K818" s="32"/>
      <c r="L818" s="29"/>
      <c r="M818" s="29"/>
      <c r="N818" s="29"/>
    </row>
    <row r="819">
      <c r="A819" s="32"/>
      <c r="B819" s="29"/>
      <c r="C819" s="29"/>
      <c r="D819" s="29"/>
      <c r="E819" s="241"/>
      <c r="F819" s="241"/>
      <c r="G819" s="241"/>
      <c r="H819" s="29"/>
      <c r="I819" s="257"/>
      <c r="J819" s="29"/>
      <c r="K819" s="32"/>
      <c r="L819" s="29"/>
      <c r="M819" s="29"/>
      <c r="N819" s="29"/>
    </row>
    <row r="820">
      <c r="A820" s="32"/>
      <c r="B820" s="29"/>
      <c r="C820" s="29"/>
      <c r="D820" s="29"/>
      <c r="E820" s="241"/>
      <c r="F820" s="241"/>
      <c r="G820" s="241"/>
      <c r="H820" s="29"/>
      <c r="I820" s="257"/>
      <c r="J820" s="29"/>
      <c r="K820" s="32"/>
      <c r="L820" s="29"/>
      <c r="M820" s="29"/>
      <c r="N820" s="29"/>
    </row>
    <row r="821">
      <c r="A821" s="32"/>
      <c r="B821" s="29"/>
      <c r="C821" s="29"/>
      <c r="D821" s="29"/>
      <c r="E821" s="241"/>
      <c r="F821" s="241"/>
      <c r="G821" s="241"/>
      <c r="H821" s="29"/>
      <c r="I821" s="257"/>
      <c r="J821" s="29"/>
      <c r="K821" s="32"/>
      <c r="L821" s="29"/>
      <c r="M821" s="29"/>
      <c r="N821" s="29"/>
    </row>
    <row r="822">
      <c r="A822" s="32"/>
      <c r="B822" s="29"/>
      <c r="C822" s="29"/>
      <c r="D822" s="29"/>
      <c r="E822" s="241"/>
      <c r="F822" s="241"/>
      <c r="G822" s="241"/>
      <c r="H822" s="29"/>
      <c r="I822" s="257"/>
      <c r="J822" s="29"/>
      <c r="K822" s="32"/>
      <c r="L822" s="29"/>
      <c r="M822" s="29"/>
      <c r="N822" s="29"/>
    </row>
    <row r="823">
      <c r="A823" s="32"/>
      <c r="B823" s="29"/>
      <c r="C823" s="29"/>
      <c r="D823" s="29"/>
      <c r="E823" s="241"/>
      <c r="F823" s="241"/>
      <c r="G823" s="241"/>
      <c r="H823" s="29"/>
      <c r="I823" s="257"/>
      <c r="J823" s="29"/>
      <c r="K823" s="32"/>
      <c r="L823" s="29"/>
      <c r="M823" s="29"/>
      <c r="N823" s="29"/>
    </row>
    <row r="824">
      <c r="A824" s="32"/>
      <c r="B824" s="29"/>
      <c r="C824" s="29"/>
      <c r="D824" s="29"/>
      <c r="E824" s="241"/>
      <c r="F824" s="241"/>
      <c r="G824" s="241"/>
      <c r="H824" s="29"/>
      <c r="I824" s="257"/>
      <c r="J824" s="29"/>
      <c r="K824" s="32"/>
      <c r="L824" s="29"/>
      <c r="M824" s="29"/>
      <c r="N824" s="29"/>
    </row>
    <row r="825">
      <c r="A825" s="32"/>
      <c r="B825" s="29"/>
      <c r="C825" s="29"/>
      <c r="D825" s="29"/>
      <c r="E825" s="241"/>
      <c r="F825" s="241"/>
      <c r="G825" s="241"/>
      <c r="H825" s="29"/>
      <c r="I825" s="257"/>
      <c r="J825" s="29"/>
      <c r="K825" s="32"/>
      <c r="L825" s="29"/>
      <c r="M825" s="29"/>
      <c r="N825" s="29"/>
    </row>
    <row r="826">
      <c r="A826" s="32"/>
      <c r="B826" s="29"/>
      <c r="C826" s="29"/>
      <c r="D826" s="29"/>
      <c r="E826" s="241"/>
      <c r="F826" s="241"/>
      <c r="G826" s="241"/>
      <c r="H826" s="29"/>
      <c r="I826" s="257"/>
      <c r="J826" s="29"/>
      <c r="K826" s="32"/>
      <c r="L826" s="29"/>
      <c r="M826" s="29"/>
      <c r="N826" s="29"/>
    </row>
    <row r="827">
      <c r="A827" s="32"/>
      <c r="B827" s="29"/>
      <c r="C827" s="29"/>
      <c r="D827" s="29"/>
      <c r="E827" s="241"/>
      <c r="F827" s="241"/>
      <c r="G827" s="241"/>
      <c r="H827" s="29"/>
      <c r="I827" s="257"/>
      <c r="J827" s="29"/>
      <c r="K827" s="32"/>
      <c r="L827" s="29"/>
      <c r="M827" s="29"/>
      <c r="N827" s="29"/>
    </row>
    <row r="828">
      <c r="A828" s="32"/>
      <c r="B828" s="29"/>
      <c r="C828" s="29"/>
      <c r="D828" s="29"/>
      <c r="E828" s="241"/>
      <c r="F828" s="241"/>
      <c r="G828" s="241"/>
      <c r="H828" s="29"/>
      <c r="I828" s="257"/>
      <c r="J828" s="29"/>
      <c r="K828" s="32"/>
      <c r="L828" s="29"/>
      <c r="M828" s="29"/>
      <c r="N828" s="29"/>
    </row>
    <row r="829">
      <c r="A829" s="32"/>
      <c r="B829" s="29"/>
      <c r="C829" s="29"/>
      <c r="D829" s="29"/>
      <c r="E829" s="241"/>
      <c r="F829" s="241"/>
      <c r="G829" s="241"/>
      <c r="H829" s="29"/>
      <c r="I829" s="257"/>
      <c r="J829" s="29"/>
      <c r="K829" s="32"/>
      <c r="L829" s="29"/>
      <c r="M829" s="29"/>
      <c r="N829" s="29"/>
    </row>
    <row r="830">
      <c r="A830" s="32"/>
      <c r="B830" s="29"/>
      <c r="C830" s="29"/>
      <c r="D830" s="29"/>
      <c r="E830" s="241"/>
      <c r="F830" s="241"/>
      <c r="G830" s="241"/>
      <c r="H830" s="29"/>
      <c r="I830" s="257"/>
      <c r="J830" s="29"/>
      <c r="K830" s="32"/>
      <c r="L830" s="29"/>
      <c r="M830" s="29"/>
      <c r="N830" s="29"/>
    </row>
    <row r="831">
      <c r="A831" s="32"/>
      <c r="B831" s="29"/>
      <c r="C831" s="29"/>
      <c r="D831" s="29"/>
      <c r="E831" s="241"/>
      <c r="F831" s="241"/>
      <c r="G831" s="241"/>
      <c r="H831" s="29"/>
      <c r="I831" s="257"/>
      <c r="J831" s="29"/>
      <c r="K831" s="32"/>
      <c r="L831" s="29"/>
      <c r="M831" s="29"/>
      <c r="N831" s="29"/>
    </row>
    <row r="832">
      <c r="A832" s="32"/>
      <c r="B832" s="29"/>
      <c r="C832" s="29"/>
      <c r="D832" s="29"/>
      <c r="E832" s="241"/>
      <c r="F832" s="241"/>
      <c r="G832" s="241"/>
      <c r="H832" s="29"/>
      <c r="I832" s="257"/>
      <c r="J832" s="29"/>
      <c r="K832" s="32"/>
      <c r="L832" s="29"/>
      <c r="M832" s="29"/>
      <c r="N832" s="29"/>
    </row>
    <row r="833">
      <c r="A833" s="32"/>
      <c r="B833" s="29"/>
      <c r="C833" s="29"/>
      <c r="D833" s="29"/>
      <c r="E833" s="241"/>
      <c r="F833" s="241"/>
      <c r="G833" s="241"/>
      <c r="H833" s="29"/>
      <c r="I833" s="257"/>
      <c r="J833" s="29"/>
      <c r="K833" s="32"/>
      <c r="L833" s="29"/>
      <c r="M833" s="29"/>
      <c r="N833" s="29"/>
    </row>
    <row r="834">
      <c r="A834" s="32"/>
      <c r="B834" s="29"/>
      <c r="C834" s="29"/>
      <c r="D834" s="29"/>
      <c r="E834" s="241"/>
      <c r="F834" s="241"/>
      <c r="G834" s="241"/>
      <c r="H834" s="29"/>
      <c r="I834" s="257"/>
      <c r="J834" s="29"/>
      <c r="K834" s="32"/>
      <c r="L834" s="29"/>
      <c r="M834" s="29"/>
      <c r="N834" s="29"/>
    </row>
    <row r="835">
      <c r="A835" s="32"/>
      <c r="B835" s="29"/>
      <c r="C835" s="29"/>
      <c r="D835" s="29"/>
      <c r="E835" s="241"/>
      <c r="F835" s="241"/>
      <c r="G835" s="241"/>
      <c r="H835" s="29"/>
      <c r="I835" s="257"/>
      <c r="J835" s="29"/>
      <c r="K835" s="32"/>
      <c r="L835" s="29"/>
      <c r="M835" s="29"/>
      <c r="N835" s="29"/>
    </row>
    <row r="836">
      <c r="A836" s="32"/>
      <c r="B836" s="29"/>
      <c r="C836" s="29"/>
      <c r="D836" s="29"/>
      <c r="E836" s="241"/>
      <c r="F836" s="241"/>
      <c r="G836" s="241"/>
      <c r="H836" s="29"/>
      <c r="I836" s="257"/>
      <c r="J836" s="29"/>
      <c r="K836" s="32"/>
      <c r="L836" s="29"/>
      <c r="M836" s="29"/>
      <c r="N836" s="29"/>
    </row>
    <row r="837">
      <c r="A837" s="32"/>
      <c r="B837" s="29"/>
      <c r="C837" s="29"/>
      <c r="D837" s="29"/>
      <c r="E837" s="241"/>
      <c r="F837" s="241"/>
      <c r="G837" s="241"/>
      <c r="H837" s="29"/>
      <c r="I837" s="257"/>
      <c r="J837" s="29"/>
      <c r="K837" s="32"/>
      <c r="L837" s="29"/>
      <c r="M837" s="29"/>
      <c r="N837" s="29"/>
    </row>
    <row r="838">
      <c r="A838" s="32"/>
      <c r="B838" s="29"/>
      <c r="C838" s="29"/>
      <c r="D838" s="29"/>
      <c r="E838" s="241"/>
      <c r="F838" s="241"/>
      <c r="G838" s="241"/>
      <c r="H838" s="29"/>
      <c r="I838" s="257"/>
      <c r="J838" s="29"/>
      <c r="K838" s="32"/>
      <c r="L838" s="29"/>
      <c r="M838" s="29"/>
      <c r="N838" s="29"/>
    </row>
    <row r="839">
      <c r="A839" s="32"/>
      <c r="B839" s="29"/>
      <c r="C839" s="29"/>
      <c r="D839" s="29"/>
      <c r="E839" s="241"/>
      <c r="F839" s="241"/>
      <c r="G839" s="241"/>
      <c r="H839" s="29"/>
      <c r="I839" s="257"/>
      <c r="J839" s="29"/>
      <c r="K839" s="32"/>
      <c r="L839" s="29"/>
      <c r="M839" s="29"/>
      <c r="N839" s="29"/>
    </row>
    <row r="840">
      <c r="A840" s="32"/>
      <c r="B840" s="29"/>
      <c r="C840" s="29"/>
      <c r="D840" s="29"/>
      <c r="E840" s="241"/>
      <c r="F840" s="241"/>
      <c r="G840" s="241"/>
      <c r="H840" s="29"/>
      <c r="I840" s="257"/>
      <c r="J840" s="29"/>
      <c r="K840" s="32"/>
      <c r="L840" s="29"/>
      <c r="M840" s="29"/>
      <c r="N840" s="29"/>
    </row>
    <row r="841">
      <c r="A841" s="32"/>
      <c r="B841" s="29"/>
      <c r="C841" s="29"/>
      <c r="D841" s="29"/>
      <c r="E841" s="241"/>
      <c r="F841" s="241"/>
      <c r="G841" s="241"/>
      <c r="H841" s="29"/>
      <c r="I841" s="257"/>
      <c r="J841" s="29"/>
      <c r="K841" s="32"/>
      <c r="L841" s="29"/>
      <c r="M841" s="29"/>
      <c r="N841" s="29"/>
    </row>
    <row r="842">
      <c r="A842" s="32"/>
      <c r="B842" s="29"/>
      <c r="C842" s="29"/>
      <c r="D842" s="29"/>
      <c r="E842" s="241"/>
      <c r="F842" s="241"/>
      <c r="G842" s="241"/>
      <c r="H842" s="29"/>
      <c r="I842" s="257"/>
      <c r="J842" s="29"/>
      <c r="K842" s="32"/>
      <c r="L842" s="29"/>
      <c r="M842" s="29"/>
      <c r="N842" s="29"/>
    </row>
    <row r="843">
      <c r="A843" s="32"/>
      <c r="B843" s="29"/>
      <c r="C843" s="29"/>
      <c r="D843" s="29"/>
      <c r="E843" s="241"/>
      <c r="F843" s="241"/>
      <c r="G843" s="241"/>
      <c r="H843" s="29"/>
      <c r="I843" s="257"/>
      <c r="J843" s="29"/>
      <c r="K843" s="32"/>
      <c r="L843" s="29"/>
      <c r="M843" s="29"/>
      <c r="N843" s="29"/>
    </row>
    <row r="844">
      <c r="A844" s="32"/>
      <c r="B844" s="29"/>
      <c r="C844" s="29"/>
      <c r="D844" s="29"/>
      <c r="E844" s="241"/>
      <c r="F844" s="241"/>
      <c r="G844" s="241"/>
      <c r="H844" s="29"/>
      <c r="I844" s="257"/>
      <c r="J844" s="29"/>
      <c r="K844" s="32"/>
      <c r="L844" s="29"/>
      <c r="M844" s="29"/>
      <c r="N844" s="29"/>
    </row>
    <row r="845">
      <c r="A845" s="32"/>
      <c r="B845" s="29"/>
      <c r="C845" s="29"/>
      <c r="D845" s="29"/>
      <c r="E845" s="241"/>
      <c r="F845" s="241"/>
      <c r="G845" s="241"/>
      <c r="H845" s="29"/>
      <c r="I845" s="257"/>
      <c r="J845" s="29"/>
      <c r="K845" s="32"/>
      <c r="L845" s="29"/>
      <c r="M845" s="29"/>
      <c r="N845" s="29"/>
    </row>
    <row r="846">
      <c r="A846" s="32"/>
      <c r="B846" s="29"/>
      <c r="C846" s="29"/>
      <c r="D846" s="29"/>
      <c r="E846" s="241"/>
      <c r="F846" s="241"/>
      <c r="G846" s="241"/>
      <c r="H846" s="29"/>
      <c r="I846" s="257"/>
      <c r="J846" s="29"/>
      <c r="K846" s="32"/>
      <c r="L846" s="29"/>
      <c r="M846" s="29"/>
      <c r="N846" s="29"/>
    </row>
    <row r="847">
      <c r="A847" s="32"/>
      <c r="B847" s="29"/>
      <c r="C847" s="29"/>
      <c r="D847" s="29"/>
      <c r="E847" s="241"/>
      <c r="F847" s="241"/>
      <c r="G847" s="241"/>
      <c r="H847" s="29"/>
      <c r="I847" s="257"/>
      <c r="J847" s="29"/>
      <c r="K847" s="32"/>
      <c r="L847" s="29"/>
      <c r="M847" s="29"/>
      <c r="N847" s="29"/>
    </row>
    <row r="848">
      <c r="A848" s="32"/>
      <c r="B848" s="29"/>
      <c r="C848" s="29"/>
      <c r="D848" s="29"/>
      <c r="E848" s="241"/>
      <c r="F848" s="241"/>
      <c r="G848" s="241"/>
      <c r="H848" s="29"/>
      <c r="I848" s="257"/>
      <c r="J848" s="29"/>
      <c r="K848" s="32"/>
      <c r="L848" s="29"/>
      <c r="M848" s="29"/>
      <c r="N848" s="29"/>
    </row>
    <row r="849">
      <c r="A849" s="32"/>
      <c r="B849" s="29"/>
      <c r="C849" s="29"/>
      <c r="D849" s="29"/>
      <c r="E849" s="241"/>
      <c r="F849" s="241"/>
      <c r="G849" s="241"/>
      <c r="H849" s="29"/>
      <c r="I849" s="257"/>
      <c r="J849" s="29"/>
      <c r="K849" s="32"/>
      <c r="L849" s="29"/>
      <c r="M849" s="29"/>
      <c r="N849" s="29"/>
    </row>
    <row r="850">
      <c r="A850" s="32"/>
      <c r="B850" s="29"/>
      <c r="C850" s="29"/>
      <c r="D850" s="29"/>
      <c r="E850" s="241"/>
      <c r="F850" s="241"/>
      <c r="G850" s="241"/>
      <c r="H850" s="29"/>
      <c r="I850" s="257"/>
      <c r="J850" s="29"/>
      <c r="K850" s="32"/>
      <c r="L850" s="29"/>
      <c r="M850" s="29"/>
      <c r="N850" s="29"/>
    </row>
    <row r="851">
      <c r="A851" s="32"/>
      <c r="B851" s="29"/>
      <c r="C851" s="29"/>
      <c r="D851" s="29"/>
      <c r="E851" s="241"/>
      <c r="F851" s="241"/>
      <c r="G851" s="241"/>
      <c r="H851" s="29"/>
      <c r="I851" s="257"/>
      <c r="J851" s="29"/>
      <c r="K851" s="32"/>
      <c r="L851" s="29"/>
      <c r="M851" s="29"/>
      <c r="N851" s="29"/>
    </row>
    <row r="852">
      <c r="A852" s="32"/>
      <c r="B852" s="29"/>
      <c r="C852" s="29"/>
      <c r="D852" s="29"/>
      <c r="E852" s="241"/>
      <c r="F852" s="241"/>
      <c r="G852" s="241"/>
      <c r="H852" s="29"/>
      <c r="I852" s="257"/>
      <c r="J852" s="29"/>
      <c r="K852" s="32"/>
      <c r="L852" s="29"/>
      <c r="M852" s="29"/>
      <c r="N852" s="29"/>
    </row>
    <row r="853">
      <c r="A853" s="32"/>
      <c r="B853" s="29"/>
      <c r="C853" s="29"/>
      <c r="D853" s="29"/>
      <c r="E853" s="241"/>
      <c r="F853" s="241"/>
      <c r="G853" s="241"/>
      <c r="H853" s="29"/>
      <c r="I853" s="257"/>
      <c r="J853" s="29"/>
      <c r="K853" s="32"/>
      <c r="L853" s="29"/>
      <c r="M853" s="29"/>
      <c r="N853" s="29"/>
    </row>
    <row r="854">
      <c r="A854" s="32"/>
      <c r="B854" s="29"/>
      <c r="C854" s="29"/>
      <c r="D854" s="29"/>
      <c r="E854" s="241"/>
      <c r="F854" s="241"/>
      <c r="G854" s="241"/>
      <c r="H854" s="29"/>
      <c r="I854" s="257"/>
      <c r="J854" s="29"/>
      <c r="K854" s="32"/>
      <c r="L854" s="29"/>
      <c r="M854" s="29"/>
      <c r="N854" s="29"/>
    </row>
    <row r="855">
      <c r="A855" s="32"/>
      <c r="B855" s="29"/>
      <c r="C855" s="29"/>
      <c r="D855" s="29"/>
      <c r="E855" s="241"/>
      <c r="F855" s="241"/>
      <c r="G855" s="241"/>
      <c r="H855" s="29"/>
      <c r="I855" s="257"/>
      <c r="J855" s="29"/>
      <c r="K855" s="32"/>
      <c r="L855" s="29"/>
      <c r="M855" s="29"/>
      <c r="N855" s="29"/>
    </row>
    <row r="856">
      <c r="A856" s="32"/>
      <c r="B856" s="29"/>
      <c r="C856" s="29"/>
      <c r="D856" s="29"/>
      <c r="E856" s="241"/>
      <c r="F856" s="241"/>
      <c r="G856" s="241"/>
      <c r="H856" s="29"/>
      <c r="I856" s="257"/>
      <c r="J856" s="29"/>
      <c r="K856" s="32"/>
      <c r="L856" s="29"/>
      <c r="M856" s="29"/>
      <c r="N856" s="29"/>
    </row>
    <row r="857">
      <c r="A857" s="32"/>
      <c r="B857" s="29"/>
      <c r="C857" s="29"/>
      <c r="D857" s="29"/>
      <c r="E857" s="241"/>
      <c r="F857" s="241"/>
      <c r="G857" s="241"/>
      <c r="H857" s="29"/>
      <c r="I857" s="257"/>
      <c r="J857" s="29"/>
      <c r="K857" s="32"/>
      <c r="L857" s="29"/>
      <c r="M857" s="29"/>
      <c r="N857" s="29"/>
    </row>
    <row r="858">
      <c r="A858" s="32"/>
      <c r="B858" s="29"/>
      <c r="C858" s="29"/>
      <c r="D858" s="29"/>
      <c r="E858" s="241"/>
      <c r="F858" s="241"/>
      <c r="G858" s="241"/>
      <c r="H858" s="29"/>
      <c r="I858" s="257"/>
      <c r="J858" s="29"/>
      <c r="K858" s="32"/>
      <c r="L858" s="29"/>
      <c r="M858" s="29"/>
      <c r="N858" s="29"/>
    </row>
    <row r="859">
      <c r="A859" s="32"/>
      <c r="B859" s="29"/>
      <c r="C859" s="29"/>
      <c r="D859" s="29"/>
      <c r="E859" s="241"/>
      <c r="F859" s="241"/>
      <c r="G859" s="241"/>
      <c r="H859" s="29"/>
      <c r="I859" s="257"/>
      <c r="J859" s="29"/>
      <c r="K859" s="32"/>
      <c r="L859" s="29"/>
      <c r="M859" s="29"/>
      <c r="N859" s="29"/>
    </row>
    <row r="860">
      <c r="A860" s="32"/>
      <c r="B860" s="29"/>
      <c r="C860" s="29"/>
      <c r="D860" s="29"/>
      <c r="E860" s="241"/>
      <c r="F860" s="241"/>
      <c r="G860" s="241"/>
      <c r="H860" s="29"/>
      <c r="I860" s="257"/>
      <c r="J860" s="29"/>
      <c r="K860" s="32"/>
      <c r="L860" s="29"/>
      <c r="M860" s="29"/>
      <c r="N860" s="29"/>
    </row>
    <row r="861">
      <c r="A861" s="32"/>
      <c r="B861" s="29"/>
      <c r="C861" s="29"/>
      <c r="D861" s="29"/>
      <c r="E861" s="241"/>
      <c r="F861" s="241"/>
      <c r="G861" s="241"/>
      <c r="H861" s="29"/>
      <c r="I861" s="257"/>
      <c r="J861" s="29"/>
      <c r="K861" s="32"/>
      <c r="L861" s="29"/>
      <c r="M861" s="29"/>
      <c r="N861" s="29"/>
    </row>
    <row r="862">
      <c r="A862" s="32"/>
      <c r="B862" s="29"/>
      <c r="C862" s="29"/>
      <c r="D862" s="29"/>
      <c r="E862" s="241"/>
      <c r="F862" s="241"/>
      <c r="G862" s="241"/>
      <c r="H862" s="29"/>
      <c r="I862" s="257"/>
      <c r="J862" s="29"/>
      <c r="K862" s="32"/>
      <c r="L862" s="29"/>
      <c r="M862" s="29"/>
      <c r="N862" s="29"/>
    </row>
    <row r="863">
      <c r="A863" s="32"/>
      <c r="B863" s="29"/>
      <c r="C863" s="29"/>
      <c r="D863" s="29"/>
      <c r="E863" s="241"/>
      <c r="F863" s="241"/>
      <c r="G863" s="241"/>
      <c r="H863" s="29"/>
      <c r="I863" s="257"/>
      <c r="J863" s="29"/>
      <c r="K863" s="32"/>
      <c r="L863" s="29"/>
      <c r="M863" s="29"/>
      <c r="N863" s="29"/>
    </row>
    <row r="864">
      <c r="A864" s="32"/>
      <c r="B864" s="29"/>
      <c r="C864" s="29"/>
      <c r="D864" s="29"/>
      <c r="E864" s="241"/>
      <c r="F864" s="241"/>
      <c r="G864" s="241"/>
      <c r="H864" s="29"/>
      <c r="I864" s="257"/>
      <c r="J864" s="29"/>
      <c r="K864" s="32"/>
      <c r="L864" s="29"/>
      <c r="M864" s="29"/>
      <c r="N864" s="29"/>
    </row>
    <row r="865">
      <c r="A865" s="32"/>
      <c r="B865" s="29"/>
      <c r="C865" s="29"/>
      <c r="D865" s="29"/>
      <c r="E865" s="241"/>
      <c r="F865" s="241"/>
      <c r="G865" s="241"/>
      <c r="H865" s="29"/>
      <c r="I865" s="257"/>
      <c r="J865" s="29"/>
      <c r="K865" s="32"/>
      <c r="L865" s="29"/>
      <c r="M865" s="29"/>
      <c r="N865" s="29"/>
    </row>
    <row r="866">
      <c r="A866" s="32"/>
      <c r="B866" s="29"/>
      <c r="C866" s="29"/>
      <c r="D866" s="29"/>
      <c r="E866" s="241"/>
      <c r="F866" s="241"/>
      <c r="G866" s="241"/>
      <c r="H866" s="29"/>
      <c r="I866" s="257"/>
      <c r="J866" s="29"/>
      <c r="K866" s="32"/>
      <c r="L866" s="29"/>
      <c r="M866" s="29"/>
      <c r="N866" s="29"/>
    </row>
    <row r="867">
      <c r="A867" s="32"/>
      <c r="B867" s="29"/>
      <c r="C867" s="29"/>
      <c r="D867" s="29"/>
      <c r="E867" s="241"/>
      <c r="F867" s="241"/>
      <c r="G867" s="241"/>
      <c r="H867" s="29"/>
      <c r="I867" s="257"/>
      <c r="J867" s="29"/>
      <c r="K867" s="32"/>
      <c r="L867" s="29"/>
      <c r="M867" s="29"/>
      <c r="N867" s="29"/>
    </row>
    <row r="868">
      <c r="A868" s="32"/>
      <c r="B868" s="29"/>
      <c r="C868" s="29"/>
      <c r="D868" s="29"/>
      <c r="E868" s="241"/>
      <c r="F868" s="241"/>
      <c r="G868" s="241"/>
      <c r="H868" s="29"/>
      <c r="I868" s="257"/>
      <c r="J868" s="29"/>
      <c r="K868" s="32"/>
      <c r="L868" s="29"/>
      <c r="M868" s="29"/>
      <c r="N868" s="29"/>
    </row>
    <row r="869">
      <c r="A869" s="32"/>
      <c r="B869" s="29"/>
      <c r="C869" s="29"/>
      <c r="D869" s="29"/>
      <c r="E869" s="241"/>
      <c r="F869" s="241"/>
      <c r="G869" s="241"/>
      <c r="H869" s="29"/>
      <c r="I869" s="257"/>
      <c r="J869" s="29"/>
      <c r="K869" s="32"/>
      <c r="L869" s="29"/>
      <c r="M869" s="29"/>
      <c r="N869" s="29"/>
    </row>
    <row r="870">
      <c r="A870" s="32"/>
      <c r="B870" s="29"/>
      <c r="C870" s="29"/>
      <c r="D870" s="29"/>
      <c r="E870" s="241"/>
      <c r="F870" s="241"/>
      <c r="G870" s="241"/>
      <c r="H870" s="29"/>
      <c r="I870" s="257"/>
      <c r="J870" s="29"/>
      <c r="K870" s="32"/>
      <c r="L870" s="29"/>
      <c r="M870" s="29"/>
      <c r="N870" s="29"/>
    </row>
    <row r="871">
      <c r="A871" s="32"/>
      <c r="B871" s="29"/>
      <c r="C871" s="29"/>
      <c r="D871" s="29"/>
      <c r="E871" s="241"/>
      <c r="F871" s="241"/>
      <c r="G871" s="241"/>
      <c r="H871" s="29"/>
      <c r="I871" s="257"/>
      <c r="J871" s="29"/>
      <c r="K871" s="32"/>
      <c r="L871" s="29"/>
      <c r="M871" s="29"/>
      <c r="N871" s="29"/>
    </row>
    <row r="872">
      <c r="A872" s="32"/>
      <c r="B872" s="29"/>
      <c r="C872" s="29"/>
      <c r="D872" s="29"/>
      <c r="E872" s="241"/>
      <c r="F872" s="241"/>
      <c r="G872" s="241"/>
      <c r="H872" s="29"/>
      <c r="I872" s="257"/>
      <c r="J872" s="29"/>
      <c r="K872" s="32"/>
      <c r="L872" s="29"/>
      <c r="M872" s="29"/>
      <c r="N872" s="29"/>
    </row>
    <row r="873">
      <c r="A873" s="32"/>
      <c r="B873" s="29"/>
      <c r="C873" s="29"/>
      <c r="D873" s="29"/>
      <c r="E873" s="241"/>
      <c r="F873" s="241"/>
      <c r="G873" s="241"/>
      <c r="H873" s="29"/>
      <c r="I873" s="257"/>
      <c r="J873" s="29"/>
      <c r="K873" s="32"/>
      <c r="L873" s="29"/>
      <c r="M873" s="29"/>
      <c r="N873" s="29"/>
    </row>
    <row r="874">
      <c r="A874" s="32"/>
      <c r="B874" s="29"/>
      <c r="C874" s="29"/>
      <c r="D874" s="29"/>
      <c r="E874" s="241"/>
      <c r="F874" s="241"/>
      <c r="G874" s="241"/>
      <c r="H874" s="29"/>
      <c r="I874" s="257"/>
      <c r="J874" s="29"/>
      <c r="K874" s="32"/>
      <c r="L874" s="29"/>
      <c r="M874" s="29"/>
      <c r="N874" s="29"/>
    </row>
    <row r="875">
      <c r="A875" s="32"/>
      <c r="B875" s="29"/>
      <c r="C875" s="29"/>
      <c r="D875" s="29"/>
      <c r="E875" s="241"/>
      <c r="F875" s="241"/>
      <c r="G875" s="241"/>
      <c r="H875" s="29"/>
      <c r="I875" s="257"/>
      <c r="J875" s="29"/>
      <c r="K875" s="32"/>
      <c r="L875" s="29"/>
      <c r="M875" s="29"/>
      <c r="N875" s="29"/>
    </row>
    <row r="876">
      <c r="A876" s="32"/>
      <c r="B876" s="29"/>
      <c r="C876" s="29"/>
      <c r="D876" s="29"/>
      <c r="E876" s="241"/>
      <c r="F876" s="241"/>
      <c r="G876" s="241"/>
      <c r="H876" s="29"/>
      <c r="I876" s="257"/>
      <c r="J876" s="29"/>
      <c r="K876" s="32"/>
      <c r="L876" s="29"/>
      <c r="M876" s="29"/>
      <c r="N876" s="29"/>
    </row>
    <row r="877">
      <c r="A877" s="32"/>
      <c r="B877" s="29"/>
      <c r="C877" s="29"/>
      <c r="D877" s="29"/>
      <c r="E877" s="241"/>
      <c r="F877" s="241"/>
      <c r="G877" s="241"/>
      <c r="H877" s="29"/>
      <c r="I877" s="257"/>
      <c r="J877" s="29"/>
      <c r="K877" s="32"/>
      <c r="L877" s="29"/>
      <c r="M877" s="29"/>
      <c r="N877" s="29"/>
    </row>
    <row r="878">
      <c r="A878" s="32"/>
      <c r="B878" s="29"/>
      <c r="C878" s="29"/>
      <c r="D878" s="29"/>
      <c r="E878" s="241"/>
      <c r="F878" s="241"/>
      <c r="G878" s="241"/>
      <c r="H878" s="29"/>
      <c r="I878" s="257"/>
      <c r="J878" s="29"/>
      <c r="K878" s="32"/>
      <c r="L878" s="29"/>
      <c r="M878" s="29"/>
      <c r="N878" s="29"/>
    </row>
    <row r="879">
      <c r="A879" s="32"/>
      <c r="B879" s="29"/>
      <c r="C879" s="29"/>
      <c r="D879" s="29"/>
      <c r="E879" s="241"/>
      <c r="F879" s="241"/>
      <c r="G879" s="241"/>
      <c r="H879" s="29"/>
      <c r="I879" s="257"/>
      <c r="J879" s="29"/>
      <c r="K879" s="32"/>
      <c r="L879" s="29"/>
      <c r="M879" s="29"/>
      <c r="N879" s="29"/>
    </row>
    <row r="880">
      <c r="A880" s="32"/>
      <c r="B880" s="29"/>
      <c r="C880" s="29"/>
      <c r="D880" s="29"/>
      <c r="E880" s="241"/>
      <c r="F880" s="241"/>
      <c r="G880" s="241"/>
      <c r="H880" s="29"/>
      <c r="I880" s="257"/>
      <c r="J880" s="29"/>
      <c r="K880" s="32"/>
      <c r="L880" s="29"/>
      <c r="M880" s="29"/>
      <c r="N880" s="29"/>
    </row>
    <row r="881">
      <c r="A881" s="32"/>
      <c r="B881" s="29"/>
      <c r="C881" s="29"/>
      <c r="D881" s="29"/>
      <c r="E881" s="241"/>
      <c r="F881" s="241"/>
      <c r="G881" s="241"/>
      <c r="H881" s="29"/>
      <c r="I881" s="257"/>
      <c r="J881" s="29"/>
      <c r="K881" s="32"/>
      <c r="L881" s="29"/>
      <c r="M881" s="29"/>
      <c r="N881" s="29"/>
    </row>
    <row r="882">
      <c r="A882" s="32"/>
      <c r="B882" s="29"/>
      <c r="C882" s="29"/>
      <c r="D882" s="29"/>
      <c r="E882" s="241"/>
      <c r="F882" s="241"/>
      <c r="G882" s="241"/>
      <c r="H882" s="29"/>
      <c r="I882" s="257"/>
      <c r="J882" s="29"/>
      <c r="K882" s="32"/>
      <c r="L882" s="29"/>
      <c r="M882" s="29"/>
      <c r="N882" s="29"/>
    </row>
    <row r="883">
      <c r="A883" s="32"/>
      <c r="B883" s="29"/>
      <c r="C883" s="29"/>
      <c r="D883" s="29"/>
      <c r="E883" s="241"/>
      <c r="F883" s="241"/>
      <c r="G883" s="241"/>
      <c r="H883" s="29"/>
      <c r="I883" s="257"/>
      <c r="J883" s="29"/>
      <c r="K883" s="32"/>
      <c r="L883" s="29"/>
      <c r="M883" s="29"/>
      <c r="N883" s="29"/>
    </row>
    <row r="884">
      <c r="A884" s="32"/>
      <c r="B884" s="29"/>
      <c r="C884" s="29"/>
      <c r="D884" s="29"/>
      <c r="E884" s="241"/>
      <c r="F884" s="241"/>
      <c r="G884" s="241"/>
      <c r="H884" s="29"/>
      <c r="I884" s="257"/>
      <c r="J884" s="29"/>
      <c r="K884" s="32"/>
      <c r="L884" s="29"/>
      <c r="M884" s="29"/>
      <c r="N884" s="29"/>
    </row>
    <row r="885">
      <c r="A885" s="32"/>
      <c r="B885" s="29"/>
      <c r="C885" s="29"/>
      <c r="D885" s="29"/>
      <c r="E885" s="241"/>
      <c r="F885" s="241"/>
      <c r="G885" s="241"/>
      <c r="H885" s="29"/>
      <c r="I885" s="257"/>
      <c r="J885" s="29"/>
      <c r="K885" s="32"/>
      <c r="L885" s="29"/>
      <c r="M885" s="29"/>
      <c r="N885" s="29"/>
    </row>
    <row r="886">
      <c r="A886" s="32"/>
      <c r="B886" s="29"/>
      <c r="C886" s="29"/>
      <c r="D886" s="29"/>
      <c r="E886" s="241"/>
      <c r="F886" s="241"/>
      <c r="G886" s="241"/>
      <c r="H886" s="29"/>
      <c r="I886" s="257"/>
      <c r="J886" s="29"/>
      <c r="K886" s="32"/>
      <c r="L886" s="29"/>
      <c r="M886" s="29"/>
      <c r="N886" s="29"/>
    </row>
    <row r="887">
      <c r="A887" s="32"/>
      <c r="B887" s="29"/>
      <c r="C887" s="29"/>
      <c r="D887" s="29"/>
      <c r="E887" s="241"/>
      <c r="F887" s="241"/>
      <c r="G887" s="241"/>
      <c r="H887" s="29"/>
      <c r="I887" s="257"/>
      <c r="J887" s="29"/>
      <c r="K887" s="32"/>
      <c r="L887" s="29"/>
      <c r="M887" s="29"/>
      <c r="N887" s="29"/>
    </row>
    <row r="888">
      <c r="A888" s="32"/>
      <c r="B888" s="29"/>
      <c r="C888" s="29"/>
      <c r="D888" s="29"/>
      <c r="E888" s="241"/>
      <c r="F888" s="241"/>
      <c r="G888" s="241"/>
      <c r="H888" s="29"/>
      <c r="I888" s="257"/>
      <c r="J888" s="29"/>
      <c r="K888" s="32"/>
      <c r="L888" s="29"/>
      <c r="M888" s="29"/>
      <c r="N888" s="29"/>
    </row>
    <row r="889">
      <c r="A889" s="32"/>
      <c r="B889" s="29"/>
      <c r="C889" s="29"/>
      <c r="D889" s="29"/>
      <c r="E889" s="241"/>
      <c r="F889" s="241"/>
      <c r="G889" s="241"/>
      <c r="H889" s="29"/>
      <c r="I889" s="257"/>
      <c r="J889" s="29"/>
      <c r="K889" s="32"/>
      <c r="L889" s="29"/>
      <c r="M889" s="29"/>
      <c r="N889" s="29"/>
    </row>
    <row r="890">
      <c r="A890" s="32"/>
      <c r="B890" s="29"/>
      <c r="C890" s="29"/>
      <c r="D890" s="29"/>
      <c r="E890" s="241"/>
      <c r="F890" s="241"/>
      <c r="G890" s="241"/>
      <c r="H890" s="29"/>
      <c r="I890" s="257"/>
      <c r="J890" s="29"/>
      <c r="K890" s="32"/>
      <c r="L890" s="29"/>
      <c r="M890" s="29"/>
      <c r="N890" s="29"/>
    </row>
    <row r="891">
      <c r="A891" s="32"/>
      <c r="B891" s="29"/>
      <c r="C891" s="29"/>
      <c r="D891" s="29"/>
      <c r="E891" s="241"/>
      <c r="F891" s="241"/>
      <c r="G891" s="241"/>
      <c r="H891" s="29"/>
      <c r="I891" s="257"/>
      <c r="J891" s="29"/>
      <c r="K891" s="32"/>
      <c r="L891" s="29"/>
      <c r="M891" s="29"/>
      <c r="N891" s="29"/>
    </row>
    <row r="892">
      <c r="A892" s="32"/>
      <c r="B892" s="29"/>
      <c r="C892" s="29"/>
      <c r="D892" s="29"/>
      <c r="E892" s="241"/>
      <c r="F892" s="241"/>
      <c r="G892" s="241"/>
      <c r="H892" s="29"/>
      <c r="I892" s="257"/>
      <c r="J892" s="29"/>
      <c r="K892" s="32"/>
      <c r="L892" s="29"/>
      <c r="M892" s="29"/>
      <c r="N892" s="29"/>
    </row>
    <row r="893">
      <c r="A893" s="32"/>
      <c r="B893" s="29"/>
      <c r="C893" s="29"/>
      <c r="D893" s="29"/>
      <c r="E893" s="241"/>
      <c r="F893" s="241"/>
      <c r="G893" s="241"/>
      <c r="H893" s="29"/>
      <c r="I893" s="257"/>
      <c r="J893" s="29"/>
      <c r="K893" s="32"/>
      <c r="L893" s="29"/>
      <c r="M893" s="29"/>
      <c r="N893" s="29"/>
    </row>
    <row r="894">
      <c r="A894" s="32"/>
      <c r="B894" s="29"/>
      <c r="C894" s="29"/>
      <c r="D894" s="29"/>
      <c r="E894" s="241"/>
      <c r="F894" s="241"/>
      <c r="G894" s="241"/>
      <c r="H894" s="29"/>
      <c r="I894" s="257"/>
      <c r="J894" s="29"/>
      <c r="K894" s="32"/>
      <c r="L894" s="29"/>
      <c r="M894" s="29"/>
      <c r="N894" s="29"/>
    </row>
    <row r="895">
      <c r="A895" s="32"/>
      <c r="B895" s="29"/>
      <c r="C895" s="29"/>
      <c r="D895" s="29"/>
      <c r="E895" s="241"/>
      <c r="F895" s="241"/>
      <c r="G895" s="241"/>
      <c r="H895" s="29"/>
      <c r="I895" s="257"/>
      <c r="J895" s="29"/>
      <c r="K895" s="32"/>
      <c r="L895" s="29"/>
      <c r="M895" s="29"/>
      <c r="N895" s="29"/>
    </row>
    <row r="896">
      <c r="A896" s="32"/>
      <c r="B896" s="29"/>
      <c r="C896" s="29"/>
      <c r="D896" s="29"/>
      <c r="E896" s="241"/>
      <c r="F896" s="241"/>
      <c r="G896" s="241"/>
      <c r="H896" s="29"/>
      <c r="I896" s="257"/>
      <c r="J896" s="29"/>
      <c r="K896" s="32"/>
      <c r="L896" s="29"/>
      <c r="M896" s="29"/>
      <c r="N896" s="29"/>
    </row>
    <row r="897">
      <c r="A897" s="32"/>
      <c r="B897" s="29"/>
      <c r="C897" s="29"/>
      <c r="D897" s="29"/>
      <c r="E897" s="241"/>
      <c r="F897" s="241"/>
      <c r="G897" s="241"/>
      <c r="H897" s="29"/>
      <c r="I897" s="257"/>
      <c r="J897" s="29"/>
      <c r="K897" s="32"/>
      <c r="L897" s="29"/>
      <c r="M897" s="29"/>
      <c r="N897" s="29"/>
    </row>
    <row r="898">
      <c r="A898" s="32"/>
      <c r="B898" s="29"/>
      <c r="C898" s="29"/>
      <c r="D898" s="29"/>
      <c r="E898" s="241"/>
      <c r="F898" s="241"/>
      <c r="G898" s="241"/>
      <c r="H898" s="29"/>
      <c r="I898" s="257"/>
      <c r="J898" s="29"/>
      <c r="K898" s="32"/>
      <c r="L898" s="29"/>
      <c r="M898" s="29"/>
      <c r="N898" s="29"/>
    </row>
    <row r="899">
      <c r="A899" s="32"/>
      <c r="B899" s="29"/>
      <c r="C899" s="29"/>
      <c r="D899" s="29"/>
      <c r="E899" s="241"/>
      <c r="F899" s="241"/>
      <c r="G899" s="241"/>
      <c r="H899" s="29"/>
      <c r="I899" s="257"/>
      <c r="J899" s="29"/>
      <c r="K899" s="32"/>
      <c r="L899" s="29"/>
      <c r="M899" s="29"/>
      <c r="N899" s="29"/>
    </row>
    <row r="900">
      <c r="A900" s="32"/>
      <c r="B900" s="29"/>
      <c r="C900" s="29"/>
      <c r="D900" s="29"/>
      <c r="E900" s="241"/>
      <c r="F900" s="241"/>
      <c r="G900" s="241"/>
      <c r="H900" s="29"/>
      <c r="I900" s="257"/>
      <c r="J900" s="29"/>
      <c r="K900" s="32"/>
      <c r="L900" s="29"/>
      <c r="M900" s="29"/>
      <c r="N900" s="29"/>
    </row>
    <row r="901">
      <c r="A901" s="32"/>
      <c r="B901" s="29"/>
      <c r="C901" s="29"/>
      <c r="D901" s="29"/>
      <c r="E901" s="241"/>
      <c r="F901" s="241"/>
      <c r="G901" s="241"/>
      <c r="H901" s="29"/>
      <c r="I901" s="257"/>
      <c r="J901" s="29"/>
      <c r="K901" s="32"/>
      <c r="L901" s="29"/>
      <c r="M901" s="29"/>
      <c r="N901" s="29"/>
    </row>
    <row r="902">
      <c r="A902" s="32"/>
      <c r="B902" s="29"/>
      <c r="C902" s="29"/>
      <c r="D902" s="29"/>
      <c r="E902" s="241"/>
      <c r="F902" s="241"/>
      <c r="G902" s="241"/>
      <c r="H902" s="29"/>
      <c r="I902" s="257"/>
      <c r="J902" s="29"/>
      <c r="K902" s="32"/>
      <c r="L902" s="29"/>
      <c r="M902" s="29"/>
      <c r="N902" s="29"/>
    </row>
    <row r="903">
      <c r="A903" s="32"/>
      <c r="B903" s="29"/>
      <c r="C903" s="29"/>
      <c r="D903" s="29"/>
      <c r="E903" s="241"/>
      <c r="F903" s="241"/>
      <c r="G903" s="241"/>
      <c r="H903" s="29"/>
      <c r="I903" s="257"/>
      <c r="J903" s="29"/>
      <c r="K903" s="32"/>
      <c r="L903" s="29"/>
      <c r="M903" s="29"/>
      <c r="N903" s="29"/>
    </row>
    <row r="904">
      <c r="A904" s="32"/>
      <c r="B904" s="29"/>
      <c r="C904" s="29"/>
      <c r="D904" s="29"/>
      <c r="E904" s="241"/>
      <c r="F904" s="241"/>
      <c r="G904" s="241"/>
      <c r="H904" s="29"/>
      <c r="I904" s="257"/>
      <c r="J904" s="29"/>
      <c r="K904" s="32"/>
      <c r="L904" s="29"/>
      <c r="M904" s="29"/>
      <c r="N904" s="29"/>
    </row>
    <row r="905">
      <c r="A905" s="32"/>
      <c r="B905" s="29"/>
      <c r="C905" s="29"/>
      <c r="D905" s="29"/>
      <c r="E905" s="241"/>
      <c r="F905" s="241"/>
      <c r="G905" s="241"/>
      <c r="H905" s="29"/>
      <c r="I905" s="257"/>
      <c r="J905" s="29"/>
      <c r="K905" s="32"/>
      <c r="L905" s="29"/>
      <c r="M905" s="29"/>
      <c r="N905" s="29"/>
    </row>
    <row r="906">
      <c r="A906" s="32"/>
      <c r="B906" s="29"/>
      <c r="C906" s="29"/>
      <c r="D906" s="29"/>
      <c r="E906" s="241"/>
      <c r="F906" s="241"/>
      <c r="G906" s="241"/>
      <c r="H906" s="29"/>
      <c r="I906" s="257"/>
      <c r="J906" s="29"/>
      <c r="K906" s="32"/>
      <c r="L906" s="29"/>
      <c r="M906" s="29"/>
      <c r="N906" s="29"/>
    </row>
    <row r="907">
      <c r="A907" s="32"/>
      <c r="B907" s="29"/>
      <c r="C907" s="29"/>
      <c r="D907" s="29"/>
      <c r="E907" s="241"/>
      <c r="F907" s="241"/>
      <c r="G907" s="241"/>
      <c r="H907" s="29"/>
      <c r="I907" s="257"/>
      <c r="J907" s="29"/>
      <c r="K907" s="32"/>
      <c r="L907" s="29"/>
      <c r="M907" s="29"/>
      <c r="N907" s="29"/>
    </row>
    <row r="908">
      <c r="A908" s="32"/>
      <c r="B908" s="29"/>
      <c r="C908" s="29"/>
      <c r="D908" s="29"/>
      <c r="E908" s="241"/>
      <c r="F908" s="241"/>
      <c r="G908" s="241"/>
      <c r="H908" s="29"/>
      <c r="I908" s="257"/>
      <c r="J908" s="29"/>
      <c r="K908" s="32"/>
      <c r="L908" s="29"/>
      <c r="M908" s="29"/>
      <c r="N908" s="29"/>
    </row>
    <row r="909">
      <c r="A909" s="32"/>
      <c r="B909" s="29"/>
      <c r="C909" s="29"/>
      <c r="D909" s="29"/>
      <c r="E909" s="241"/>
      <c r="F909" s="241"/>
      <c r="G909" s="241"/>
      <c r="H909" s="29"/>
      <c r="I909" s="257"/>
      <c r="J909" s="29"/>
      <c r="K909" s="32"/>
      <c r="L909" s="29"/>
      <c r="M909" s="29"/>
      <c r="N909" s="29"/>
    </row>
    <row r="910">
      <c r="A910" s="32"/>
      <c r="B910" s="29"/>
      <c r="C910" s="29"/>
      <c r="D910" s="29"/>
      <c r="E910" s="241"/>
      <c r="F910" s="241"/>
      <c r="G910" s="241"/>
      <c r="H910" s="29"/>
      <c r="I910" s="257"/>
      <c r="J910" s="29"/>
      <c r="K910" s="32"/>
      <c r="L910" s="29"/>
      <c r="M910" s="29"/>
      <c r="N910" s="29"/>
    </row>
    <row r="911">
      <c r="A911" s="32"/>
      <c r="B911" s="29"/>
      <c r="C911" s="29"/>
      <c r="D911" s="29"/>
      <c r="E911" s="241"/>
      <c r="F911" s="241"/>
      <c r="G911" s="241"/>
      <c r="H911" s="29"/>
      <c r="I911" s="257"/>
      <c r="J911" s="29"/>
      <c r="K911" s="32"/>
      <c r="L911" s="29"/>
      <c r="M911" s="29"/>
      <c r="N911" s="29"/>
    </row>
    <row r="912">
      <c r="A912" s="32"/>
      <c r="B912" s="29"/>
      <c r="C912" s="29"/>
      <c r="D912" s="29"/>
      <c r="E912" s="241"/>
      <c r="F912" s="241"/>
      <c r="G912" s="241"/>
      <c r="H912" s="29"/>
      <c r="I912" s="257"/>
      <c r="J912" s="29"/>
      <c r="K912" s="32"/>
      <c r="L912" s="29"/>
      <c r="M912" s="29"/>
      <c r="N912" s="29"/>
    </row>
    <row r="913">
      <c r="A913" s="32"/>
      <c r="B913" s="29"/>
      <c r="C913" s="29"/>
      <c r="D913" s="29"/>
      <c r="E913" s="241"/>
      <c r="F913" s="241"/>
      <c r="G913" s="241"/>
      <c r="H913" s="29"/>
      <c r="I913" s="257"/>
      <c r="J913" s="29"/>
      <c r="K913" s="32"/>
      <c r="L913" s="29"/>
      <c r="M913" s="29"/>
      <c r="N913" s="29"/>
    </row>
    <row r="914">
      <c r="A914" s="32"/>
      <c r="B914" s="29"/>
      <c r="C914" s="29"/>
      <c r="D914" s="29"/>
      <c r="E914" s="241"/>
      <c r="F914" s="241"/>
      <c r="G914" s="241"/>
      <c r="H914" s="29"/>
      <c r="I914" s="257"/>
      <c r="J914" s="29"/>
      <c r="K914" s="32"/>
      <c r="L914" s="29"/>
      <c r="M914" s="29"/>
      <c r="N914" s="29"/>
    </row>
    <row r="915">
      <c r="A915" s="32"/>
      <c r="B915" s="29"/>
      <c r="C915" s="29"/>
      <c r="D915" s="29"/>
      <c r="E915" s="241"/>
      <c r="F915" s="241"/>
      <c r="G915" s="241"/>
      <c r="H915" s="29"/>
      <c r="I915" s="257"/>
      <c r="J915" s="29"/>
      <c r="K915" s="32"/>
      <c r="L915" s="29"/>
      <c r="M915" s="29"/>
      <c r="N915" s="29"/>
    </row>
    <row r="916">
      <c r="A916" s="32"/>
      <c r="B916" s="29"/>
      <c r="C916" s="29"/>
      <c r="D916" s="29"/>
      <c r="E916" s="241"/>
      <c r="F916" s="241"/>
      <c r="G916" s="241"/>
      <c r="H916" s="29"/>
      <c r="I916" s="257"/>
      <c r="J916" s="29"/>
      <c r="K916" s="32"/>
      <c r="L916" s="29"/>
      <c r="M916" s="29"/>
      <c r="N916" s="29"/>
    </row>
    <row r="917">
      <c r="A917" s="32"/>
      <c r="B917" s="29"/>
      <c r="C917" s="29"/>
      <c r="D917" s="29"/>
      <c r="E917" s="241"/>
      <c r="F917" s="241"/>
      <c r="G917" s="241"/>
      <c r="H917" s="29"/>
      <c r="I917" s="257"/>
      <c r="J917" s="29"/>
      <c r="K917" s="32"/>
      <c r="L917" s="29"/>
      <c r="M917" s="29"/>
      <c r="N917" s="29"/>
    </row>
    <row r="918">
      <c r="A918" s="32"/>
      <c r="B918" s="29"/>
      <c r="C918" s="29"/>
      <c r="D918" s="29"/>
      <c r="E918" s="241"/>
      <c r="F918" s="241"/>
      <c r="G918" s="241"/>
      <c r="H918" s="29"/>
      <c r="I918" s="257"/>
      <c r="J918" s="29"/>
      <c r="K918" s="32"/>
      <c r="L918" s="29"/>
      <c r="M918" s="29"/>
      <c r="N918" s="29"/>
    </row>
    <row r="919">
      <c r="A919" s="32"/>
      <c r="B919" s="29"/>
      <c r="C919" s="29"/>
      <c r="D919" s="29"/>
      <c r="E919" s="241"/>
      <c r="F919" s="241"/>
      <c r="G919" s="241"/>
      <c r="H919" s="29"/>
      <c r="I919" s="257"/>
      <c r="J919" s="29"/>
      <c r="K919" s="32"/>
      <c r="L919" s="29"/>
      <c r="M919" s="29"/>
      <c r="N919" s="29"/>
    </row>
    <row r="920">
      <c r="A920" s="32"/>
      <c r="B920" s="29"/>
      <c r="C920" s="29"/>
      <c r="D920" s="29"/>
      <c r="E920" s="241"/>
      <c r="F920" s="241"/>
      <c r="G920" s="241"/>
      <c r="H920" s="29"/>
      <c r="I920" s="257"/>
      <c r="J920" s="29"/>
      <c r="K920" s="32"/>
      <c r="L920" s="29"/>
      <c r="M920" s="29"/>
      <c r="N920" s="29"/>
    </row>
    <row r="921">
      <c r="A921" s="32"/>
      <c r="B921" s="29"/>
      <c r="C921" s="29"/>
      <c r="D921" s="29"/>
      <c r="E921" s="241"/>
      <c r="F921" s="241"/>
      <c r="G921" s="241"/>
      <c r="H921" s="29"/>
      <c r="I921" s="257"/>
      <c r="J921" s="29"/>
      <c r="K921" s="32"/>
      <c r="L921" s="29"/>
      <c r="M921" s="29"/>
      <c r="N921" s="29"/>
    </row>
    <row r="922">
      <c r="A922" s="32"/>
      <c r="B922" s="29"/>
      <c r="C922" s="29"/>
      <c r="D922" s="29"/>
      <c r="E922" s="241"/>
      <c r="F922" s="241"/>
      <c r="G922" s="241"/>
      <c r="H922" s="29"/>
      <c r="I922" s="257"/>
      <c r="J922" s="29"/>
      <c r="K922" s="32"/>
      <c r="L922" s="29"/>
      <c r="M922" s="29"/>
      <c r="N922" s="29"/>
    </row>
    <row r="923">
      <c r="A923" s="32"/>
      <c r="B923" s="29"/>
      <c r="C923" s="29"/>
      <c r="D923" s="29"/>
      <c r="E923" s="241"/>
      <c r="F923" s="241"/>
      <c r="G923" s="241"/>
      <c r="H923" s="29"/>
      <c r="I923" s="257"/>
      <c r="J923" s="29"/>
      <c r="K923" s="32"/>
      <c r="L923" s="29"/>
      <c r="M923" s="29"/>
      <c r="N923" s="29"/>
    </row>
    <row r="924">
      <c r="A924" s="32"/>
      <c r="B924" s="29"/>
      <c r="C924" s="29"/>
      <c r="D924" s="29"/>
      <c r="E924" s="241"/>
      <c r="F924" s="241"/>
      <c r="G924" s="241"/>
      <c r="H924" s="29"/>
      <c r="I924" s="257"/>
      <c r="J924" s="29"/>
      <c r="K924" s="32"/>
      <c r="L924" s="29"/>
      <c r="M924" s="29"/>
      <c r="N924" s="29"/>
    </row>
    <row r="925">
      <c r="A925" s="32"/>
      <c r="B925" s="29"/>
      <c r="C925" s="29"/>
      <c r="D925" s="29"/>
      <c r="E925" s="241"/>
      <c r="F925" s="241"/>
      <c r="G925" s="241"/>
      <c r="H925" s="29"/>
      <c r="I925" s="257"/>
      <c r="J925" s="29"/>
      <c r="K925" s="32"/>
      <c r="L925" s="29"/>
      <c r="M925" s="29"/>
      <c r="N925" s="29"/>
    </row>
    <row r="926">
      <c r="A926" s="32"/>
      <c r="B926" s="29"/>
      <c r="C926" s="29"/>
      <c r="D926" s="29"/>
      <c r="E926" s="241"/>
      <c r="F926" s="241"/>
      <c r="G926" s="241"/>
      <c r="H926" s="29"/>
      <c r="I926" s="257"/>
      <c r="J926" s="29"/>
      <c r="K926" s="32"/>
      <c r="L926" s="29"/>
      <c r="M926" s="29"/>
      <c r="N926" s="29"/>
    </row>
    <row r="927">
      <c r="A927" s="32"/>
      <c r="B927" s="29"/>
      <c r="C927" s="29"/>
      <c r="D927" s="29"/>
      <c r="E927" s="241"/>
      <c r="F927" s="241"/>
      <c r="G927" s="241"/>
      <c r="H927" s="29"/>
      <c r="I927" s="257"/>
      <c r="J927" s="29"/>
      <c r="K927" s="32"/>
      <c r="L927" s="29"/>
      <c r="M927" s="29"/>
      <c r="N927" s="29"/>
    </row>
    <row r="928">
      <c r="A928" s="32"/>
      <c r="B928" s="29"/>
      <c r="C928" s="29"/>
      <c r="D928" s="29"/>
      <c r="E928" s="241"/>
      <c r="F928" s="241"/>
      <c r="G928" s="241"/>
      <c r="H928" s="29"/>
      <c r="I928" s="257"/>
      <c r="J928" s="29"/>
      <c r="K928" s="32"/>
      <c r="L928" s="29"/>
      <c r="M928" s="29"/>
      <c r="N928" s="29"/>
    </row>
    <row r="929">
      <c r="A929" s="32"/>
      <c r="B929" s="29"/>
      <c r="C929" s="29"/>
      <c r="D929" s="29"/>
      <c r="E929" s="241"/>
      <c r="F929" s="241"/>
      <c r="G929" s="241"/>
      <c r="H929" s="29"/>
      <c r="I929" s="257"/>
      <c r="J929" s="29"/>
      <c r="K929" s="32"/>
      <c r="L929" s="29"/>
      <c r="M929" s="29"/>
      <c r="N929" s="29"/>
    </row>
    <row r="930">
      <c r="A930" s="32"/>
      <c r="B930" s="29"/>
      <c r="C930" s="29"/>
      <c r="D930" s="29"/>
      <c r="E930" s="241"/>
      <c r="F930" s="241"/>
      <c r="G930" s="241"/>
      <c r="H930" s="29"/>
      <c r="I930" s="257"/>
      <c r="J930" s="29"/>
      <c r="K930" s="32"/>
      <c r="L930" s="29"/>
      <c r="M930" s="29"/>
      <c r="N930" s="29"/>
    </row>
    <row r="931">
      <c r="A931" s="32"/>
      <c r="B931" s="29"/>
      <c r="C931" s="29"/>
      <c r="D931" s="29"/>
      <c r="E931" s="241"/>
      <c r="F931" s="241"/>
      <c r="G931" s="241"/>
      <c r="H931" s="29"/>
      <c r="I931" s="257"/>
      <c r="J931" s="29"/>
      <c r="K931" s="32"/>
      <c r="L931" s="29"/>
      <c r="M931" s="29"/>
      <c r="N931" s="29"/>
    </row>
    <row r="932">
      <c r="A932" s="32"/>
      <c r="B932" s="29"/>
      <c r="C932" s="29"/>
      <c r="D932" s="29"/>
      <c r="E932" s="241"/>
      <c r="F932" s="241"/>
      <c r="G932" s="241"/>
      <c r="H932" s="29"/>
      <c r="I932" s="257"/>
      <c r="J932" s="29"/>
      <c r="K932" s="32"/>
      <c r="L932" s="29"/>
      <c r="M932" s="29"/>
      <c r="N932" s="29"/>
    </row>
    <row r="933">
      <c r="A933" s="32"/>
      <c r="B933" s="29"/>
      <c r="C933" s="29"/>
      <c r="D933" s="29"/>
      <c r="E933" s="241"/>
      <c r="F933" s="241"/>
      <c r="G933" s="241"/>
      <c r="H933" s="29"/>
      <c r="I933" s="257"/>
      <c r="J933" s="29"/>
      <c r="K933" s="32"/>
      <c r="L933" s="29"/>
      <c r="M933" s="29"/>
      <c r="N933" s="29"/>
    </row>
    <row r="934">
      <c r="A934" s="32"/>
      <c r="B934" s="29"/>
      <c r="C934" s="29"/>
      <c r="D934" s="29"/>
      <c r="E934" s="241"/>
      <c r="F934" s="241"/>
      <c r="G934" s="241"/>
      <c r="H934" s="29"/>
      <c r="I934" s="257"/>
      <c r="J934" s="29"/>
      <c r="K934" s="32"/>
      <c r="L934" s="29"/>
      <c r="M934" s="29"/>
      <c r="N934" s="29"/>
    </row>
    <row r="935">
      <c r="A935" s="32"/>
      <c r="B935" s="29"/>
      <c r="C935" s="29"/>
      <c r="D935" s="29"/>
      <c r="E935" s="241"/>
      <c r="F935" s="241"/>
      <c r="G935" s="241"/>
      <c r="H935" s="29"/>
      <c r="I935" s="257"/>
      <c r="J935" s="29"/>
      <c r="K935" s="32"/>
      <c r="L935" s="29"/>
      <c r="M935" s="29"/>
      <c r="N935" s="29"/>
    </row>
    <row r="936">
      <c r="A936" s="32"/>
      <c r="B936" s="29"/>
      <c r="C936" s="29"/>
      <c r="D936" s="29"/>
      <c r="E936" s="241"/>
      <c r="F936" s="241"/>
      <c r="G936" s="241"/>
      <c r="H936" s="29"/>
      <c r="I936" s="257"/>
      <c r="J936" s="29"/>
      <c r="K936" s="32"/>
      <c r="L936" s="29"/>
      <c r="M936" s="29"/>
      <c r="N936" s="29"/>
    </row>
    <row r="937">
      <c r="A937" s="32"/>
      <c r="B937" s="29"/>
      <c r="C937" s="29"/>
      <c r="D937" s="29"/>
      <c r="E937" s="241"/>
      <c r="F937" s="241"/>
      <c r="G937" s="241"/>
      <c r="H937" s="29"/>
      <c r="I937" s="257"/>
      <c r="J937" s="29"/>
      <c r="K937" s="32"/>
      <c r="L937" s="29"/>
      <c r="M937" s="29"/>
      <c r="N937" s="29"/>
    </row>
    <row r="938">
      <c r="A938" s="32"/>
      <c r="B938" s="29"/>
      <c r="C938" s="29"/>
      <c r="D938" s="29"/>
      <c r="E938" s="241"/>
      <c r="F938" s="241"/>
      <c r="G938" s="241"/>
      <c r="H938" s="29"/>
      <c r="I938" s="257"/>
      <c r="J938" s="29"/>
      <c r="K938" s="32"/>
      <c r="L938" s="29"/>
      <c r="M938" s="29"/>
      <c r="N938" s="29"/>
    </row>
    <row r="939">
      <c r="A939" s="32"/>
      <c r="B939" s="29"/>
      <c r="C939" s="29"/>
      <c r="D939" s="29"/>
      <c r="E939" s="241"/>
      <c r="F939" s="241"/>
      <c r="G939" s="241"/>
      <c r="H939" s="29"/>
      <c r="I939" s="257"/>
      <c r="J939" s="29"/>
      <c r="K939" s="32"/>
      <c r="L939" s="29"/>
      <c r="M939" s="29"/>
      <c r="N939" s="29"/>
    </row>
    <row r="940">
      <c r="A940" s="32"/>
      <c r="B940" s="29"/>
      <c r="C940" s="29"/>
      <c r="D940" s="29"/>
      <c r="E940" s="241"/>
      <c r="F940" s="241"/>
      <c r="G940" s="241"/>
      <c r="H940" s="29"/>
      <c r="I940" s="257"/>
      <c r="J940" s="29"/>
      <c r="K940" s="32"/>
      <c r="L940" s="29"/>
      <c r="M940" s="29"/>
      <c r="N940" s="29"/>
    </row>
    <row r="941">
      <c r="A941" s="32"/>
      <c r="B941" s="29"/>
      <c r="C941" s="29"/>
      <c r="D941" s="29"/>
      <c r="E941" s="241"/>
      <c r="F941" s="241"/>
      <c r="G941" s="241"/>
      <c r="H941" s="29"/>
      <c r="I941" s="257"/>
      <c r="J941" s="29"/>
      <c r="K941" s="32"/>
      <c r="L941" s="29"/>
      <c r="M941" s="29"/>
      <c r="N941" s="29"/>
    </row>
    <row r="942">
      <c r="A942" s="32"/>
      <c r="B942" s="29"/>
      <c r="C942" s="29"/>
      <c r="D942" s="29"/>
      <c r="E942" s="241"/>
      <c r="F942" s="241"/>
      <c r="G942" s="241"/>
      <c r="H942" s="29"/>
      <c r="I942" s="257"/>
      <c r="J942" s="29"/>
      <c r="K942" s="32"/>
      <c r="L942" s="29"/>
      <c r="M942" s="29"/>
      <c r="N942" s="29"/>
    </row>
    <row r="943">
      <c r="A943" s="32"/>
      <c r="B943" s="29"/>
      <c r="C943" s="29"/>
      <c r="D943" s="29"/>
      <c r="E943" s="241"/>
      <c r="F943" s="241"/>
      <c r="G943" s="241"/>
      <c r="H943" s="29"/>
      <c r="I943" s="257"/>
      <c r="J943" s="29"/>
      <c r="K943" s="32"/>
      <c r="L943" s="29"/>
      <c r="M943" s="29"/>
      <c r="N943" s="29"/>
    </row>
    <row r="944">
      <c r="A944" s="32"/>
      <c r="B944" s="29"/>
      <c r="C944" s="29"/>
      <c r="D944" s="29"/>
      <c r="E944" s="241"/>
      <c r="F944" s="241"/>
      <c r="G944" s="241"/>
      <c r="H944" s="29"/>
      <c r="I944" s="257"/>
      <c r="J944" s="29"/>
      <c r="K944" s="32"/>
      <c r="L944" s="29"/>
      <c r="M944" s="29"/>
      <c r="N944" s="29"/>
    </row>
    <row r="945">
      <c r="A945" s="32"/>
      <c r="B945" s="29"/>
      <c r="C945" s="29"/>
      <c r="D945" s="29"/>
      <c r="E945" s="241"/>
      <c r="F945" s="241"/>
      <c r="G945" s="241"/>
      <c r="H945" s="29"/>
      <c r="I945" s="257"/>
      <c r="J945" s="29"/>
      <c r="K945" s="32"/>
      <c r="L945" s="29"/>
      <c r="M945" s="29"/>
      <c r="N945" s="29"/>
    </row>
    <row r="946">
      <c r="A946" s="32"/>
      <c r="B946" s="29"/>
      <c r="C946" s="29"/>
      <c r="D946" s="29"/>
      <c r="E946" s="241"/>
      <c r="F946" s="241"/>
      <c r="G946" s="241"/>
      <c r="H946" s="29"/>
      <c r="I946" s="257"/>
      <c r="J946" s="29"/>
      <c r="K946" s="32"/>
      <c r="L946" s="29"/>
      <c r="M946" s="29"/>
      <c r="N946" s="29"/>
    </row>
    <row r="947">
      <c r="A947" s="32"/>
      <c r="B947" s="29"/>
      <c r="C947" s="29"/>
      <c r="D947" s="29"/>
      <c r="E947" s="241"/>
      <c r="F947" s="241"/>
      <c r="G947" s="241"/>
      <c r="H947" s="29"/>
      <c r="I947" s="257"/>
      <c r="J947" s="29"/>
      <c r="K947" s="32"/>
      <c r="L947" s="29"/>
      <c r="M947" s="29"/>
      <c r="N947" s="29"/>
    </row>
    <row r="948">
      <c r="A948" s="32"/>
      <c r="B948" s="29"/>
      <c r="C948" s="29"/>
      <c r="D948" s="29"/>
      <c r="E948" s="241"/>
      <c r="F948" s="241"/>
      <c r="G948" s="241"/>
      <c r="H948" s="29"/>
      <c r="I948" s="257"/>
      <c r="J948" s="29"/>
      <c r="K948" s="32"/>
      <c r="L948" s="29"/>
      <c r="M948" s="29"/>
      <c r="N948" s="29"/>
    </row>
    <row r="949">
      <c r="A949" s="32"/>
      <c r="B949" s="29"/>
      <c r="C949" s="29"/>
      <c r="D949" s="29"/>
      <c r="E949" s="241"/>
      <c r="F949" s="241"/>
      <c r="G949" s="241"/>
      <c r="H949" s="29"/>
      <c r="I949" s="257"/>
      <c r="J949" s="29"/>
      <c r="K949" s="32"/>
      <c r="L949" s="29"/>
      <c r="M949" s="29"/>
      <c r="N949" s="29"/>
    </row>
    <row r="950">
      <c r="A950" s="32"/>
      <c r="B950" s="29"/>
      <c r="C950" s="29"/>
      <c r="D950" s="29"/>
      <c r="E950" s="241"/>
      <c r="F950" s="241"/>
      <c r="G950" s="241"/>
      <c r="H950" s="29"/>
      <c r="I950" s="257"/>
      <c r="J950" s="29"/>
      <c r="K950" s="32"/>
      <c r="L950" s="29"/>
      <c r="M950" s="29"/>
      <c r="N950" s="29"/>
    </row>
    <row r="951">
      <c r="A951" s="32"/>
      <c r="B951" s="29"/>
      <c r="C951" s="29"/>
      <c r="D951" s="29"/>
      <c r="E951" s="241"/>
      <c r="F951" s="241"/>
      <c r="G951" s="241"/>
      <c r="H951" s="29"/>
      <c r="I951" s="257"/>
      <c r="J951" s="29"/>
      <c r="K951" s="32"/>
      <c r="L951" s="29"/>
      <c r="M951" s="29"/>
      <c r="N951" s="29"/>
    </row>
    <row r="952">
      <c r="A952" s="32"/>
      <c r="B952" s="29"/>
      <c r="C952" s="29"/>
      <c r="D952" s="29"/>
      <c r="E952" s="241"/>
      <c r="F952" s="241"/>
      <c r="G952" s="241"/>
      <c r="H952" s="29"/>
      <c r="I952" s="257"/>
      <c r="J952" s="29"/>
      <c r="K952" s="32"/>
      <c r="L952" s="29"/>
      <c r="M952" s="29"/>
      <c r="N952" s="29"/>
    </row>
    <row r="953">
      <c r="A953" s="32"/>
      <c r="B953" s="29"/>
      <c r="C953" s="29"/>
      <c r="D953" s="29"/>
      <c r="E953" s="241"/>
      <c r="F953" s="241"/>
      <c r="G953" s="241"/>
      <c r="H953" s="29"/>
      <c r="I953" s="257"/>
      <c r="J953" s="29"/>
      <c r="K953" s="32"/>
      <c r="L953" s="29"/>
      <c r="M953" s="29"/>
      <c r="N953" s="29"/>
    </row>
    <row r="954">
      <c r="A954" s="32"/>
      <c r="B954" s="29"/>
      <c r="C954" s="29"/>
      <c r="D954" s="29"/>
      <c r="E954" s="241"/>
      <c r="F954" s="241"/>
      <c r="G954" s="241"/>
      <c r="H954" s="29"/>
      <c r="I954" s="257"/>
      <c r="J954" s="29"/>
      <c r="K954" s="32"/>
      <c r="L954" s="29"/>
      <c r="M954" s="29"/>
      <c r="N954" s="29"/>
    </row>
    <row r="955">
      <c r="A955" s="32"/>
      <c r="B955" s="29"/>
      <c r="C955" s="29"/>
      <c r="D955" s="29"/>
      <c r="E955" s="241"/>
      <c r="F955" s="241"/>
      <c r="G955" s="241"/>
      <c r="H955" s="29"/>
      <c r="I955" s="257"/>
      <c r="J955" s="29"/>
      <c r="K955" s="32"/>
      <c r="L955" s="29"/>
      <c r="M955" s="29"/>
      <c r="N955" s="29"/>
    </row>
    <row r="956">
      <c r="A956" s="32"/>
      <c r="B956" s="29"/>
      <c r="C956" s="29"/>
      <c r="D956" s="29"/>
      <c r="E956" s="241"/>
      <c r="F956" s="241"/>
      <c r="G956" s="241"/>
      <c r="H956" s="29"/>
      <c r="I956" s="257"/>
      <c r="J956" s="29"/>
      <c r="K956" s="32"/>
      <c r="L956" s="29"/>
      <c r="M956" s="29"/>
      <c r="N956" s="29"/>
    </row>
    <row r="957">
      <c r="A957" s="32"/>
      <c r="B957" s="29"/>
      <c r="C957" s="29"/>
      <c r="D957" s="29"/>
      <c r="E957" s="241"/>
      <c r="F957" s="241"/>
      <c r="G957" s="241"/>
      <c r="H957" s="29"/>
      <c r="I957" s="257"/>
      <c r="J957" s="29"/>
      <c r="K957" s="32"/>
      <c r="L957" s="29"/>
      <c r="M957" s="29"/>
      <c r="N957" s="29"/>
    </row>
    <row r="958">
      <c r="A958" s="32"/>
      <c r="B958" s="29"/>
      <c r="C958" s="29"/>
      <c r="D958" s="29"/>
      <c r="E958" s="241"/>
      <c r="F958" s="241"/>
      <c r="G958" s="241"/>
      <c r="H958" s="29"/>
      <c r="I958" s="257"/>
      <c r="J958" s="29"/>
      <c r="K958" s="32"/>
      <c r="L958" s="29"/>
      <c r="M958" s="29"/>
      <c r="N958" s="29"/>
    </row>
    <row r="959">
      <c r="A959" s="32"/>
      <c r="B959" s="29"/>
      <c r="C959" s="29"/>
      <c r="D959" s="29"/>
      <c r="E959" s="241"/>
      <c r="F959" s="241"/>
      <c r="G959" s="241"/>
      <c r="H959" s="29"/>
      <c r="I959" s="257"/>
      <c r="J959" s="29"/>
      <c r="K959" s="32"/>
      <c r="L959" s="29"/>
      <c r="M959" s="29"/>
      <c r="N959" s="29"/>
    </row>
    <row r="960">
      <c r="A960" s="32"/>
      <c r="B960" s="29"/>
      <c r="C960" s="29"/>
      <c r="D960" s="29"/>
      <c r="E960" s="241"/>
      <c r="F960" s="241"/>
      <c r="G960" s="241"/>
      <c r="H960" s="29"/>
      <c r="I960" s="257"/>
      <c r="J960" s="29"/>
      <c r="K960" s="32"/>
      <c r="L960" s="29"/>
      <c r="M960" s="29"/>
      <c r="N960" s="29"/>
    </row>
    <row r="961">
      <c r="A961" s="32"/>
      <c r="B961" s="29"/>
      <c r="C961" s="29"/>
      <c r="D961" s="29"/>
      <c r="E961" s="241"/>
      <c r="F961" s="241"/>
      <c r="G961" s="241"/>
      <c r="H961" s="29"/>
      <c r="I961" s="257"/>
      <c r="J961" s="29"/>
      <c r="K961" s="32"/>
      <c r="L961" s="29"/>
      <c r="M961" s="29"/>
      <c r="N961" s="29"/>
    </row>
    <row r="962">
      <c r="A962" s="32"/>
      <c r="B962" s="29"/>
      <c r="C962" s="29"/>
      <c r="D962" s="29"/>
      <c r="E962" s="241"/>
      <c r="F962" s="241"/>
      <c r="G962" s="241"/>
      <c r="H962" s="29"/>
      <c r="I962" s="257"/>
      <c r="J962" s="29"/>
      <c r="K962" s="32"/>
      <c r="L962" s="29"/>
      <c r="M962" s="29"/>
      <c r="N962" s="29"/>
    </row>
    <row r="963">
      <c r="A963" s="32"/>
      <c r="B963" s="29"/>
      <c r="C963" s="29"/>
      <c r="D963" s="29"/>
      <c r="E963" s="241"/>
      <c r="F963" s="241"/>
      <c r="G963" s="241"/>
      <c r="H963" s="29"/>
      <c r="I963" s="257"/>
      <c r="J963" s="29"/>
      <c r="K963" s="32"/>
      <c r="L963" s="29"/>
      <c r="M963" s="29"/>
      <c r="N963" s="29"/>
    </row>
    <row r="964">
      <c r="A964" s="32"/>
      <c r="B964" s="29"/>
      <c r="C964" s="29"/>
      <c r="D964" s="29"/>
      <c r="E964" s="241"/>
      <c r="F964" s="241"/>
      <c r="G964" s="241"/>
      <c r="H964" s="29"/>
      <c r="I964" s="257"/>
      <c r="J964" s="29"/>
      <c r="K964" s="32"/>
      <c r="L964" s="29"/>
      <c r="M964" s="29"/>
      <c r="N964" s="29"/>
    </row>
    <row r="965">
      <c r="A965" s="32"/>
      <c r="B965" s="29"/>
      <c r="C965" s="29"/>
      <c r="D965" s="29"/>
      <c r="E965" s="241"/>
      <c r="F965" s="241"/>
      <c r="G965" s="241"/>
      <c r="H965" s="29"/>
      <c r="I965" s="257"/>
      <c r="J965" s="29"/>
      <c r="K965" s="32"/>
      <c r="L965" s="29"/>
      <c r="M965" s="29"/>
      <c r="N965" s="29"/>
    </row>
    <row r="966">
      <c r="A966" s="32"/>
      <c r="B966" s="29"/>
      <c r="C966" s="29"/>
      <c r="D966" s="29"/>
      <c r="E966" s="241"/>
      <c r="F966" s="241"/>
      <c r="G966" s="241"/>
      <c r="H966" s="29"/>
      <c r="I966" s="257"/>
      <c r="J966" s="29"/>
      <c r="K966" s="32"/>
      <c r="L966" s="29"/>
      <c r="M966" s="29"/>
      <c r="N966" s="29"/>
    </row>
    <row r="967">
      <c r="A967" s="32"/>
      <c r="B967" s="29"/>
      <c r="C967" s="29"/>
      <c r="D967" s="29"/>
      <c r="E967" s="241"/>
      <c r="F967" s="241"/>
      <c r="G967" s="241"/>
      <c r="H967" s="29"/>
      <c r="I967" s="257"/>
      <c r="J967" s="29"/>
      <c r="K967" s="32"/>
      <c r="L967" s="29"/>
      <c r="M967" s="29"/>
      <c r="N967" s="29"/>
    </row>
    <row r="968">
      <c r="A968" s="32"/>
      <c r="B968" s="29"/>
      <c r="C968" s="29"/>
      <c r="D968" s="29"/>
      <c r="E968" s="241"/>
      <c r="F968" s="241"/>
      <c r="G968" s="241"/>
      <c r="H968" s="29"/>
      <c r="I968" s="257"/>
      <c r="J968" s="29"/>
      <c r="K968" s="32"/>
      <c r="L968" s="29"/>
      <c r="M968" s="29"/>
      <c r="N968" s="29"/>
    </row>
    <row r="969">
      <c r="A969" s="32"/>
      <c r="B969" s="29"/>
      <c r="C969" s="29"/>
      <c r="D969" s="29"/>
      <c r="E969" s="241"/>
      <c r="F969" s="241"/>
      <c r="G969" s="241"/>
      <c r="H969" s="29"/>
      <c r="I969" s="257"/>
      <c r="J969" s="29"/>
      <c r="K969" s="32"/>
      <c r="L969" s="29"/>
      <c r="M969" s="29"/>
      <c r="N969" s="29"/>
    </row>
    <row r="970">
      <c r="A970" s="32"/>
      <c r="B970" s="29"/>
      <c r="C970" s="29"/>
      <c r="D970" s="29"/>
      <c r="E970" s="241"/>
      <c r="F970" s="241"/>
      <c r="G970" s="241"/>
      <c r="H970" s="29"/>
      <c r="I970" s="257"/>
      <c r="J970" s="29"/>
      <c r="K970" s="32"/>
      <c r="L970" s="29"/>
      <c r="M970" s="29"/>
      <c r="N970" s="29"/>
    </row>
    <row r="971">
      <c r="A971" s="32"/>
      <c r="B971" s="29"/>
      <c r="C971" s="29"/>
      <c r="D971" s="29"/>
      <c r="E971" s="241"/>
      <c r="F971" s="241"/>
      <c r="G971" s="241"/>
      <c r="H971" s="29"/>
      <c r="I971" s="257"/>
      <c r="J971" s="29"/>
      <c r="K971" s="32"/>
      <c r="L971" s="29"/>
      <c r="M971" s="29"/>
      <c r="N971" s="29"/>
    </row>
    <row r="972">
      <c r="A972" s="32"/>
      <c r="B972" s="29"/>
      <c r="C972" s="29"/>
      <c r="D972" s="29"/>
      <c r="E972" s="241"/>
      <c r="F972" s="241"/>
      <c r="G972" s="241"/>
      <c r="H972" s="29"/>
      <c r="I972" s="257"/>
      <c r="J972" s="29"/>
      <c r="K972" s="32"/>
      <c r="L972" s="29"/>
      <c r="M972" s="29"/>
      <c r="N972" s="29"/>
    </row>
    <row r="973">
      <c r="A973" s="32"/>
      <c r="B973" s="29"/>
      <c r="C973" s="29"/>
      <c r="D973" s="29"/>
      <c r="E973" s="241"/>
      <c r="F973" s="241"/>
      <c r="G973" s="241"/>
      <c r="H973" s="29"/>
      <c r="I973" s="257"/>
      <c r="J973" s="29"/>
      <c r="K973" s="32"/>
      <c r="L973" s="29"/>
      <c r="M973" s="29"/>
      <c r="N973" s="29"/>
    </row>
    <row r="974">
      <c r="A974" s="32"/>
      <c r="B974" s="29"/>
      <c r="C974" s="29"/>
      <c r="D974" s="29"/>
      <c r="E974" s="241"/>
      <c r="F974" s="241"/>
      <c r="G974" s="241"/>
      <c r="H974" s="29"/>
      <c r="I974" s="257"/>
      <c r="J974" s="29"/>
      <c r="K974" s="32"/>
      <c r="L974" s="29"/>
      <c r="M974" s="29"/>
      <c r="N974" s="29"/>
    </row>
    <row r="975">
      <c r="A975" s="32"/>
      <c r="B975" s="29"/>
      <c r="C975" s="29"/>
      <c r="D975" s="29"/>
      <c r="E975" s="241"/>
      <c r="F975" s="241"/>
      <c r="G975" s="241"/>
      <c r="H975" s="29"/>
      <c r="I975" s="257"/>
      <c r="J975" s="29"/>
      <c r="K975" s="32"/>
      <c r="L975" s="29"/>
      <c r="M975" s="29"/>
      <c r="N975" s="29"/>
    </row>
    <row r="976">
      <c r="A976" s="32"/>
      <c r="B976" s="29"/>
      <c r="C976" s="29"/>
      <c r="D976" s="29"/>
      <c r="E976" s="241"/>
      <c r="F976" s="241"/>
      <c r="G976" s="241"/>
      <c r="H976" s="29"/>
      <c r="I976" s="257"/>
      <c r="J976" s="29"/>
      <c r="K976" s="32"/>
      <c r="L976" s="29"/>
      <c r="M976" s="29"/>
      <c r="N976" s="29"/>
    </row>
    <row r="977">
      <c r="A977" s="32"/>
      <c r="B977" s="29"/>
      <c r="C977" s="29"/>
      <c r="D977" s="29"/>
      <c r="E977" s="241"/>
      <c r="F977" s="241"/>
      <c r="G977" s="241"/>
      <c r="H977" s="29"/>
      <c r="I977" s="257"/>
      <c r="J977" s="29"/>
      <c r="K977" s="32"/>
      <c r="L977" s="29"/>
      <c r="M977" s="29"/>
      <c r="N977" s="29"/>
    </row>
    <row r="978">
      <c r="A978" s="32"/>
      <c r="B978" s="29"/>
      <c r="C978" s="29"/>
      <c r="D978" s="29"/>
      <c r="E978" s="241"/>
      <c r="F978" s="241"/>
      <c r="G978" s="241"/>
      <c r="H978" s="29"/>
      <c r="I978" s="257"/>
      <c r="J978" s="29"/>
      <c r="K978" s="32"/>
      <c r="L978" s="29"/>
      <c r="M978" s="29"/>
      <c r="N978" s="29"/>
    </row>
    <row r="979">
      <c r="A979" s="32"/>
      <c r="B979" s="29"/>
      <c r="C979" s="29"/>
      <c r="D979" s="29"/>
      <c r="E979" s="241"/>
      <c r="F979" s="241"/>
      <c r="G979" s="241"/>
      <c r="H979" s="29"/>
      <c r="I979" s="257"/>
      <c r="J979" s="29"/>
      <c r="K979" s="32"/>
      <c r="L979" s="29"/>
      <c r="M979" s="29"/>
      <c r="N979" s="29"/>
    </row>
    <row r="980">
      <c r="A980" s="32"/>
      <c r="B980" s="29"/>
      <c r="C980" s="29"/>
      <c r="D980" s="29"/>
      <c r="E980" s="241"/>
      <c r="F980" s="241"/>
      <c r="G980" s="241"/>
      <c r="H980" s="29"/>
      <c r="I980" s="257"/>
      <c r="J980" s="29"/>
      <c r="K980" s="32"/>
      <c r="L980" s="29"/>
      <c r="M980" s="29"/>
      <c r="N980" s="29"/>
    </row>
    <row r="981">
      <c r="A981" s="32"/>
      <c r="B981" s="29"/>
      <c r="C981" s="29"/>
      <c r="D981" s="29"/>
      <c r="E981" s="241"/>
      <c r="F981" s="241"/>
      <c r="G981" s="241"/>
      <c r="H981" s="29"/>
      <c r="I981" s="257"/>
      <c r="J981" s="29"/>
      <c r="K981" s="32"/>
      <c r="L981" s="29"/>
      <c r="M981" s="29"/>
      <c r="N981" s="29"/>
    </row>
    <row r="982">
      <c r="A982" s="32"/>
      <c r="B982" s="29"/>
      <c r="C982" s="29"/>
      <c r="D982" s="29"/>
      <c r="E982" s="241"/>
      <c r="F982" s="241"/>
      <c r="G982" s="241"/>
      <c r="H982" s="29"/>
      <c r="I982" s="257"/>
      <c r="J982" s="29"/>
      <c r="K982" s="32"/>
      <c r="L982" s="29"/>
      <c r="M982" s="29"/>
      <c r="N982" s="29"/>
    </row>
    <row r="983">
      <c r="A983" s="32"/>
      <c r="B983" s="29"/>
      <c r="C983" s="29"/>
      <c r="D983" s="29"/>
      <c r="E983" s="241"/>
      <c r="F983" s="241"/>
      <c r="G983" s="241"/>
      <c r="H983" s="29"/>
      <c r="I983" s="257"/>
      <c r="J983" s="29"/>
      <c r="K983" s="32"/>
      <c r="L983" s="29"/>
      <c r="M983" s="29"/>
      <c r="N983" s="29"/>
    </row>
    <row r="984">
      <c r="A984" s="32"/>
      <c r="B984" s="29"/>
      <c r="C984" s="29"/>
      <c r="D984" s="29"/>
      <c r="E984" s="241"/>
      <c r="F984" s="241"/>
      <c r="G984" s="241"/>
      <c r="H984" s="29"/>
      <c r="I984" s="257"/>
      <c r="J984" s="29"/>
      <c r="K984" s="32"/>
      <c r="L984" s="29"/>
      <c r="M984" s="29"/>
      <c r="N984" s="29"/>
    </row>
    <row r="985">
      <c r="A985" s="32"/>
      <c r="B985" s="29"/>
      <c r="C985" s="29"/>
      <c r="D985" s="29"/>
      <c r="E985" s="241"/>
      <c r="F985" s="241"/>
      <c r="G985" s="241"/>
      <c r="H985" s="29"/>
      <c r="I985" s="257"/>
      <c r="J985" s="29"/>
      <c r="K985" s="32"/>
      <c r="L985" s="29"/>
      <c r="M985" s="29"/>
      <c r="N985" s="29"/>
    </row>
    <row r="986">
      <c r="A986" s="32"/>
      <c r="B986" s="29"/>
      <c r="C986" s="29"/>
      <c r="D986" s="29"/>
      <c r="E986" s="241"/>
      <c r="F986" s="241"/>
      <c r="G986" s="241"/>
      <c r="H986" s="29"/>
      <c r="I986" s="257"/>
      <c r="J986" s="29"/>
      <c r="K986" s="32"/>
      <c r="L986" s="29"/>
      <c r="M986" s="29"/>
      <c r="N986" s="29"/>
    </row>
    <row r="987">
      <c r="A987" s="32"/>
      <c r="B987" s="29"/>
      <c r="C987" s="29"/>
      <c r="D987" s="29"/>
      <c r="E987" s="241"/>
      <c r="F987" s="241"/>
      <c r="G987" s="241"/>
      <c r="H987" s="29"/>
      <c r="I987" s="257"/>
      <c r="J987" s="29"/>
      <c r="K987" s="32"/>
      <c r="L987" s="29"/>
      <c r="M987" s="29"/>
      <c r="N987" s="29"/>
    </row>
    <row r="988">
      <c r="A988" s="32"/>
      <c r="B988" s="29"/>
      <c r="C988" s="29"/>
      <c r="D988" s="29"/>
      <c r="E988" s="241"/>
      <c r="F988" s="241"/>
      <c r="G988" s="241"/>
      <c r="H988" s="29"/>
      <c r="I988" s="257"/>
      <c r="J988" s="29"/>
      <c r="K988" s="32"/>
      <c r="L988" s="29"/>
      <c r="M988" s="29"/>
      <c r="N988" s="29"/>
    </row>
    <row r="989">
      <c r="A989" s="32"/>
      <c r="B989" s="29"/>
      <c r="C989" s="29"/>
      <c r="D989" s="29"/>
      <c r="E989" s="241"/>
      <c r="F989" s="241"/>
      <c r="G989" s="241"/>
      <c r="H989" s="29"/>
      <c r="I989" s="257"/>
      <c r="J989" s="29"/>
      <c r="K989" s="32"/>
      <c r="L989" s="29"/>
      <c r="M989" s="29"/>
      <c r="N989" s="29"/>
    </row>
    <row r="990">
      <c r="A990" s="32"/>
      <c r="B990" s="29"/>
      <c r="C990" s="29"/>
      <c r="D990" s="29"/>
      <c r="E990" s="241"/>
      <c r="F990" s="241"/>
      <c r="G990" s="241"/>
      <c r="H990" s="29"/>
      <c r="I990" s="257"/>
      <c r="J990" s="29"/>
      <c r="K990" s="32"/>
      <c r="L990" s="29"/>
      <c r="M990" s="29"/>
      <c r="N990" s="29"/>
    </row>
    <row r="991">
      <c r="A991" s="32"/>
      <c r="B991" s="29"/>
      <c r="C991" s="29"/>
      <c r="D991" s="29"/>
      <c r="E991" s="241"/>
      <c r="F991" s="241"/>
      <c r="G991" s="241"/>
      <c r="H991" s="29"/>
      <c r="I991" s="257"/>
      <c r="J991" s="29"/>
      <c r="K991" s="32"/>
      <c r="L991" s="29"/>
      <c r="M991" s="29"/>
      <c r="N991" s="29"/>
    </row>
    <row r="992">
      <c r="A992" s="32"/>
      <c r="B992" s="29"/>
      <c r="C992" s="29"/>
      <c r="D992" s="29"/>
      <c r="E992" s="241"/>
      <c r="F992" s="241"/>
      <c r="G992" s="241"/>
      <c r="H992" s="29"/>
      <c r="I992" s="257"/>
      <c r="J992" s="29"/>
      <c r="K992" s="32"/>
      <c r="L992" s="29"/>
      <c r="M992" s="29"/>
      <c r="N992" s="29"/>
    </row>
    <row r="993">
      <c r="A993" s="32"/>
      <c r="B993" s="29"/>
      <c r="C993" s="29"/>
      <c r="D993" s="29"/>
      <c r="E993" s="241"/>
      <c r="F993" s="241"/>
      <c r="G993" s="241"/>
      <c r="H993" s="29"/>
      <c r="I993" s="257"/>
      <c r="J993" s="29"/>
      <c r="K993" s="32"/>
      <c r="L993" s="29"/>
      <c r="M993" s="29"/>
      <c r="N993" s="29"/>
    </row>
  </sheetData>
  <autoFilter ref="$A$1:$L$53"/>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19.88"/>
    <col customWidth="1" min="2" max="2" width="28.75"/>
  </cols>
  <sheetData>
    <row r="1">
      <c r="A1" s="258" t="s">
        <v>0</v>
      </c>
      <c r="B1" s="16" t="s">
        <v>2</v>
      </c>
    </row>
    <row r="2">
      <c r="A2" s="259" t="str">
        <f>IFERROR(__xludf.DUMMYFUNCTION("QUERY({importrange(""https://docs.google.com/spreadsheets/d/1eUDz1u2mohtIKD_602DAICuBClD3edE2TFCz0H3Hi1w/edit#gid=802317715"", ""Collabs voulues!A2:h"");importrange(""https://docs.google.com/spreadsheets/d/1l-SZTzlLtsBd7LISr0SacLghEa4lNQoXLbVDVaQdN0M/edit"&amp;"#gid=802317715"", ""Collabs voulues!A2:h"");importrange(""https://docs.google.com/spreadsheets/d/1PqaoXtrik9hn8snyB8LbCbizwBqBtuB_G13rcdjTScE/edit#gid=802317715"", ""Collabs voulues!A2:h"");importrange(""https://docs.google.com/spreadsheets/d/1XxN5iiOrK3L"&amp;"KvysKdVIlgCYOur8OpSjJqxq1AWnuHrI/edit#gid=802317715"", ""Collabs voulues!A2:h"");importrange(""https://docs.google.com/spreadsheets/d/1rI1ud4ivOHZpt8HYGddv4hvPe2v2EYEHYwBlwRzlEaM/edit#gid=802317715"", ""Collabs voulues!A2:h"");importrange(""https://docs.g"&amp;"oogle.com/spreadsheets/d/1gY7lIA8tbXFKUMkpBHsbbY2BTEUKvuPI74Lt33fSGes/edit#gid=1329506101"", ""Collabs voulues!A2:h"")},""select * where Col1 is not null"")"),"#VALUE!")</f>
        <v>#VALUE!</v>
      </c>
    </row>
    <row r="3" hidden="1"/>
    <row r="4">
      <c r="X4" s="258"/>
    </row>
  </sheetData>
  <autoFilter ref="$K$2:$S$159">
    <filterColumn colId="8">
      <filters blank="1"/>
    </filterColumn>
    <sortState ref="K2:S159">
      <sortCondition descending="1" ref="S2:S159"/>
    </sortState>
  </autoFilter>
  <drawing r:id="rId2"/>
</worksheet>
</file>