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xr:revisionPtr revIDLastSave="0" documentId="13_ncr:1_{21DBECB6-05A5-4C5C-B963-6A2ECC0FE090}" xr6:coauthVersionLast="47" xr6:coauthVersionMax="47" xr10:uidLastSave="{00000000-0000-0000-0000-000000000000}"/>
  <bookViews>
    <workbookView xWindow="-108" yWindow="-108" windowWidth="23256" windowHeight="12456" tabRatio="890" activeTab="11" xr2:uid="{00000000-000D-0000-FFFF-FFFF00000000}"/>
  </bookViews>
  <sheets>
    <sheet name="Instructions" sheetId="15" r:id="rId1"/>
    <sheet name="Basic Details" sheetId="1" r:id="rId2"/>
    <sheet name="Eligibility Criteria" sheetId="2" r:id="rId3"/>
    <sheet name="Table 1" sheetId="13" r:id="rId4"/>
    <sheet name="Table 2" sheetId="21" r:id="rId5"/>
    <sheet name="Table 3" sheetId="6" r:id="rId6"/>
    <sheet name="Table 4" sheetId="8" r:id="rId7"/>
    <sheet name="Table 5" sheetId="24" r:id="rId8"/>
    <sheet name="Table 6" sheetId="20" r:id="rId9"/>
    <sheet name="Table 7" sheetId="11" r:id="rId10"/>
    <sheet name="Other Information" sheetId="23" r:id="rId11"/>
    <sheet name="Reference" sheetId="14" r:id="rId12"/>
    <sheet name="Analysis" sheetId="25" r:id="rId13"/>
  </sheets>
  <definedNames>
    <definedName name="_xlnm._FilterDatabase" localSheetId="2" hidden="1">'Eligibility Criteria'!$A$1:$G$48</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5" i="25" l="1"/>
  <c r="A56" i="2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R4" i="24"/>
  <c r="R5" i="24"/>
  <c r="R6" i="24"/>
  <c r="R7" i="24"/>
  <c r="R8" i="24"/>
  <c r="R9" i="24"/>
  <c r="R10" i="24"/>
  <c r="R11" i="24"/>
  <c r="R12" i="24"/>
  <c r="R3" i="24"/>
  <c r="A60" i="25"/>
  <c r="A61" i="25"/>
  <c r="A59" i="25"/>
  <c r="A58" i="25"/>
  <c r="A57" i="25"/>
  <c r="A53" i="25"/>
  <c r="A50" i="25"/>
  <c r="A52" i="25"/>
  <c r="A51" i="25"/>
  <c r="A49" i="25"/>
  <c r="A48" i="25"/>
  <c r="A47" i="25"/>
  <c r="A44" i="25"/>
  <c r="A46" i="25"/>
  <c r="A45" i="25"/>
  <c r="A43" i="25"/>
  <c r="A42" i="25"/>
  <c r="A41" i="25"/>
  <c r="A40" i="25"/>
  <c r="A39" i="25"/>
  <c r="A38" i="25"/>
  <c r="A37" i="25"/>
  <c r="A36" i="25"/>
  <c r="A35" i="25"/>
  <c r="A33" i="25"/>
  <c r="A32" i="25"/>
  <c r="A34" i="25"/>
  <c r="A31" i="25"/>
  <c r="A30" i="25"/>
  <c r="A29" i="25"/>
  <c r="A28" i="25"/>
  <c r="A27" i="25"/>
  <c r="A26" i="25"/>
  <c r="A25" i="25"/>
  <c r="A24" i="25"/>
  <c r="A23" i="25"/>
  <c r="A22" i="25"/>
  <c r="A19" i="25"/>
  <c r="A18" i="25"/>
  <c r="A17" i="25"/>
  <c r="A16" i="25"/>
  <c r="A20" i="25"/>
  <c r="A21" i="25"/>
  <c r="A15" i="25"/>
  <c r="A14" i="25"/>
  <c r="A13" i="25"/>
  <c r="A12" i="25"/>
  <c r="A11" i="25"/>
  <c r="A10" i="25"/>
  <c r="A8" i="25"/>
  <c r="A7" i="25"/>
  <c r="A9" i="25"/>
  <c r="A6" i="25"/>
  <c r="A5" i="25"/>
  <c r="A4" i="25"/>
  <c r="A3" i="25"/>
  <c r="A2" i="25"/>
  <c r="C23" i="2"/>
  <c r="C27" i="2"/>
  <c r="G28" i="2"/>
  <c r="C28" i="2"/>
  <c r="C41" i="2"/>
  <c r="A3" i="24"/>
  <c r="A4" i="24"/>
  <c r="A5" i="24"/>
  <c r="A6" i="24"/>
  <c r="A7" i="24"/>
  <c r="A8" i="24"/>
  <c r="A9" i="24"/>
  <c r="A10" i="24"/>
  <c r="A11" i="24"/>
  <c r="A12" i="24"/>
  <c r="C50" i="2" l="1"/>
  <c r="G48" i="2"/>
  <c r="C48" i="2"/>
  <c r="G45" i="2"/>
  <c r="C45" i="2"/>
  <c r="G41" i="2"/>
  <c r="G40" i="2"/>
  <c r="F41" i="2"/>
  <c r="F40" i="2"/>
  <c r="F35" i="2"/>
  <c r="F36" i="2"/>
  <c r="C36" i="2"/>
  <c r="C35" i="2"/>
  <c r="G30" i="2"/>
  <c r="G33" i="2"/>
  <c r="G32" i="2"/>
  <c r="G31" i="2"/>
  <c r="G16" i="2"/>
  <c r="F16" i="2"/>
  <c r="C16" i="2"/>
  <c r="B10" i="15"/>
  <c r="B9" i="15"/>
  <c r="B8" i="15"/>
  <c r="B7" i="15"/>
  <c r="B6" i="15"/>
  <c r="B5" i="15"/>
  <c r="B4" i="15"/>
  <c r="G14" i="2"/>
  <c r="G13" i="2"/>
  <c r="G12" i="2"/>
  <c r="F12" i="2"/>
  <c r="F13" i="2"/>
  <c r="F14" i="2"/>
  <c r="F10" i="2"/>
  <c r="G10" i="2"/>
  <c r="G9" i="2"/>
  <c r="F9" i="2"/>
  <c r="F7" i="2"/>
  <c r="G3" i="2"/>
  <c r="F3" i="2"/>
  <c r="C3" i="2"/>
  <c r="G5" i="2"/>
  <c r="F5" i="2"/>
  <c r="G50" i="2"/>
  <c r="F50" i="2"/>
  <c r="G52" i="2"/>
  <c r="F52" i="2"/>
  <c r="C52" i="2"/>
  <c r="G54" i="2"/>
  <c r="F54" i="2"/>
  <c r="C54" i="2"/>
  <c r="C14" i="2"/>
  <c r="C13" i="2"/>
  <c r="C12" i="2"/>
  <c r="C9" i="2"/>
  <c r="C7" i="2"/>
  <c r="C5" i="2"/>
  <c r="C10" i="2"/>
  <c r="C40" i="2"/>
  <c r="C30" i="2"/>
  <c r="C33" i="2"/>
  <c r="C32" i="2"/>
  <c r="C31" i="2"/>
  <c r="A10" i="23" l="1"/>
  <c r="A4" i="23"/>
  <c r="A5" i="23"/>
  <c r="A6" i="23"/>
  <c r="A7" i="23"/>
  <c r="A8" i="23"/>
  <c r="A9" i="23"/>
  <c r="A11" i="23"/>
  <c r="A12" i="23"/>
  <c r="A3" i="23"/>
  <c r="A10" i="11"/>
  <c r="A7" i="11"/>
  <c r="A8" i="11"/>
  <c r="A9" i="11"/>
  <c r="A11" i="11"/>
  <c r="A12" i="11"/>
  <c r="A4" i="20"/>
  <c r="A5" i="20"/>
  <c r="A6" i="20"/>
  <c r="A7" i="20"/>
  <c r="A8" i="20"/>
  <c r="A9" i="20"/>
  <c r="A10" i="20"/>
  <c r="A11" i="20"/>
  <c r="A12" i="20"/>
  <c r="A8" i="8"/>
  <c r="A9" i="8"/>
  <c r="A10" i="8"/>
  <c r="A11" i="8"/>
  <c r="A12" i="8"/>
  <c r="A8" i="6"/>
  <c r="A9" i="6"/>
  <c r="A10" i="6"/>
  <c r="A11" i="6"/>
  <c r="A12" i="6"/>
  <c r="A9" i="13"/>
  <c r="A8" i="13"/>
  <c r="A7" i="13"/>
  <c r="A6" i="13"/>
  <c r="A5" i="13"/>
  <c r="A4" i="13"/>
  <c r="A12" i="13"/>
  <c r="A11" i="13"/>
  <c r="A10" i="13"/>
  <c r="A3" i="13"/>
  <c r="A12" i="21"/>
  <c r="A11" i="21"/>
  <c r="A10" i="21"/>
  <c r="A9" i="21"/>
  <c r="A8" i="21"/>
  <c r="A7" i="21"/>
  <c r="A6" i="21"/>
  <c r="A5" i="21"/>
  <c r="A4" i="21"/>
  <c r="A3" i="21"/>
  <c r="A7" i="6"/>
  <c r="A6" i="6"/>
  <c r="A5" i="6"/>
  <c r="A4" i="6"/>
  <c r="A3" i="6"/>
  <c r="A7" i="8"/>
  <c r="A6" i="8"/>
  <c r="A5" i="8"/>
  <c r="A4" i="8"/>
  <c r="A3" i="8"/>
  <c r="A3" i="20" l="1"/>
  <c r="A6" i="11"/>
  <c r="A5" i="11"/>
  <c r="A4" i="11"/>
  <c r="A3" i="11"/>
  <c r="F49" i="2" l="1"/>
</calcChain>
</file>

<file path=xl/sharedStrings.xml><?xml version="1.0" encoding="utf-8"?>
<sst xmlns="http://schemas.openxmlformats.org/spreadsheetml/2006/main" count="384" uniqueCount="338">
  <si>
    <t>PAN</t>
  </si>
  <si>
    <t>Date of Payment</t>
  </si>
  <si>
    <t>Reference Number</t>
  </si>
  <si>
    <t>Particulars</t>
  </si>
  <si>
    <t>Supporting Documents</t>
  </si>
  <si>
    <t>Copy of payment confirmation received from SEBI</t>
  </si>
  <si>
    <t>Regulation Reference</t>
  </si>
  <si>
    <t>Information Required</t>
  </si>
  <si>
    <t>Regulation 28E(a) of CRA Regulations</t>
  </si>
  <si>
    <t>Details of Incorporation</t>
  </si>
  <si>
    <t>Regulation 28E(b) of CRA Regulations</t>
  </si>
  <si>
    <t>Regulation 28E(c) of CRA Regulations</t>
  </si>
  <si>
    <t>Regulation 28E(c)(i) of CRA Regulations</t>
  </si>
  <si>
    <t>Regulation 28E(c)(ii) of CRA Regulations</t>
  </si>
  <si>
    <t>Regulation 28E(c)(iii) of CRA Regulations</t>
  </si>
  <si>
    <t>Applicant's Submission</t>
  </si>
  <si>
    <t>Regulation 28E(d) of CRA Regulations</t>
  </si>
  <si>
    <t>Regulation 28E(f) of CRA Regulations</t>
  </si>
  <si>
    <t>Regulation 28E(g) of CRA Regulations</t>
  </si>
  <si>
    <t>Regulation 28E(h) of CRA Regulations</t>
  </si>
  <si>
    <t>Regulation 28E(i) of CRA Regulations</t>
  </si>
  <si>
    <t>Regulation 28E(j) of CRA Regulations</t>
  </si>
  <si>
    <t>Regulation 28E(k) of CRA Regulations</t>
  </si>
  <si>
    <t>Regulation 28(m)(v) of CRA Regulations</t>
  </si>
  <si>
    <t>Instructions</t>
  </si>
  <si>
    <t>Regulation 28U(1)(a) of CRA Regulations</t>
  </si>
  <si>
    <t>Regulation 28U(1)(b) of CRA Regulations</t>
  </si>
  <si>
    <t>Regulation 28U(2) of CRA Regulations</t>
  </si>
  <si>
    <t>Name of Associate</t>
  </si>
  <si>
    <t>Nature of Activity Carried Out by the associate</t>
  </si>
  <si>
    <t>Registered with any regulator? (SEBI/RBI/ PFRDA/IRDA etc.)</t>
  </si>
  <si>
    <t>Nature of relationship with the ERP Applicant</t>
  </si>
  <si>
    <t>Particulars of the litigation</t>
  </si>
  <si>
    <t>Parties Involved</t>
  </si>
  <si>
    <t>Amount Involved (INR)</t>
  </si>
  <si>
    <t>Name of Employee</t>
  </si>
  <si>
    <t>Designation</t>
  </si>
  <si>
    <t>Education/ Professional Qualification</t>
  </si>
  <si>
    <t>Number of shares held as on date of application</t>
  </si>
  <si>
    <t>Date of appointment</t>
  </si>
  <si>
    <t>List of other companies where the directorship is held</t>
  </si>
  <si>
    <t>Details of resources shared with the ERP Applicant</t>
  </si>
  <si>
    <t>CIN</t>
  </si>
  <si>
    <t>Website</t>
  </si>
  <si>
    <t>Name of shareholders</t>
  </si>
  <si>
    <t>For having shareholder &gt;=10%, shareholding details of such shareholders in any other ESG Rating Provider</t>
  </si>
  <si>
    <t>Area of Expertise</t>
  </si>
  <si>
    <t>Nature of Activity of the company</t>
  </si>
  <si>
    <t>Name of Company</t>
  </si>
  <si>
    <t>a) Copy of the business plan
b) Documentary evidence like board minutes, correspondences with board members for submitting the business plan</t>
  </si>
  <si>
    <t>Correspondence Address</t>
  </si>
  <si>
    <t>Category I</t>
  </si>
  <si>
    <t>Category II</t>
  </si>
  <si>
    <t>Issuer pay</t>
  </si>
  <si>
    <t>Subscriber pay</t>
  </si>
  <si>
    <t>Both</t>
  </si>
  <si>
    <t>Form A</t>
  </si>
  <si>
    <t xml:space="preserve">Name of the Applicant </t>
  </si>
  <si>
    <t>Name of the contact person</t>
  </si>
  <si>
    <t>Mobile number of the contact person</t>
  </si>
  <si>
    <t>Email ID of the contact person</t>
  </si>
  <si>
    <t>Name of the Compliance Officer</t>
  </si>
  <si>
    <t>Mobile number of the Compliance Officer</t>
  </si>
  <si>
    <t>Email ID of the Compliance Officer</t>
  </si>
  <si>
    <t>Yes</t>
  </si>
  <si>
    <t>No</t>
  </si>
  <si>
    <t>Whether the Business Plan contains information about Target Breakeven Date</t>
  </si>
  <si>
    <t>Clauses in the Memorandum of Association</t>
  </si>
  <si>
    <t>Whether the Business Plan contains information about target revenue and the targeted number of clients it plans to service, within 2 years of obtaining a certificate</t>
  </si>
  <si>
    <t>Whether the Business Plan contains information about the cumulative cash losses that the applicant projects to incur until the targeted breakeven date, along with the activities or areas in which such losses shall be incurred</t>
  </si>
  <si>
    <t>Whether the applicant has a positive liquid net worth</t>
  </si>
  <si>
    <t>Whether the applicant has appointed a compliance officer</t>
  </si>
  <si>
    <t>a) Copy of the business plan</t>
  </si>
  <si>
    <t>a) Copy of Work Experience Certificate for each employee
b) Professional Qualification Certificates for each employee</t>
  </si>
  <si>
    <t>% of shares held as on date of application</t>
  </si>
  <si>
    <t xml:space="preserve">Details of Enforcement Action  </t>
  </si>
  <si>
    <t>Penalty</t>
  </si>
  <si>
    <t xml:space="preserve">Action Taken by </t>
  </si>
  <si>
    <t>Date of Enforcement Action</t>
  </si>
  <si>
    <t>Certificate of Incorporation</t>
  </si>
  <si>
    <t>10a</t>
  </si>
  <si>
    <t>10b</t>
  </si>
  <si>
    <t>10c</t>
  </si>
  <si>
    <t>1a</t>
  </si>
  <si>
    <t>2a</t>
  </si>
  <si>
    <t>5a</t>
  </si>
  <si>
    <t>19a</t>
  </si>
  <si>
    <t>Governance</t>
  </si>
  <si>
    <t>Sustainability</t>
  </si>
  <si>
    <t>Social impact/ social responsibility</t>
  </si>
  <si>
    <t>Data analytics</t>
  </si>
  <si>
    <t>Finance</t>
  </si>
  <si>
    <t>Information Technology</t>
  </si>
  <si>
    <t>Law</t>
  </si>
  <si>
    <t>Regulation 28E(e) and 28(n) of CRA Regulations</t>
  </si>
  <si>
    <t>Clause 15 of Chapter II of Master Circular on ERP</t>
  </si>
  <si>
    <t>Name of the Director</t>
  </si>
  <si>
    <t>Declaration from the applicant</t>
  </si>
  <si>
    <t>Executive</t>
  </si>
  <si>
    <t>Non-Executive</t>
  </si>
  <si>
    <t>NA</t>
  </si>
  <si>
    <t>Amount (Including tax/GST)</t>
  </si>
  <si>
    <t>Registered Office Address</t>
  </si>
  <si>
    <t>Table 1: Shareholding pattern of the applicant</t>
  </si>
  <si>
    <t xml:space="preserve">Table 3: Details of Associates </t>
  </si>
  <si>
    <t>Table 4: Details of Litigation</t>
  </si>
  <si>
    <t>Table 5</t>
  </si>
  <si>
    <t>Table 6: Details of Enforcement Action</t>
  </si>
  <si>
    <t>Table 7: Shares held by the ERP Applicant</t>
  </si>
  <si>
    <t>Basic Details</t>
  </si>
  <si>
    <t>Eligibility Criteria</t>
  </si>
  <si>
    <t>Other Information</t>
  </si>
  <si>
    <t>Sr. No.</t>
  </si>
  <si>
    <t>Table 1</t>
  </si>
  <si>
    <t>Table 2</t>
  </si>
  <si>
    <t>Table 3</t>
  </si>
  <si>
    <t>Table 4</t>
  </si>
  <si>
    <t>Table 6</t>
  </si>
  <si>
    <t>Table 7</t>
  </si>
  <si>
    <t>Information Provided</t>
  </si>
  <si>
    <t>Executive/ Non-executive</t>
  </si>
  <si>
    <t>Independent / Non-Independent</t>
  </si>
  <si>
    <t>Table 2: Directors of the Applicant</t>
  </si>
  <si>
    <t>Category</t>
  </si>
  <si>
    <t>Model</t>
  </si>
  <si>
    <t>Yes/No</t>
  </si>
  <si>
    <t>Fields</t>
  </si>
  <si>
    <t>Directors</t>
  </si>
  <si>
    <t>Independent</t>
  </si>
  <si>
    <t>Non-Independent</t>
  </si>
  <si>
    <t>Whether the applicant is a credit rating agency or a SEBI registered intermediary.</t>
  </si>
  <si>
    <t>Whether the applicant has at least 2 employees specialized across the certain areas like governance, sustainability, social impact or social responsibility, data analytics, finance, information technology, law</t>
  </si>
  <si>
    <t>Whether the ERP holds, directly or indirectly, 10% or more shareholding or voting rights in any other ERP</t>
  </si>
  <si>
    <t>Whether the ERP has representation on the board of directors of any other ERP</t>
  </si>
  <si>
    <t>Whether any shareholder holding 10% or more shares or voting rights in an ERP is holding 10% or more shares or voting rights, directly or indirectly, in any other ERP</t>
  </si>
  <si>
    <t>a) Copy of appointment letter, 
b) Offer letter 
c) Board Resolution approving the appointment</t>
  </si>
  <si>
    <t>Whether the applicant, during the past 3 years from the date of filing the application has been
i. refused by SEBI a certificate under CRA regulations, or
ii. deemed not fit and proper by SEBI, or
iii. subject to any enforcement action for a contravention of SEBI Act or of any rules or regulations made under SEBI Act.</t>
  </si>
  <si>
    <r>
      <t xml:space="preserve">Work Experience 
</t>
    </r>
    <r>
      <rPr>
        <b/>
        <i/>
        <sz val="10"/>
        <color theme="1"/>
        <rFont val="Arial"/>
        <family val="2"/>
      </rPr>
      <t>(Mention No. of years and other relevant details)</t>
    </r>
  </si>
  <si>
    <t>Table 5: Details of required employees</t>
  </si>
  <si>
    <t>Application Fee Payment Details (INR)</t>
  </si>
  <si>
    <t>PAN of the Applicant</t>
  </si>
  <si>
    <t>Business Model of the Applicant</t>
  </si>
  <si>
    <t>GSTIN of the Applicant</t>
  </si>
  <si>
    <t>This Registration Information Document must be submitted alongwith the filled application form by the Applicant</t>
  </si>
  <si>
    <t>Supporting Documents must be arranged in the same order as per the information provided in this excel sheet.</t>
  </si>
  <si>
    <t>In case any information/ document is not provided, the applicant shall clearly state the reason for the same.</t>
  </si>
  <si>
    <t>"CRA Regulations" used in this document refers to SEBI (Credit Rating Agencies) Regulations, 1999.</t>
  </si>
  <si>
    <t>Any additional information may be provided in the final sheet titled 'Other Information'</t>
  </si>
  <si>
    <t>Copy of identity proofs and address proofs of the directors</t>
  </si>
  <si>
    <t xml:space="preserve">All Applicable sections and Tables shall be filled by the Applicant. </t>
  </si>
  <si>
    <t>Minimum required fields have been highlighted with the following colour:</t>
  </si>
  <si>
    <t>Whether the applicant has been incorporated as a company under the Companies Act, 2013.</t>
  </si>
  <si>
    <t>Whether the applicant has specified ESG rating activity as the main object in its Memorandum of Association (MoA)</t>
  </si>
  <si>
    <t>Declaration from the Applicant</t>
  </si>
  <si>
    <t>(iv) ESG rating of any other product or issuer, as may be required by another financial sector regulator or authority, as may be specified by the Board, under the guidelines of such regulator or authority:</t>
  </si>
  <si>
    <t>(iii) Offering any other product or service or undertaking any other activity as may be specified by the Board</t>
  </si>
  <si>
    <t>(ii) ESG rating of a security, that is listed or proposed to be listed on a stock exchange recognized by the Board, or</t>
  </si>
  <si>
    <t>Whether the applicant has submitted a declaration that it does not and shall not undertake any activity or offer any product or service, except the following:</t>
  </si>
  <si>
    <t>(i) ESG rating of an issuer, that is listed or proposed to be listed on a stock exchange recognized by the Board</t>
  </si>
  <si>
    <t>Copy of net worth certificate based on audited financials not
earlier than three months from the date of application along with a
certificate obtained from a Chartered Accountant certifying the same</t>
  </si>
  <si>
    <t>Undertaking from the Applicant</t>
  </si>
  <si>
    <t>Whether the Applicant has employees with adequate experience</t>
  </si>
  <si>
    <t>Whether the Applicant and its Promoter(s), are fit and proper person(s), as per Schedule II of SEBI (Intermediaries) Regulations, 2008</t>
  </si>
  <si>
    <t>Resume of Key Personnel, experience certificates</t>
  </si>
  <si>
    <t>Whether the MD of the applicant and/ or any Executive Director is part of determining the ESG rating</t>
  </si>
  <si>
    <r>
      <t xml:space="preserve">Name of Managing Director (MD) of the Applicant </t>
    </r>
    <r>
      <rPr>
        <i/>
        <sz val="12"/>
        <color theme="1"/>
        <rFont val="Arial"/>
        <family val="2"/>
      </rPr>
      <t>(if available)</t>
    </r>
  </si>
  <si>
    <t>Name of Chief Executive Officer (CEO) of the Applicant</t>
  </si>
  <si>
    <t>Whether the CEO of the Applicant and/ or any Executive Director is part of determining the ESG rating</t>
  </si>
  <si>
    <t>Undertaking provided</t>
  </si>
  <si>
    <t>3a</t>
  </si>
  <si>
    <t>4b</t>
  </si>
  <si>
    <t>5b</t>
  </si>
  <si>
    <t>5c</t>
  </si>
  <si>
    <t>6a</t>
  </si>
  <si>
    <t>9a</t>
  </si>
  <si>
    <t>9b</t>
  </si>
  <si>
    <t>11a</t>
  </si>
  <si>
    <t>11b</t>
  </si>
  <si>
    <t>17a</t>
  </si>
  <si>
    <t>17b</t>
  </si>
  <si>
    <t>18a</t>
  </si>
  <si>
    <t>20a</t>
  </si>
  <si>
    <t>a) Copy of MoA
b) Copy of Article of Association (AoA)</t>
  </si>
  <si>
    <t>16a</t>
  </si>
  <si>
    <t>16b</t>
  </si>
  <si>
    <t>14a</t>
  </si>
  <si>
    <t>14b</t>
  </si>
  <si>
    <t>10d</t>
  </si>
  <si>
    <t>8a</t>
  </si>
  <si>
    <t>8c</t>
  </si>
  <si>
    <t>8d</t>
  </si>
  <si>
    <t>Enter Networth of the Applicant (INR Lakhs)</t>
  </si>
  <si>
    <t>IT</t>
  </si>
  <si>
    <t xml:space="preserve">Data </t>
  </si>
  <si>
    <t>Social</t>
  </si>
  <si>
    <t>Sustainbility</t>
  </si>
  <si>
    <t xml:space="preserve">Goverance </t>
  </si>
  <si>
    <t>Data Analytics</t>
  </si>
  <si>
    <t>Social Impact / Social Responsibility</t>
  </si>
  <si>
    <t>Whether the applicant has submitted its Business Plan pertaining to providing ESG ratings</t>
  </si>
  <si>
    <t>Variable</t>
  </si>
  <si>
    <t>whether_company</t>
  </si>
  <si>
    <t>date_of_incorp</t>
  </si>
  <si>
    <t>whether_main_activity_moa</t>
  </si>
  <si>
    <t>main_activity_moa_clause</t>
  </si>
  <si>
    <t>whether_business_plan</t>
  </si>
  <si>
    <t>business_plan_summary</t>
  </si>
  <si>
    <t>whether_breakeven_date</t>
  </si>
  <si>
    <t>breakeven_clause_num</t>
  </si>
  <si>
    <t>target_breakeven_date</t>
  </si>
  <si>
    <t>whether_revenue_clients</t>
  </si>
  <si>
    <t>revenue_clients_clause</t>
  </si>
  <si>
    <t>target_revenue</t>
  </si>
  <si>
    <t>target_clients</t>
  </si>
  <si>
    <t>whether_cash_losses</t>
  </si>
  <si>
    <t>cash_losses_clause</t>
  </si>
  <si>
    <t>whether_declaration</t>
  </si>
  <si>
    <t>whether_net_worth</t>
  </si>
  <si>
    <t>net_worth</t>
  </si>
  <si>
    <t>whether_adequate_infra</t>
  </si>
  <si>
    <t>comp_officer_name</t>
  </si>
  <si>
    <t>whether_comp_officer</t>
  </si>
  <si>
    <t>comp_officer_date</t>
  </si>
  <si>
    <t>whether_adequate_employee</t>
  </si>
  <si>
    <t>whether_fit_proper</t>
  </si>
  <si>
    <t>whether_refused</t>
  </si>
  <si>
    <t>enforcement_details</t>
  </si>
  <si>
    <t>enforcement_undertaking</t>
  </si>
  <si>
    <t>md_name</t>
  </si>
  <si>
    <t>md_rating</t>
  </si>
  <si>
    <t>md_undertaking</t>
  </si>
  <si>
    <t>ceo_name</t>
  </si>
  <si>
    <t>ceo_rating</t>
  </si>
  <si>
    <t>ceo_undertaking</t>
  </si>
  <si>
    <t>whether_10_percent</t>
  </si>
  <si>
    <t>10_percent_undertaking</t>
  </si>
  <si>
    <t>whether_other_erp_bod</t>
  </si>
  <si>
    <t>other_erp_bod_undertaking</t>
  </si>
  <si>
    <t>whether_other_erp_shp</t>
  </si>
  <si>
    <t>other_erp_shp_undertaking</t>
  </si>
  <si>
    <t>Hybrid (both office spaces and remote) operations</t>
  </si>
  <si>
    <t>Only office operations</t>
  </si>
  <si>
    <t>Whether the Applicant proposes to conduct its operations through offices or remote facility? Or follow a hybrid model.</t>
  </si>
  <si>
    <t>operations</t>
  </si>
  <si>
    <t>operations_undertaking</t>
  </si>
  <si>
    <t>whether_cra_intermediary</t>
  </si>
  <si>
    <t>intermediary_undertaking</t>
  </si>
  <si>
    <t>intermediary_type</t>
  </si>
  <si>
    <t>intermediary_reg_num</t>
  </si>
  <si>
    <t>intermediary_reg_date</t>
  </si>
  <si>
    <t>Variables</t>
  </si>
  <si>
    <t>applicant_name</t>
  </si>
  <si>
    <t>regd_address</t>
  </si>
  <si>
    <t>corr_address</t>
  </si>
  <si>
    <t>comp_officer_num</t>
  </si>
  <si>
    <t>comp_officer_email</t>
  </si>
  <si>
    <t>cont_person_name</t>
  </si>
  <si>
    <t>cont_person_num</t>
  </si>
  <si>
    <t>cont_person_email</t>
  </si>
  <si>
    <t>amount</t>
  </si>
  <si>
    <t>payment_date</t>
  </si>
  <si>
    <t>ref_num</t>
  </si>
  <si>
    <t>business_model</t>
  </si>
  <si>
    <t>gst_num</t>
  </si>
  <si>
    <t>pan_num</t>
  </si>
  <si>
    <t>compliance_officer</t>
  </si>
  <si>
    <t>whether_required_employees</t>
  </si>
  <si>
    <t>whether_adequate_networth</t>
  </si>
  <si>
    <t>Enter Cumulative cash losses till breakeven (INR Lakhs)</t>
  </si>
  <si>
    <t>Whether the Applicant has a liquid net worth the higher of:
(a) INR 20 lakhs
(b) the addition of INR 10 lakhs and the target on cumulative cash losses until breakeven, as submitted by the Applicant under the CRA Regulations.</t>
  </si>
  <si>
    <t>cummulative_cash_losses</t>
  </si>
  <si>
    <t>Only remote operations</t>
  </si>
  <si>
    <t>Errors</t>
  </si>
  <si>
    <t>Deficiencies</t>
  </si>
  <si>
    <r>
      <t xml:space="preserve">Clause No. </t>
    </r>
    <r>
      <rPr>
        <b/>
        <sz val="12"/>
        <color theme="1"/>
        <rFont val="Arial"/>
        <family val="2"/>
      </rPr>
      <t xml:space="preserve">XX </t>
    </r>
    <r>
      <rPr>
        <sz val="12"/>
        <color theme="1"/>
        <rFont val="Arial"/>
        <family val="2"/>
      </rPr>
      <t xml:space="preserve">and Page No. </t>
    </r>
    <r>
      <rPr>
        <b/>
        <sz val="12"/>
        <color theme="1"/>
        <rFont val="Arial"/>
        <family val="2"/>
      </rPr>
      <t>YY</t>
    </r>
    <r>
      <rPr>
        <sz val="12"/>
        <color theme="1"/>
        <rFont val="Arial"/>
        <family val="2"/>
      </rPr>
      <t xml:space="preserve"> of the MoA</t>
    </r>
  </si>
  <si>
    <r>
      <t xml:space="preserve">Clause No. </t>
    </r>
    <r>
      <rPr>
        <b/>
        <sz val="12"/>
        <color theme="1"/>
        <rFont val="Arial"/>
        <family val="2"/>
      </rPr>
      <t>XX</t>
    </r>
    <r>
      <rPr>
        <sz val="12"/>
        <color theme="1"/>
        <rFont val="Arial"/>
        <family val="2"/>
      </rPr>
      <t xml:space="preserve"> and Page No. </t>
    </r>
    <r>
      <rPr>
        <b/>
        <sz val="12"/>
        <color theme="1"/>
        <rFont val="Arial"/>
        <family val="2"/>
      </rPr>
      <t>YY</t>
    </r>
    <r>
      <rPr>
        <sz val="12"/>
        <color theme="1"/>
        <rFont val="Arial"/>
        <family val="2"/>
      </rPr>
      <t xml:space="preserve"> of the Business Plan</t>
    </r>
  </si>
  <si>
    <t>Applicant does not have positive liquid net worth</t>
  </si>
  <si>
    <t>Applicant has not indicated whether Enforcement action has been initiated against the Applicant by SEBI.</t>
  </si>
  <si>
    <t>Applicant has submitted that it does not have adequate employees with required experience.</t>
  </si>
  <si>
    <t>Applicant has submitted that it does not have adequate infrastructure.</t>
  </si>
  <si>
    <t>Applicant has submitted that it does not have adequate net worth as per the Regulations.</t>
  </si>
  <si>
    <t>Applicant has submitted that the Applicant or its promoters are not 'fit and proper'.</t>
  </si>
  <si>
    <t>Applicant name not provided.</t>
  </si>
  <si>
    <t>Application fee amount incorrect - must be INR 59,000.</t>
  </si>
  <si>
    <t>Application fee amount not provided.</t>
  </si>
  <si>
    <t>Application fee payment date not provided.</t>
  </si>
  <si>
    <t>Application fee payment Reference number not provided.</t>
  </si>
  <si>
    <t>Breakeven date not provided.</t>
  </si>
  <si>
    <t>Business Model not selected by the Applicant.</t>
  </si>
  <si>
    <t>Business Plan summary not provided.</t>
  </si>
  <si>
    <t>Clause referencing of ESG rating as the main object in MoA not provided.</t>
  </si>
  <si>
    <t>Compliance Officer's name or date of Appointment not provided.</t>
  </si>
  <si>
    <t>Cumulative cash losses proposed to made by the Applicant not provided.</t>
  </si>
  <si>
    <t>Date of Incorporation of the Applicant not provided.</t>
  </si>
  <si>
    <t>Details of CEO are not provided.</t>
  </si>
  <si>
    <t>Details of MD are not provided.</t>
  </si>
  <si>
    <t>Details of target number of clients not provided.</t>
  </si>
  <si>
    <t>Email ID of Compliance Officer not provided.</t>
  </si>
  <si>
    <t>Email ID of Contact Person not provided.</t>
  </si>
  <si>
    <t>Mobile Number of Compliance Officer not provided.</t>
  </si>
  <si>
    <t>Mobile Number of Contact Person not provided.</t>
  </si>
  <si>
    <t>Mode of operations not provided by the Applicant.</t>
  </si>
  <si>
    <t>Name of Compliance Officer not provided.</t>
  </si>
  <si>
    <t>Name of Contact Person not provided.</t>
  </si>
  <si>
    <t>Net worth value of the Applicant not provided.</t>
  </si>
  <si>
    <t>Non-compliance with Regulation 28E(a) - Applicant not a company.</t>
  </si>
  <si>
    <t>Non-compliance with Regulation 28E(b) - ESG Rating not main object of the MoA.</t>
  </si>
  <si>
    <t>Non-compliance with Regulation 28E(c) - Business Plan not submitted</t>
  </si>
  <si>
    <t>Non-compliance with Regulation 28E(c)(i) - Breakeven date not provided in Business Plan.</t>
  </si>
  <si>
    <t>Non-compliance with Regulation 28E(c)(ii) - Target Revenue and target number of clients' data not provided in Business Plan.</t>
  </si>
  <si>
    <t>Non-compliance with Regulation 28E(c)(iii) - Information about the cumulative cash losses that the applicant projects to incur until the targeted breakeven date not provided in the Business Plan.</t>
  </si>
  <si>
    <t>Non-compliance with Regulation 28E(d) - Declaration regarding permitted activities for an ERP - Not Submitted</t>
  </si>
  <si>
    <t>Non-compliance with Regulation 28U(1)(a) - Applicant holds &gt;10% shareholding of another ERP.</t>
  </si>
  <si>
    <t>Non-compliance: Regulation 28(m)(v) - Applicant doesn't have required employees</t>
  </si>
  <si>
    <t>Page Numbers/ Clause No in the Business Plan indicating Target Revenue and Target Number of Clients - not provided.</t>
  </si>
  <si>
    <t>PAN of the Applicant not provided.</t>
  </si>
  <si>
    <t>Registered Address not provided.</t>
  </si>
  <si>
    <t>Target reveneue details not provided.</t>
  </si>
  <si>
    <t>Undertaking for operations not provided</t>
  </si>
  <si>
    <t>Undertaking regarding MD not being part of ESG rating decision not provided by Applicant.</t>
  </si>
  <si>
    <t>Please Refresh the deficiencies Table (Right-click -&gt; Refresh) to update the table.</t>
  </si>
  <si>
    <t>The table below indicates Deficiencies / irregularities in the Application</t>
  </si>
  <si>
    <t>In case of any discrepancy (erroneous message), ignore it and submit the Excel file.</t>
  </si>
  <si>
    <t>John</t>
  </si>
  <si>
    <t>MD</t>
  </si>
  <si>
    <t>Terry</t>
  </si>
  <si>
    <t>CEO</t>
  </si>
  <si>
    <t>Gina</t>
  </si>
  <si>
    <t>COO</t>
  </si>
  <si>
    <t>Charles</t>
  </si>
  <si>
    <t>VP</t>
  </si>
  <si>
    <t>Jake</t>
  </si>
  <si>
    <t>AVP</t>
  </si>
  <si>
    <t>Hitchcock</t>
  </si>
  <si>
    <t>Skully</t>
  </si>
  <si>
    <t>Partner</t>
  </si>
  <si>
    <t>Ramesh</t>
  </si>
  <si>
    <t>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</si>
</sst>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0000000000"/>
    <numFmt numFmtId="165" formatCode="&quot;₹&quot;\ #,##0.00"/>
    <numFmt numFmtId="166" formatCode="[$-14009]dd/mm/yyyy;@"/>
    <numFmt numFmtId="167" formatCode="0.00&quot; Crore&quot;"/>
    <numFmt numFmtId="168" formatCode="0.00&quot; Lakhs&quot;"/>
  </numFmts>
  <fonts count="18" x14ac:knownFonts="1">
    <font>
      <sz val="11"/>
      <color theme="1"/>
      <name val="Calibri"/>
      <family val="2"/>
      <scheme val="minor"/>
    </font>
    <font>
      <b/>
      <sz val="11"/>
      <color theme="1"/>
      <name val="Arial"/>
      <family val="2"/>
    </font>
    <font>
      <sz val="11"/>
      <color theme="1"/>
      <name val="Arial"/>
      <family val="2"/>
    </font>
    <font>
      <sz val="12"/>
      <color theme="1"/>
      <name val="Arial"/>
      <family val="2"/>
    </font>
    <font>
      <b/>
      <sz val="12"/>
      <color theme="1"/>
      <name val="Arial"/>
      <family val="2"/>
    </font>
    <font>
      <i/>
      <sz val="12"/>
      <color theme="1"/>
      <name val="Arial"/>
      <family val="2"/>
    </font>
    <font>
      <sz val="12"/>
      <name val="Arial"/>
      <family val="2"/>
    </font>
    <font>
      <u/>
      <sz val="11"/>
      <color theme="10"/>
      <name val="Calibri"/>
      <family val="2"/>
      <scheme val="minor"/>
    </font>
    <font>
      <sz val="11"/>
      <color theme="1"/>
      <name val="Calibri"/>
      <family val="2"/>
    </font>
    <font>
      <u/>
      <sz val="11"/>
      <color theme="10"/>
      <name val="Calibri"/>
      <family val="2"/>
    </font>
    <font>
      <b/>
      <sz val="11"/>
      <color theme="1"/>
      <name val="Calibri"/>
      <family val="2"/>
      <scheme val="minor"/>
    </font>
    <font>
      <sz val="12"/>
      <color theme="1"/>
      <name val="Calibri"/>
      <family val="2"/>
      <scheme val="minor"/>
    </font>
    <font>
      <i/>
      <sz val="12"/>
      <color theme="1"/>
      <name val="Calibri"/>
      <family val="2"/>
      <scheme val="minor"/>
    </font>
    <font>
      <b/>
      <i/>
      <sz val="14"/>
      <color theme="1"/>
      <name val="Calibri"/>
      <family val="2"/>
      <scheme val="minor"/>
    </font>
    <font>
      <b/>
      <i/>
      <sz val="10"/>
      <color theme="1"/>
      <name val="Arial"/>
      <family val="2"/>
    </font>
    <font>
      <b/>
      <sz val="14"/>
      <color theme="1"/>
      <name val="Calibri"/>
      <family val="2"/>
      <scheme val="minor"/>
    </font>
    <font>
      <sz val="8"/>
      <color rgb="FF000000"/>
      <name val="Segoe UI"/>
      <family val="2"/>
    </font>
    <font>
      <sz val="14"/>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999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103">
    <xf numFmtId="0" fontId="0" fillId="0" borderId="0" xfId="0"/>
    <xf numFmtId="0" fontId="2" fillId="0" borderId="0" xfId="0" applyFont="1"/>
    <xf numFmtId="0" fontId="2" fillId="0" borderId="0" xfId="0" applyFont="1" applyAlignment="1">
      <alignment wrapText="1"/>
    </xf>
    <xf numFmtId="0" fontId="2" fillId="0" borderId="1" xfId="0" applyFont="1" applyBorder="1" applyAlignment="1">
      <alignment wrapText="1"/>
    </xf>
    <xf numFmtId="0" fontId="2" fillId="0" borderId="1" xfId="0" applyFont="1" applyBorder="1"/>
    <xf numFmtId="0" fontId="3" fillId="0" borderId="0" xfId="0" applyFont="1" applyAlignment="1">
      <alignment wrapText="1"/>
    </xf>
    <xf numFmtId="0" fontId="4"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0" fillId="0" borderId="1" xfId="0" applyBorder="1"/>
    <xf numFmtId="0" fontId="3" fillId="0" borderId="1" xfId="0" applyFont="1" applyBorder="1" applyAlignment="1">
      <alignment vertical="center" wrapText="1"/>
    </xf>
    <xf numFmtId="0" fontId="8" fillId="0" borderId="1" xfId="0" applyFont="1" applyBorder="1"/>
    <xf numFmtId="0" fontId="8" fillId="0" borderId="0" xfId="0" applyFont="1"/>
    <xf numFmtId="0" fontId="9" fillId="0" borderId="1" xfId="1"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horizontal="center"/>
    </xf>
    <xf numFmtId="0" fontId="4" fillId="2" borderId="1" xfId="0" applyFont="1" applyFill="1" applyBorder="1" applyAlignment="1">
      <alignment horizontal="center" vertical="center" wrapText="1"/>
    </xf>
    <xf numFmtId="0" fontId="6" fillId="0" borderId="0" xfId="0" applyFont="1" applyAlignment="1">
      <alignment wrapText="1"/>
    </xf>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8" fillId="0" borderId="1" xfId="0" applyFont="1"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3" fillId="0" borderId="0" xfId="0" applyFont="1" applyAlignment="1">
      <alignment horizontal="left" wrapText="1"/>
    </xf>
    <xf numFmtId="0" fontId="11" fillId="0" borderId="0" xfId="0" applyFont="1" applyAlignment="1">
      <alignment wrapText="1"/>
    </xf>
    <xf numFmtId="0" fontId="0" fillId="0" borderId="0" xfId="0" applyAlignment="1">
      <alignment horizontal="center" vertical="center"/>
    </xf>
    <xf numFmtId="0" fontId="10" fillId="4" borderId="1" xfId="1" applyFont="1" applyFill="1" applyBorder="1" applyAlignment="1">
      <alignment horizontal="center" vertical="center"/>
    </xf>
    <xf numFmtId="0" fontId="10" fillId="4" borderId="1" xfId="0" applyFont="1" applyFill="1" applyBorder="1" applyAlignment="1">
      <alignment horizontal="center" vertical="center"/>
    </xf>
    <xf numFmtId="0" fontId="3" fillId="0" borderId="0" xfId="0" applyFont="1" applyAlignment="1">
      <alignment vertical="center" wrapText="1"/>
    </xf>
    <xf numFmtId="0" fontId="0" fillId="0" borderId="0" xfId="0" applyAlignment="1">
      <alignment vertical="center"/>
    </xf>
    <xf numFmtId="0" fontId="3" fillId="0" borderId="1" xfId="0" applyFont="1" applyBorder="1" applyAlignment="1">
      <alignment horizontal="center" vertical="center" wrapText="1"/>
    </xf>
    <xf numFmtId="0" fontId="4" fillId="0" borderId="1" xfId="0" applyFont="1" applyBorder="1" applyAlignment="1">
      <alignment vertical="center"/>
    </xf>
    <xf numFmtId="0" fontId="3" fillId="3" borderId="1" xfId="0" applyFont="1" applyFill="1" applyBorder="1" applyAlignment="1">
      <alignment vertical="center" wrapText="1"/>
    </xf>
    <xf numFmtId="0" fontId="4" fillId="0" borderId="1" xfId="0" applyFont="1" applyBorder="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164" fontId="3" fillId="3" borderId="1" xfId="0" applyNumberFormat="1" applyFont="1" applyFill="1" applyBorder="1" applyAlignment="1">
      <alignment vertical="center" wrapText="1"/>
    </xf>
    <xf numFmtId="0" fontId="7" fillId="3" borderId="1" xfId="1" applyFill="1" applyBorder="1" applyAlignment="1">
      <alignment vertical="center" wrapText="1"/>
    </xf>
    <xf numFmtId="0" fontId="4" fillId="0" borderId="0" xfId="0" applyFont="1" applyAlignment="1">
      <alignment vertical="center"/>
    </xf>
    <xf numFmtId="165" fontId="3" fillId="0" borderId="1" xfId="0" applyNumberFormat="1" applyFont="1" applyBorder="1" applyAlignment="1">
      <alignment vertical="center" wrapText="1"/>
    </xf>
    <xf numFmtId="165" fontId="3" fillId="3" borderId="1" xfId="0" applyNumberFormat="1" applyFont="1" applyFill="1" applyBorder="1" applyAlignment="1">
      <alignment vertical="center" wrapText="1"/>
    </xf>
    <xf numFmtId="14" fontId="3" fillId="3" borderId="1" xfId="0" applyNumberFormat="1" applyFont="1" applyFill="1" applyBorder="1" applyAlignment="1">
      <alignment vertical="center" wrapText="1"/>
    </xf>
    <xf numFmtId="0" fontId="3" fillId="3" borderId="1" xfId="0" applyFont="1" applyFill="1" applyBorder="1" applyAlignment="1">
      <alignment horizontal="right" vertical="center" wrapText="1"/>
    </xf>
    <xf numFmtId="0" fontId="4" fillId="0" borderId="0" xfId="0" applyFont="1" applyAlignment="1">
      <alignment horizontal="left" vertical="center" wrapText="1"/>
    </xf>
    <xf numFmtId="0" fontId="4" fillId="0" borderId="1" xfId="0" applyFont="1" applyBorder="1" applyAlignment="1">
      <alignment horizontal="left" vertical="center" wrapText="1" indent="2"/>
    </xf>
    <xf numFmtId="0" fontId="11" fillId="0" borderId="5" xfId="0" applyFont="1" applyBorder="1" applyAlignment="1">
      <alignment horizontal="center" vertical="center"/>
    </xf>
    <xf numFmtId="0" fontId="11" fillId="0" borderId="3" xfId="0" applyFont="1" applyBorder="1" applyAlignment="1">
      <alignment horizontal="center" vertical="center"/>
    </xf>
    <xf numFmtId="0" fontId="11" fillId="0" borderId="8" xfId="0" applyFont="1" applyBorder="1" applyAlignment="1">
      <alignment horizontal="center" vertical="center"/>
    </xf>
    <xf numFmtId="0" fontId="12" fillId="3" borderId="7"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wrapText="1" indent="1"/>
    </xf>
    <xf numFmtId="0" fontId="6" fillId="0" borderId="1" xfId="0" applyFont="1" applyBorder="1" applyAlignment="1">
      <alignment horizontal="left" vertical="center" wrapText="1" indent="1"/>
    </xf>
    <xf numFmtId="18" fontId="3" fillId="0" borderId="1" xfId="0" applyNumberFormat="1" applyFont="1" applyBorder="1" applyAlignment="1">
      <alignment horizontal="left" vertical="center" wrapText="1" indent="3"/>
    </xf>
    <xf numFmtId="0" fontId="3" fillId="0" borderId="1" xfId="0" applyFont="1" applyBorder="1" applyAlignment="1">
      <alignment horizontal="left" vertical="center" wrapText="1" indent="3"/>
    </xf>
    <xf numFmtId="0" fontId="6" fillId="0" borderId="1" xfId="0" applyFont="1" applyBorder="1" applyAlignment="1">
      <alignment horizontal="left" vertical="center" wrapText="1" indent="3"/>
    </xf>
    <xf numFmtId="0" fontId="3"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14" fontId="0" fillId="0" borderId="1" xfId="0" applyNumberFormat="1" applyBorder="1"/>
    <xf numFmtId="166" fontId="6" fillId="0" borderId="1" xfId="0" applyNumberFormat="1" applyFont="1" applyBorder="1" applyAlignment="1">
      <alignment horizontal="center" vertical="center" wrapText="1"/>
    </xf>
    <xf numFmtId="166"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indent="2"/>
    </xf>
    <xf numFmtId="14" fontId="3" fillId="0" borderId="1" xfId="0" applyNumberFormat="1" applyFont="1" applyBorder="1" applyAlignment="1">
      <alignment horizontal="center"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indent="2"/>
    </xf>
    <xf numFmtId="0" fontId="3" fillId="0" borderId="9" xfId="0" applyFont="1" applyBorder="1" applyAlignment="1">
      <alignment horizontal="left" vertical="center" wrapText="1" indent="2"/>
    </xf>
    <xf numFmtId="167" fontId="3" fillId="0" borderId="1" xfId="0" applyNumberFormat="1" applyFont="1" applyBorder="1" applyAlignment="1">
      <alignment horizontal="center" vertical="center" wrapText="1"/>
    </xf>
    <xf numFmtId="0" fontId="3" fillId="0" borderId="2" xfId="0" applyFont="1" applyBorder="1" applyAlignment="1">
      <alignment horizontal="left" vertical="center" wrapText="1"/>
    </xf>
    <xf numFmtId="168" fontId="3" fillId="3"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166" fontId="3" fillId="0" borderId="1" xfId="0" applyNumberFormat="1" applyFont="1" applyBorder="1" applyAlignment="1">
      <alignment horizontal="left" vertical="center" wrapText="1"/>
    </xf>
    <xf numFmtId="0" fontId="3" fillId="0" borderId="1" xfId="0" applyFont="1" applyBorder="1" applyAlignment="1">
      <alignment vertical="center"/>
    </xf>
    <xf numFmtId="0" fontId="3" fillId="0" borderId="0" xfId="0" applyFont="1" applyAlignment="1">
      <alignment vertical="center"/>
    </xf>
    <xf numFmtId="0" fontId="4" fillId="0" borderId="0" xfId="0" applyFont="1" applyAlignment="1">
      <alignment horizontal="left" vertical="center" wrapText="1" indent="1"/>
    </xf>
    <xf numFmtId="0" fontId="4" fillId="0" borderId="0" xfId="0" applyFont="1" applyAlignment="1">
      <alignment horizontal="left" vertical="center" indent="1"/>
    </xf>
    <xf numFmtId="0" fontId="3" fillId="0" borderId="0" xfId="0" applyFont="1" applyAlignment="1">
      <alignment horizontal="left" vertical="center" wrapText="1" indent="1"/>
    </xf>
    <xf numFmtId="0" fontId="17" fillId="5" borderId="0" xfId="0" applyFont="1" applyFill="1" applyAlignment="1">
      <alignment horizontal="center" vertical="center" wrapText="1"/>
    </xf>
    <xf numFmtId="0" fontId="0" fillId="0" borderId="1" xfId="0" applyBorder="1" applyAlignment="1">
      <alignment wrapText="1"/>
    </xf>
    <xf numFmtId="0" fontId="15" fillId="0" borderId="0" xfId="0" applyFont="1" applyAlignment="1">
      <alignment horizontal="center" vertical="center" wrapText="1"/>
    </xf>
    <xf numFmtId="0" fontId="12" fillId="0" borderId="0" xfId="0" applyFont="1" applyAlignment="1">
      <alignment vertical="center" wrapText="1"/>
    </xf>
    <xf numFmtId="0" fontId="10" fillId="5" borderId="0" xfId="0" applyFont="1" applyFill="1" applyAlignment="1">
      <alignment horizontal="left" vertical="center" wrapText="1"/>
    </xf>
    <xf numFmtId="0" fontId="10" fillId="5" borderId="0" xfId="0" applyFont="1" applyFill="1" applyAlignment="1">
      <alignment wrapText="1"/>
    </xf>
    <xf numFmtId="0" fontId="10" fillId="0" borderId="1" xfId="0" applyFont="1" applyBorder="1" applyAlignment="1">
      <alignment horizontal="center"/>
    </xf>
    <xf numFmtId="0" fontId="12" fillId="0" borderId="4" xfId="0" applyFont="1" applyBorder="1" applyAlignment="1">
      <alignment horizontal="left" vertical="center" wrapText="1"/>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12" fillId="0" borderId="6" xfId="0" applyFont="1" applyBorder="1" applyAlignment="1">
      <alignment horizontal="left" vertical="center" wrapText="1"/>
    </xf>
    <xf numFmtId="0" fontId="12" fillId="0" borderId="0" xfId="0" applyFont="1" applyAlignment="1">
      <alignment horizontal="left" vertical="center" wrapText="1"/>
    </xf>
    <xf numFmtId="0" fontId="12" fillId="0" borderId="7" xfId="0" applyFont="1" applyBorder="1" applyAlignment="1">
      <alignment horizontal="left" vertical="center" wrapText="1"/>
    </xf>
    <xf numFmtId="0" fontId="3" fillId="0" borderId="1" xfId="0" applyFont="1" applyBorder="1" applyAlignment="1">
      <alignment horizontal="left" vertical="center" wrapText="1"/>
    </xf>
    <xf numFmtId="0" fontId="6" fillId="0" borderId="1" xfId="0" applyFont="1" applyBorder="1" applyAlignment="1">
      <alignment horizontal="left" vertical="center" wrapText="1"/>
    </xf>
    <xf numFmtId="0" fontId="3" fillId="0" borderId="1" xfId="0" applyFont="1" applyBorder="1" applyAlignment="1">
      <alignment horizontal="left" vertical="center" wrapText="1" inden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cellXfs>
  <cellStyles count="2">
    <cellStyle name="Hyperlink" xfId="1" builtinId="8"/>
    <cellStyle name="Normal" xfId="0" builtinId="0"/>
  </cellStyles>
  <dxfs count="3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dxf>
    <dxf>
      <alignment wrapText="1"/>
    </dxf>
    <dxf>
      <alignment wrapText="1"/>
    </dxf>
    <dxf>
      <font>
        <sz val="14"/>
      </font>
    </dxf>
    <dxf>
      <alignment vertical="center"/>
    </dxf>
    <dxf>
      <alignment horizontal="center"/>
    </dxf>
    <dxf>
      <fill>
        <patternFill patternType="solid">
          <bgColor rgb="FFFF999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trlProps/ctrlProp1.xml><?xml version="1.0" encoding="utf-8"?>
<formControlPr xmlns="http://schemas.microsoft.com/office/spreadsheetml/2009/9/main" objectType="CheckBox" fmlaLink="M3" lockText="1" noThreeD="1"/>
</file>

<file path=xl/ctrlProps/ctrlProp10.xml><?xml version="1.0" encoding="utf-8"?>
<formControlPr xmlns="http://schemas.microsoft.com/office/spreadsheetml/2009/9/main" objectType="CheckBox" fmlaLink="$O$4" lockText="1" noThreeD="1"/>
</file>

<file path=xl/ctrlProps/ctrlProp11.xml><?xml version="1.0" encoding="utf-8"?>
<formControlPr xmlns="http://schemas.microsoft.com/office/spreadsheetml/2009/9/main" objectType="CheckBox" checked="Checked" fmlaLink="$P$4" lockText="1" noThreeD="1"/>
</file>

<file path=xl/ctrlProps/ctrlProp12.xml><?xml version="1.0" encoding="utf-8"?>
<formControlPr xmlns="http://schemas.microsoft.com/office/spreadsheetml/2009/9/main" objectType="CheckBox" fmlaLink="$Q$4" lockText="1" noThreeD="1"/>
</file>

<file path=xl/ctrlProps/ctrlProp13.xml><?xml version="1.0" encoding="utf-8"?>
<formControlPr xmlns="http://schemas.microsoft.com/office/spreadsheetml/2009/9/main" objectType="CheckBox" fmlaLink="K4" lockText="1" noThreeD="1"/>
</file>

<file path=xl/ctrlProps/ctrlProp14.xml><?xml version="1.0" encoding="utf-8"?>
<formControlPr xmlns="http://schemas.microsoft.com/office/spreadsheetml/2009/9/main" objectType="CheckBox" checked="Checked" fmlaLink="L4" lockText="1" noThreeD="1"/>
</file>

<file path=xl/ctrlProps/ctrlProp15.xml><?xml version="1.0" encoding="utf-8"?>
<formControlPr xmlns="http://schemas.microsoft.com/office/spreadsheetml/2009/9/main" objectType="CheckBox" checked="Checked" fmlaLink="$M$5" lockText="1" noThreeD="1"/>
</file>

<file path=xl/ctrlProps/ctrlProp16.xml><?xml version="1.0" encoding="utf-8"?>
<formControlPr xmlns="http://schemas.microsoft.com/office/spreadsheetml/2009/9/main" objectType="CheckBox" fmlaLink="$N$5" lockText="1" noThreeD="1"/>
</file>

<file path=xl/ctrlProps/ctrlProp17.xml><?xml version="1.0" encoding="utf-8"?>
<formControlPr xmlns="http://schemas.microsoft.com/office/spreadsheetml/2009/9/main" objectType="CheckBox" fmlaLink="$O$5" lockText="1" noThreeD="1"/>
</file>

<file path=xl/ctrlProps/ctrlProp18.xml><?xml version="1.0" encoding="utf-8"?>
<formControlPr xmlns="http://schemas.microsoft.com/office/spreadsheetml/2009/9/main" objectType="CheckBox" fmlaLink="$P$5" lockText="1" noThreeD="1"/>
</file>

<file path=xl/ctrlProps/ctrlProp19.xml><?xml version="1.0" encoding="utf-8"?>
<formControlPr xmlns="http://schemas.microsoft.com/office/spreadsheetml/2009/9/main" objectType="CheckBox" checked="Checked" fmlaLink="$Q$5" lockText="1" noThreeD="1"/>
</file>

<file path=xl/ctrlProps/ctrlProp2.xml><?xml version="1.0" encoding="utf-8"?>
<formControlPr xmlns="http://schemas.microsoft.com/office/spreadsheetml/2009/9/main" objectType="CheckBox" fmlaLink="N3" lockText="1" noThreeD="1"/>
</file>

<file path=xl/ctrlProps/ctrlProp20.xml><?xml version="1.0" encoding="utf-8"?>
<formControlPr xmlns="http://schemas.microsoft.com/office/spreadsheetml/2009/9/main" objectType="CheckBox" fmlaLink="$K$5" lockText="1" noThreeD="1"/>
</file>

<file path=xl/ctrlProps/ctrlProp21.xml><?xml version="1.0" encoding="utf-8"?>
<formControlPr xmlns="http://schemas.microsoft.com/office/spreadsheetml/2009/9/main" objectType="CheckBox" fmlaLink="$L$5" lockText="1" noThreeD="1"/>
</file>

<file path=xl/ctrlProps/ctrlProp22.xml><?xml version="1.0" encoding="utf-8"?>
<formControlPr xmlns="http://schemas.microsoft.com/office/spreadsheetml/2009/9/main" objectType="CheckBox" fmlaLink="$M$6" lockText="1" noThreeD="1"/>
</file>

<file path=xl/ctrlProps/ctrlProp23.xml><?xml version="1.0" encoding="utf-8"?>
<formControlPr xmlns="http://schemas.microsoft.com/office/spreadsheetml/2009/9/main" objectType="CheckBox" fmlaLink="$N$6" lockText="1" noThreeD="1"/>
</file>

<file path=xl/ctrlProps/ctrlProp24.xml><?xml version="1.0" encoding="utf-8"?>
<formControlPr xmlns="http://schemas.microsoft.com/office/spreadsheetml/2009/9/main" objectType="CheckBox" fmlaLink="$O$6" lockText="1" noThreeD="1"/>
</file>

<file path=xl/ctrlProps/ctrlProp25.xml><?xml version="1.0" encoding="utf-8"?>
<formControlPr xmlns="http://schemas.microsoft.com/office/spreadsheetml/2009/9/main" objectType="CheckBox" fmlaLink="$P$6" lockText="1" noThreeD="1"/>
</file>

<file path=xl/ctrlProps/ctrlProp26.xml><?xml version="1.0" encoding="utf-8"?>
<formControlPr xmlns="http://schemas.microsoft.com/office/spreadsheetml/2009/9/main" objectType="CheckBox" fmlaLink="$Q$6" lockText="1" noThreeD="1"/>
</file>

<file path=xl/ctrlProps/ctrlProp27.xml><?xml version="1.0" encoding="utf-8"?>
<formControlPr xmlns="http://schemas.microsoft.com/office/spreadsheetml/2009/9/main" objectType="CheckBox" checked="Checked" fmlaLink="$K$6" lockText="1" noThreeD="1"/>
</file>

<file path=xl/ctrlProps/ctrlProp28.xml><?xml version="1.0" encoding="utf-8"?>
<formControlPr xmlns="http://schemas.microsoft.com/office/spreadsheetml/2009/9/main" objectType="CheckBox" fmlaLink="$L$6" lockText="1" noThreeD="1"/>
</file>

<file path=xl/ctrlProps/ctrlProp29.xml><?xml version="1.0" encoding="utf-8"?>
<formControlPr xmlns="http://schemas.microsoft.com/office/spreadsheetml/2009/9/main" objectType="CheckBox" checked="Checked" fmlaLink="$M$7" lockText="1" noThreeD="1"/>
</file>

<file path=xl/ctrlProps/ctrlProp3.xml><?xml version="1.0" encoding="utf-8"?>
<formControlPr xmlns="http://schemas.microsoft.com/office/spreadsheetml/2009/9/main" objectType="CheckBox" checked="Checked" fmlaLink="O3" lockText="1" noThreeD="1"/>
</file>

<file path=xl/ctrlProps/ctrlProp30.xml><?xml version="1.0" encoding="utf-8"?>
<formControlPr xmlns="http://schemas.microsoft.com/office/spreadsheetml/2009/9/main" objectType="CheckBox" checked="Checked" fmlaLink="$N$7" lockText="1" noThreeD="1"/>
</file>

<file path=xl/ctrlProps/ctrlProp31.xml><?xml version="1.0" encoding="utf-8"?>
<formControlPr xmlns="http://schemas.microsoft.com/office/spreadsheetml/2009/9/main" objectType="CheckBox" fmlaLink="$O$7" lockText="1" noThreeD="1"/>
</file>

<file path=xl/ctrlProps/ctrlProp32.xml><?xml version="1.0" encoding="utf-8"?>
<formControlPr xmlns="http://schemas.microsoft.com/office/spreadsheetml/2009/9/main" objectType="CheckBox" fmlaLink="$P$7" lockText="1" noThreeD="1"/>
</file>

<file path=xl/ctrlProps/ctrlProp33.xml><?xml version="1.0" encoding="utf-8"?>
<formControlPr xmlns="http://schemas.microsoft.com/office/spreadsheetml/2009/9/main" objectType="CheckBox" fmlaLink="$Q$7" lockText="1" noThreeD="1"/>
</file>

<file path=xl/ctrlProps/ctrlProp34.xml><?xml version="1.0" encoding="utf-8"?>
<formControlPr xmlns="http://schemas.microsoft.com/office/spreadsheetml/2009/9/main" objectType="CheckBox" fmlaLink="K7" lockText="1" noThreeD="1"/>
</file>

<file path=xl/ctrlProps/ctrlProp35.xml><?xml version="1.0" encoding="utf-8"?>
<formControlPr xmlns="http://schemas.microsoft.com/office/spreadsheetml/2009/9/main" objectType="CheckBox" checked="Checked" fmlaLink="$L$7" lockText="1" noThreeD="1"/>
</file>

<file path=xl/ctrlProps/ctrlProp36.xml><?xml version="1.0" encoding="utf-8"?>
<formControlPr xmlns="http://schemas.microsoft.com/office/spreadsheetml/2009/9/main" objectType="CheckBox" fmlaLink="$M$8" lockText="1" noThreeD="1"/>
</file>

<file path=xl/ctrlProps/ctrlProp37.xml><?xml version="1.0" encoding="utf-8"?>
<formControlPr xmlns="http://schemas.microsoft.com/office/spreadsheetml/2009/9/main" objectType="CheckBox" fmlaLink="$N$8" lockText="1" noThreeD="1"/>
</file>

<file path=xl/ctrlProps/ctrlProp38.xml><?xml version="1.0" encoding="utf-8"?>
<formControlPr xmlns="http://schemas.microsoft.com/office/spreadsheetml/2009/9/main" objectType="CheckBox" fmlaLink="$O$8" lockText="1" noThreeD="1"/>
</file>

<file path=xl/ctrlProps/ctrlProp39.xml><?xml version="1.0" encoding="utf-8"?>
<formControlPr xmlns="http://schemas.microsoft.com/office/spreadsheetml/2009/9/main" objectType="CheckBox" fmlaLink="$P$8" lockText="1" noThreeD="1"/>
</file>

<file path=xl/ctrlProps/ctrlProp4.xml><?xml version="1.0" encoding="utf-8"?>
<formControlPr xmlns="http://schemas.microsoft.com/office/spreadsheetml/2009/9/main" objectType="CheckBox" fmlaLink="P3" lockText="1" noThreeD="1"/>
</file>

<file path=xl/ctrlProps/ctrlProp40.xml><?xml version="1.0" encoding="utf-8"?>
<formControlPr xmlns="http://schemas.microsoft.com/office/spreadsheetml/2009/9/main" objectType="CheckBox" checked="Checked" fmlaLink="$Q$8" lockText="1" noThreeD="1"/>
</file>

<file path=xl/ctrlProps/ctrlProp41.xml><?xml version="1.0" encoding="utf-8"?>
<formControlPr xmlns="http://schemas.microsoft.com/office/spreadsheetml/2009/9/main" objectType="CheckBox" fmlaLink="$K$8" lockText="1" noThreeD="1"/>
</file>

<file path=xl/ctrlProps/ctrlProp42.xml><?xml version="1.0" encoding="utf-8"?>
<formControlPr xmlns="http://schemas.microsoft.com/office/spreadsheetml/2009/9/main" objectType="CheckBox" fmlaLink="$L$8" lockText="1" noThreeD="1"/>
</file>

<file path=xl/ctrlProps/ctrlProp43.xml><?xml version="1.0" encoding="utf-8"?>
<formControlPr xmlns="http://schemas.microsoft.com/office/spreadsheetml/2009/9/main" objectType="CheckBox" fmlaLink="$M$9" lockText="1" noThreeD="1"/>
</file>

<file path=xl/ctrlProps/ctrlProp44.xml><?xml version="1.0" encoding="utf-8"?>
<formControlPr xmlns="http://schemas.microsoft.com/office/spreadsheetml/2009/9/main" objectType="CheckBox" fmlaLink="$N$9" lockText="1" noThreeD="1"/>
</file>

<file path=xl/ctrlProps/ctrlProp45.xml><?xml version="1.0" encoding="utf-8"?>
<formControlPr xmlns="http://schemas.microsoft.com/office/spreadsheetml/2009/9/main" objectType="CheckBox" fmlaLink="$O$9" lockText="1" noThreeD="1"/>
</file>

<file path=xl/ctrlProps/ctrlProp46.xml><?xml version="1.0" encoding="utf-8"?>
<formControlPr xmlns="http://schemas.microsoft.com/office/spreadsheetml/2009/9/main" objectType="CheckBox" fmlaLink="$P$9" lockText="1" noThreeD="1"/>
</file>

<file path=xl/ctrlProps/ctrlProp47.xml><?xml version="1.0" encoding="utf-8"?>
<formControlPr xmlns="http://schemas.microsoft.com/office/spreadsheetml/2009/9/main" objectType="CheckBox" checked="Checked" fmlaLink="$Q$9" lockText="1" noThreeD="1"/>
</file>

<file path=xl/ctrlProps/ctrlProp48.xml><?xml version="1.0" encoding="utf-8"?>
<formControlPr xmlns="http://schemas.microsoft.com/office/spreadsheetml/2009/9/main" objectType="CheckBox" fmlaLink="K9" lockText="1" noThreeD="1"/>
</file>

<file path=xl/ctrlProps/ctrlProp49.xml><?xml version="1.0" encoding="utf-8"?>
<formControlPr xmlns="http://schemas.microsoft.com/office/spreadsheetml/2009/9/main" objectType="CheckBox" fmlaLink="$L$9" lockText="1" noThreeD="1"/>
</file>

<file path=xl/ctrlProps/ctrlProp5.xml><?xml version="1.0" encoding="utf-8"?>
<formControlPr xmlns="http://schemas.microsoft.com/office/spreadsheetml/2009/9/main" objectType="CheckBox" fmlaLink="Q3" lockText="1" noThreeD="1"/>
</file>

<file path=xl/ctrlProps/ctrlProp50.xml><?xml version="1.0" encoding="utf-8"?>
<formControlPr xmlns="http://schemas.microsoft.com/office/spreadsheetml/2009/9/main" objectType="CheckBox" checked="Checked" fmlaLink="$M$10" lockText="1" noThreeD="1"/>
</file>

<file path=xl/ctrlProps/ctrlProp51.xml><?xml version="1.0" encoding="utf-8"?>
<formControlPr xmlns="http://schemas.microsoft.com/office/spreadsheetml/2009/9/main" objectType="CheckBox" checked="Checked" fmlaLink="$N$10" lockText="1" noThreeD="1"/>
</file>

<file path=xl/ctrlProps/ctrlProp52.xml><?xml version="1.0" encoding="utf-8"?>
<formControlPr xmlns="http://schemas.microsoft.com/office/spreadsheetml/2009/9/main" objectType="CheckBox" checked="Checked" fmlaLink="$O$10" lockText="1" noThreeD="1"/>
</file>

<file path=xl/ctrlProps/ctrlProp53.xml><?xml version="1.0" encoding="utf-8"?>
<formControlPr xmlns="http://schemas.microsoft.com/office/spreadsheetml/2009/9/main" objectType="CheckBox" checked="Checked" fmlaLink="$P$10" lockText="1" noThreeD="1"/>
</file>

<file path=xl/ctrlProps/ctrlProp54.xml><?xml version="1.0" encoding="utf-8"?>
<formControlPr xmlns="http://schemas.microsoft.com/office/spreadsheetml/2009/9/main" objectType="CheckBox" fmlaLink="$Q$10" lockText="1" noThreeD="1"/>
</file>

<file path=xl/ctrlProps/ctrlProp55.xml><?xml version="1.0" encoding="utf-8"?>
<formControlPr xmlns="http://schemas.microsoft.com/office/spreadsheetml/2009/9/main" objectType="CheckBox" fmlaLink="K10" lockText="1" noThreeD="1"/>
</file>

<file path=xl/ctrlProps/ctrlProp56.xml><?xml version="1.0" encoding="utf-8"?>
<formControlPr xmlns="http://schemas.microsoft.com/office/spreadsheetml/2009/9/main" objectType="CheckBox" checked="Checked" fmlaLink="$L$10" lockText="1" noThreeD="1"/>
</file>

<file path=xl/ctrlProps/ctrlProp57.xml><?xml version="1.0" encoding="utf-8"?>
<formControlPr xmlns="http://schemas.microsoft.com/office/spreadsheetml/2009/9/main" objectType="CheckBox" fmlaLink="$M$11" lockText="1" noThreeD="1"/>
</file>

<file path=xl/ctrlProps/ctrlProp58.xml><?xml version="1.0" encoding="utf-8"?>
<formControlPr xmlns="http://schemas.microsoft.com/office/spreadsheetml/2009/9/main" objectType="CheckBox" fmlaLink="$N$11" lockText="1" noThreeD="1"/>
</file>

<file path=xl/ctrlProps/ctrlProp59.xml><?xml version="1.0" encoding="utf-8"?>
<formControlPr xmlns="http://schemas.microsoft.com/office/spreadsheetml/2009/9/main" objectType="CheckBox" fmlaLink="$O$11" lockText="1" noThreeD="1"/>
</file>

<file path=xl/ctrlProps/ctrlProp6.xml><?xml version="1.0" encoding="utf-8"?>
<formControlPr xmlns="http://schemas.microsoft.com/office/spreadsheetml/2009/9/main" objectType="CheckBox" checked="Checked" fmlaLink="K3" lockText="1" noThreeD="1"/>
</file>

<file path=xl/ctrlProps/ctrlProp60.xml><?xml version="1.0" encoding="utf-8"?>
<formControlPr xmlns="http://schemas.microsoft.com/office/spreadsheetml/2009/9/main" objectType="CheckBox" fmlaLink="$P$11" lockText="1" noThreeD="1"/>
</file>

<file path=xl/ctrlProps/ctrlProp61.xml><?xml version="1.0" encoding="utf-8"?>
<formControlPr xmlns="http://schemas.microsoft.com/office/spreadsheetml/2009/9/main" objectType="CheckBox" fmlaLink="$Q$11" lockText="1" noThreeD="1"/>
</file>

<file path=xl/ctrlProps/ctrlProp62.xml><?xml version="1.0" encoding="utf-8"?>
<formControlPr xmlns="http://schemas.microsoft.com/office/spreadsheetml/2009/9/main" objectType="CheckBox" fmlaLink="K11" lockText="1" noThreeD="1"/>
</file>

<file path=xl/ctrlProps/ctrlProp63.xml><?xml version="1.0" encoding="utf-8"?>
<formControlPr xmlns="http://schemas.microsoft.com/office/spreadsheetml/2009/9/main" objectType="CheckBox" fmlaLink="$L$11" lockText="1" noThreeD="1"/>
</file>

<file path=xl/ctrlProps/ctrlProp64.xml><?xml version="1.0" encoding="utf-8"?>
<formControlPr xmlns="http://schemas.microsoft.com/office/spreadsheetml/2009/9/main" objectType="CheckBox" fmlaLink="$M$12" lockText="1" noThreeD="1"/>
</file>

<file path=xl/ctrlProps/ctrlProp65.xml><?xml version="1.0" encoding="utf-8"?>
<formControlPr xmlns="http://schemas.microsoft.com/office/spreadsheetml/2009/9/main" objectType="CheckBox" fmlaLink="$N$12" lockText="1" noThreeD="1"/>
</file>

<file path=xl/ctrlProps/ctrlProp66.xml><?xml version="1.0" encoding="utf-8"?>
<formControlPr xmlns="http://schemas.microsoft.com/office/spreadsheetml/2009/9/main" objectType="CheckBox" fmlaLink="$O$12" lockText="1" noThreeD="1"/>
</file>

<file path=xl/ctrlProps/ctrlProp67.xml><?xml version="1.0" encoding="utf-8"?>
<formControlPr xmlns="http://schemas.microsoft.com/office/spreadsheetml/2009/9/main" objectType="CheckBox" fmlaLink="$P$12" lockText="1" noThreeD="1"/>
</file>

<file path=xl/ctrlProps/ctrlProp68.xml><?xml version="1.0" encoding="utf-8"?>
<formControlPr xmlns="http://schemas.microsoft.com/office/spreadsheetml/2009/9/main" objectType="CheckBox" fmlaLink="$Q$12" lockText="1" noThreeD="1"/>
</file>

<file path=xl/ctrlProps/ctrlProp69.xml><?xml version="1.0" encoding="utf-8"?>
<formControlPr xmlns="http://schemas.microsoft.com/office/spreadsheetml/2009/9/main" objectType="CheckBox" fmlaLink="K12" lockText="1" noThreeD="1"/>
</file>

<file path=xl/ctrlProps/ctrlProp7.xml><?xml version="1.0" encoding="utf-8"?>
<formControlPr xmlns="http://schemas.microsoft.com/office/spreadsheetml/2009/9/main" objectType="CheckBox" fmlaLink="L3" lockText="1" noThreeD="1"/>
</file>

<file path=xl/ctrlProps/ctrlProp70.xml><?xml version="1.0" encoding="utf-8"?>
<formControlPr xmlns="http://schemas.microsoft.com/office/spreadsheetml/2009/9/main" objectType="CheckBox" fmlaLink="$L$12" lockText="1" noThreeD="1"/>
</file>

<file path=xl/ctrlProps/ctrlProp8.xml><?xml version="1.0" encoding="utf-8"?>
<formControlPr xmlns="http://schemas.microsoft.com/office/spreadsheetml/2009/9/main" objectType="CheckBox" fmlaLink="M4" lockText="1" noThreeD="1"/>
</file>

<file path=xl/ctrlProps/ctrlProp9.xml><?xml version="1.0" encoding="utf-8"?>
<formControlPr xmlns="http://schemas.microsoft.com/office/spreadsheetml/2009/9/main" objectType="CheckBox" checked="Checked" fmlaLink="$N$4" lockText="1" noThreeD="1"/>
</file>

<file path=xl/drawings/drawing1.xml><?xml version="1.0" encoding="utf-8"?>
<xdr:wsDr xmlns:xdr="http://schemas.openxmlformats.org/drawingml/2006/spreadsheetDrawing" xmlns:a="http://schemas.openxmlformats.org/drawingml/2006/main">
  <xdr:twoCellAnchor>
    <xdr:from>
      <xdr:col>2</xdr:col>
      <xdr:colOff>4124325</xdr:colOff>
      <xdr:row>4</xdr:row>
      <xdr:rowOff>123825</xdr:rowOff>
    </xdr:from>
    <xdr:to>
      <xdr:col>4</xdr:col>
      <xdr:colOff>457200</xdr:colOff>
      <xdr:row>4</xdr:row>
      <xdr:rowOff>123826</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a:off x="4572000" y="1152525"/>
          <a:ext cx="2495550" cy="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30480</xdr:colOff>
          <xdr:row>1</xdr:row>
          <xdr:rowOff>502920</xdr:rowOff>
        </xdr:from>
        <xdr:to>
          <xdr:col>6</xdr:col>
          <xdr:colOff>0</xdr:colOff>
          <xdr:row>2</xdr:row>
          <xdr:rowOff>213360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7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2</xdr:row>
          <xdr:rowOff>7620</xdr:rowOff>
        </xdr:from>
        <xdr:to>
          <xdr:col>6</xdr:col>
          <xdr:colOff>899160</xdr:colOff>
          <xdr:row>2</xdr:row>
          <xdr:rowOff>213360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7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1</xdr:row>
          <xdr:rowOff>518160</xdr:rowOff>
        </xdr:from>
        <xdr:to>
          <xdr:col>8</xdr:col>
          <xdr:colOff>0</xdr:colOff>
          <xdr:row>2</xdr:row>
          <xdr:rowOff>213360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7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1</xdr:row>
          <xdr:rowOff>518160</xdr:rowOff>
        </xdr:from>
        <xdr:to>
          <xdr:col>9</xdr:col>
          <xdr:colOff>0</xdr:colOff>
          <xdr:row>2</xdr:row>
          <xdr:rowOff>213360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7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1</xdr:row>
          <xdr:rowOff>518160</xdr:rowOff>
        </xdr:from>
        <xdr:to>
          <xdr:col>9</xdr:col>
          <xdr:colOff>487680</xdr:colOff>
          <xdr:row>2</xdr:row>
          <xdr:rowOff>213360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7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2</xdr:row>
          <xdr:rowOff>0</xdr:rowOff>
        </xdr:from>
        <xdr:to>
          <xdr:col>3</xdr:col>
          <xdr:colOff>746760</xdr:colOff>
          <xdr:row>2</xdr:row>
          <xdr:rowOff>213360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7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xdr:row>
          <xdr:rowOff>518160</xdr:rowOff>
        </xdr:from>
        <xdr:to>
          <xdr:col>4</xdr:col>
          <xdr:colOff>762000</xdr:colOff>
          <xdr:row>2</xdr:row>
          <xdr:rowOff>213360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7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2</xdr:row>
          <xdr:rowOff>502920</xdr:rowOff>
        </xdr:from>
        <xdr:to>
          <xdr:col>6</xdr:col>
          <xdr:colOff>0</xdr:colOff>
          <xdr:row>3</xdr:row>
          <xdr:rowOff>190500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7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3</xdr:row>
          <xdr:rowOff>7620</xdr:rowOff>
        </xdr:from>
        <xdr:to>
          <xdr:col>6</xdr:col>
          <xdr:colOff>899160</xdr:colOff>
          <xdr:row>3</xdr:row>
          <xdr:rowOff>190500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7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2</xdr:row>
          <xdr:rowOff>518160</xdr:rowOff>
        </xdr:from>
        <xdr:to>
          <xdr:col>8</xdr:col>
          <xdr:colOff>0</xdr:colOff>
          <xdr:row>3</xdr:row>
          <xdr:rowOff>190500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7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2</xdr:row>
          <xdr:rowOff>518160</xdr:rowOff>
        </xdr:from>
        <xdr:to>
          <xdr:col>9</xdr:col>
          <xdr:colOff>0</xdr:colOff>
          <xdr:row>3</xdr:row>
          <xdr:rowOff>190500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7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2</xdr:row>
          <xdr:rowOff>518160</xdr:rowOff>
        </xdr:from>
        <xdr:to>
          <xdr:col>9</xdr:col>
          <xdr:colOff>487680</xdr:colOff>
          <xdr:row>3</xdr:row>
          <xdr:rowOff>190500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7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3</xdr:col>
          <xdr:colOff>746760</xdr:colOff>
          <xdr:row>3</xdr:row>
          <xdr:rowOff>190500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7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xdr:row>
          <xdr:rowOff>518160</xdr:rowOff>
        </xdr:from>
        <xdr:to>
          <xdr:col>4</xdr:col>
          <xdr:colOff>762000</xdr:colOff>
          <xdr:row>3</xdr:row>
          <xdr:rowOff>190500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7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4</xdr:row>
          <xdr:rowOff>0</xdr:rowOff>
        </xdr:from>
        <xdr:to>
          <xdr:col>6</xdr:col>
          <xdr:colOff>0</xdr:colOff>
          <xdr:row>4</xdr:row>
          <xdr:rowOff>190500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7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4</xdr:row>
          <xdr:rowOff>7620</xdr:rowOff>
        </xdr:from>
        <xdr:to>
          <xdr:col>6</xdr:col>
          <xdr:colOff>899160</xdr:colOff>
          <xdr:row>4</xdr:row>
          <xdr:rowOff>190500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7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3</xdr:row>
          <xdr:rowOff>518160</xdr:rowOff>
        </xdr:from>
        <xdr:to>
          <xdr:col>8</xdr:col>
          <xdr:colOff>0</xdr:colOff>
          <xdr:row>4</xdr:row>
          <xdr:rowOff>190500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7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3</xdr:row>
          <xdr:rowOff>518160</xdr:rowOff>
        </xdr:from>
        <xdr:to>
          <xdr:col>9</xdr:col>
          <xdr:colOff>0</xdr:colOff>
          <xdr:row>4</xdr:row>
          <xdr:rowOff>190500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7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3</xdr:row>
          <xdr:rowOff>518160</xdr:rowOff>
        </xdr:from>
        <xdr:to>
          <xdr:col>9</xdr:col>
          <xdr:colOff>487680</xdr:colOff>
          <xdr:row>4</xdr:row>
          <xdr:rowOff>190500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7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4</xdr:row>
          <xdr:rowOff>0</xdr:rowOff>
        </xdr:from>
        <xdr:to>
          <xdr:col>3</xdr:col>
          <xdr:colOff>746760</xdr:colOff>
          <xdr:row>4</xdr:row>
          <xdr:rowOff>190500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7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3</xdr:row>
          <xdr:rowOff>518160</xdr:rowOff>
        </xdr:from>
        <xdr:to>
          <xdr:col>4</xdr:col>
          <xdr:colOff>762000</xdr:colOff>
          <xdr:row>4</xdr:row>
          <xdr:rowOff>190500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7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4</xdr:row>
          <xdr:rowOff>502920</xdr:rowOff>
        </xdr:from>
        <xdr:to>
          <xdr:col>6</xdr:col>
          <xdr:colOff>0</xdr:colOff>
          <xdr:row>6</xdr:row>
          <xdr:rowOff>38100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7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5</xdr:row>
          <xdr:rowOff>7620</xdr:rowOff>
        </xdr:from>
        <xdr:to>
          <xdr:col>6</xdr:col>
          <xdr:colOff>899160</xdr:colOff>
          <xdr:row>6</xdr:row>
          <xdr:rowOff>22860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7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4</xdr:row>
          <xdr:rowOff>518160</xdr:rowOff>
        </xdr:from>
        <xdr:to>
          <xdr:col>8</xdr:col>
          <xdr:colOff>0</xdr:colOff>
          <xdr:row>6</xdr:row>
          <xdr:rowOff>30480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7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4</xdr:row>
          <xdr:rowOff>518160</xdr:rowOff>
        </xdr:from>
        <xdr:to>
          <xdr:col>9</xdr:col>
          <xdr:colOff>0</xdr:colOff>
          <xdr:row>6</xdr:row>
          <xdr:rowOff>38100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7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4</xdr:row>
          <xdr:rowOff>518160</xdr:rowOff>
        </xdr:from>
        <xdr:to>
          <xdr:col>9</xdr:col>
          <xdr:colOff>487680</xdr:colOff>
          <xdr:row>6</xdr:row>
          <xdr:rowOff>22860</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7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5</xdr:row>
          <xdr:rowOff>0</xdr:rowOff>
        </xdr:from>
        <xdr:to>
          <xdr:col>3</xdr:col>
          <xdr:colOff>746760</xdr:colOff>
          <xdr:row>6</xdr:row>
          <xdr:rowOff>22860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7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518160</xdr:rowOff>
        </xdr:from>
        <xdr:to>
          <xdr:col>4</xdr:col>
          <xdr:colOff>762000</xdr:colOff>
          <xdr:row>6</xdr:row>
          <xdr:rowOff>22860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7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5</xdr:row>
          <xdr:rowOff>502920</xdr:rowOff>
        </xdr:from>
        <xdr:to>
          <xdr:col>6</xdr:col>
          <xdr:colOff>0</xdr:colOff>
          <xdr:row>6</xdr:row>
          <xdr:rowOff>190500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7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6</xdr:row>
          <xdr:rowOff>7620</xdr:rowOff>
        </xdr:from>
        <xdr:to>
          <xdr:col>6</xdr:col>
          <xdr:colOff>899160</xdr:colOff>
          <xdr:row>6</xdr:row>
          <xdr:rowOff>190500</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7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5</xdr:row>
          <xdr:rowOff>518160</xdr:rowOff>
        </xdr:from>
        <xdr:to>
          <xdr:col>8</xdr:col>
          <xdr:colOff>0</xdr:colOff>
          <xdr:row>6</xdr:row>
          <xdr:rowOff>190500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7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5</xdr:row>
          <xdr:rowOff>518160</xdr:rowOff>
        </xdr:from>
        <xdr:to>
          <xdr:col>9</xdr:col>
          <xdr:colOff>0</xdr:colOff>
          <xdr:row>6</xdr:row>
          <xdr:rowOff>190500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7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5</xdr:row>
          <xdr:rowOff>518160</xdr:rowOff>
        </xdr:from>
        <xdr:to>
          <xdr:col>9</xdr:col>
          <xdr:colOff>487680</xdr:colOff>
          <xdr:row>6</xdr:row>
          <xdr:rowOff>190500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7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6</xdr:row>
          <xdr:rowOff>0</xdr:rowOff>
        </xdr:from>
        <xdr:to>
          <xdr:col>3</xdr:col>
          <xdr:colOff>746760</xdr:colOff>
          <xdr:row>6</xdr:row>
          <xdr:rowOff>190500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7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5</xdr:row>
          <xdr:rowOff>518160</xdr:rowOff>
        </xdr:from>
        <xdr:to>
          <xdr:col>4</xdr:col>
          <xdr:colOff>762000</xdr:colOff>
          <xdr:row>6</xdr:row>
          <xdr:rowOff>190500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7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6</xdr:row>
          <xdr:rowOff>502920</xdr:rowOff>
        </xdr:from>
        <xdr:to>
          <xdr:col>6</xdr:col>
          <xdr:colOff>0</xdr:colOff>
          <xdr:row>8</xdr:row>
          <xdr:rowOff>38100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7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7</xdr:row>
          <xdr:rowOff>7620</xdr:rowOff>
        </xdr:from>
        <xdr:to>
          <xdr:col>6</xdr:col>
          <xdr:colOff>899160</xdr:colOff>
          <xdr:row>8</xdr:row>
          <xdr:rowOff>22860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7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6</xdr:row>
          <xdr:rowOff>518160</xdr:rowOff>
        </xdr:from>
        <xdr:to>
          <xdr:col>8</xdr:col>
          <xdr:colOff>0</xdr:colOff>
          <xdr:row>8</xdr:row>
          <xdr:rowOff>30480</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7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6</xdr:row>
          <xdr:rowOff>518160</xdr:rowOff>
        </xdr:from>
        <xdr:to>
          <xdr:col>9</xdr:col>
          <xdr:colOff>0</xdr:colOff>
          <xdr:row>8</xdr:row>
          <xdr:rowOff>38100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7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6</xdr:row>
          <xdr:rowOff>518160</xdr:rowOff>
        </xdr:from>
        <xdr:to>
          <xdr:col>9</xdr:col>
          <xdr:colOff>487680</xdr:colOff>
          <xdr:row>8</xdr:row>
          <xdr:rowOff>22860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7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7</xdr:row>
          <xdr:rowOff>0</xdr:rowOff>
        </xdr:from>
        <xdr:to>
          <xdr:col>3</xdr:col>
          <xdr:colOff>746760</xdr:colOff>
          <xdr:row>8</xdr:row>
          <xdr:rowOff>22860</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7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6</xdr:row>
          <xdr:rowOff>518160</xdr:rowOff>
        </xdr:from>
        <xdr:to>
          <xdr:col>4</xdr:col>
          <xdr:colOff>762000</xdr:colOff>
          <xdr:row>8</xdr:row>
          <xdr:rowOff>22860</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7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7</xdr:row>
          <xdr:rowOff>502920</xdr:rowOff>
        </xdr:from>
        <xdr:to>
          <xdr:col>6</xdr:col>
          <xdr:colOff>0</xdr:colOff>
          <xdr:row>9</xdr:row>
          <xdr:rowOff>0</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7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8</xdr:row>
          <xdr:rowOff>7620</xdr:rowOff>
        </xdr:from>
        <xdr:to>
          <xdr:col>6</xdr:col>
          <xdr:colOff>899160</xdr:colOff>
          <xdr:row>9</xdr:row>
          <xdr:rowOff>0</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7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7</xdr:row>
          <xdr:rowOff>518160</xdr:rowOff>
        </xdr:from>
        <xdr:to>
          <xdr:col>8</xdr:col>
          <xdr:colOff>0</xdr:colOff>
          <xdr:row>9</xdr:row>
          <xdr:rowOff>0</xdr:rowOff>
        </xdr:to>
        <xdr:sp macro="" textlink="">
          <xdr:nvSpPr>
            <xdr:cNvPr id="3117" name="Check Box 45" hidden="1">
              <a:extLst>
                <a:ext uri="{63B3BB69-23CF-44E3-9099-C40C66FF867C}">
                  <a14:compatExt spid="_x0000_s3117"/>
                </a:ext>
                <a:ext uri="{FF2B5EF4-FFF2-40B4-BE49-F238E27FC236}">
                  <a16:creationId xmlns:a16="http://schemas.microsoft.com/office/drawing/2014/main" id="{00000000-0008-0000-07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7</xdr:row>
          <xdr:rowOff>518160</xdr:rowOff>
        </xdr:from>
        <xdr:to>
          <xdr:col>9</xdr:col>
          <xdr:colOff>0</xdr:colOff>
          <xdr:row>9</xdr:row>
          <xdr:rowOff>0</xdr:rowOff>
        </xdr:to>
        <xdr:sp macro="" textlink="">
          <xdr:nvSpPr>
            <xdr:cNvPr id="3118" name="Check Box 46" hidden="1">
              <a:extLst>
                <a:ext uri="{63B3BB69-23CF-44E3-9099-C40C66FF867C}">
                  <a14:compatExt spid="_x0000_s3118"/>
                </a:ext>
                <a:ext uri="{FF2B5EF4-FFF2-40B4-BE49-F238E27FC236}">
                  <a16:creationId xmlns:a16="http://schemas.microsoft.com/office/drawing/2014/main" id="{00000000-0008-0000-07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xdr:row>
          <xdr:rowOff>518160</xdr:rowOff>
        </xdr:from>
        <xdr:to>
          <xdr:col>9</xdr:col>
          <xdr:colOff>487680</xdr:colOff>
          <xdr:row>9</xdr:row>
          <xdr:rowOff>0</xdr:rowOff>
        </xdr:to>
        <xdr:sp macro="" textlink="">
          <xdr:nvSpPr>
            <xdr:cNvPr id="3119" name="Check Box 47" hidden="1">
              <a:extLst>
                <a:ext uri="{63B3BB69-23CF-44E3-9099-C40C66FF867C}">
                  <a14:compatExt spid="_x0000_s3119"/>
                </a:ext>
                <a:ext uri="{FF2B5EF4-FFF2-40B4-BE49-F238E27FC236}">
                  <a16:creationId xmlns:a16="http://schemas.microsoft.com/office/drawing/2014/main" id="{00000000-0008-0000-07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8</xdr:row>
          <xdr:rowOff>0</xdr:rowOff>
        </xdr:from>
        <xdr:to>
          <xdr:col>3</xdr:col>
          <xdr:colOff>746760</xdr:colOff>
          <xdr:row>9</xdr:row>
          <xdr:rowOff>0</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7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7</xdr:row>
          <xdr:rowOff>518160</xdr:rowOff>
        </xdr:from>
        <xdr:to>
          <xdr:col>4</xdr:col>
          <xdr:colOff>762000</xdr:colOff>
          <xdr:row>9</xdr:row>
          <xdr:rowOff>0</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7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8</xdr:row>
          <xdr:rowOff>502920</xdr:rowOff>
        </xdr:from>
        <xdr:to>
          <xdr:col>6</xdr:col>
          <xdr:colOff>0</xdr:colOff>
          <xdr:row>9</xdr:row>
          <xdr:rowOff>228600</xdr:rowOff>
        </xdr:to>
        <xdr:sp macro="" textlink="">
          <xdr:nvSpPr>
            <xdr:cNvPr id="3122" name="Check Box 50" hidden="1">
              <a:extLst>
                <a:ext uri="{63B3BB69-23CF-44E3-9099-C40C66FF867C}">
                  <a14:compatExt spid="_x0000_s3122"/>
                </a:ext>
                <a:ext uri="{FF2B5EF4-FFF2-40B4-BE49-F238E27FC236}">
                  <a16:creationId xmlns:a16="http://schemas.microsoft.com/office/drawing/2014/main" id="{00000000-0008-0000-07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9</xdr:row>
          <xdr:rowOff>7620</xdr:rowOff>
        </xdr:from>
        <xdr:to>
          <xdr:col>6</xdr:col>
          <xdr:colOff>899160</xdr:colOff>
          <xdr:row>9</xdr:row>
          <xdr:rowOff>213360</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7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9</xdr:row>
          <xdr:rowOff>0</xdr:rowOff>
        </xdr:from>
        <xdr:to>
          <xdr:col>7</xdr:col>
          <xdr:colOff>640080</xdr:colOff>
          <xdr:row>9</xdr:row>
          <xdr:rowOff>251460</xdr:rowOff>
        </xdr:to>
        <xdr:sp macro="" textlink="">
          <xdr:nvSpPr>
            <xdr:cNvPr id="3124" name="Check Box 52" hidden="1">
              <a:extLst>
                <a:ext uri="{63B3BB69-23CF-44E3-9099-C40C66FF867C}">
                  <a14:compatExt spid="_x0000_s3124"/>
                </a:ext>
                <a:ext uri="{FF2B5EF4-FFF2-40B4-BE49-F238E27FC236}">
                  <a16:creationId xmlns:a16="http://schemas.microsoft.com/office/drawing/2014/main" id="{00000000-0008-0000-07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8</xdr:row>
          <xdr:rowOff>518160</xdr:rowOff>
        </xdr:from>
        <xdr:to>
          <xdr:col>9</xdr:col>
          <xdr:colOff>0</xdr:colOff>
          <xdr:row>9</xdr:row>
          <xdr:rowOff>228600</xdr:rowOff>
        </xdr:to>
        <xdr:sp macro="" textlink="">
          <xdr:nvSpPr>
            <xdr:cNvPr id="3125" name="Check Box 53" hidden="1">
              <a:extLst>
                <a:ext uri="{63B3BB69-23CF-44E3-9099-C40C66FF867C}">
                  <a14:compatExt spid="_x0000_s3125"/>
                </a:ext>
                <a:ext uri="{FF2B5EF4-FFF2-40B4-BE49-F238E27FC236}">
                  <a16:creationId xmlns:a16="http://schemas.microsoft.com/office/drawing/2014/main" id="{00000000-0008-0000-07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8</xdr:row>
          <xdr:rowOff>518160</xdr:rowOff>
        </xdr:from>
        <xdr:to>
          <xdr:col>9</xdr:col>
          <xdr:colOff>487680</xdr:colOff>
          <xdr:row>9</xdr:row>
          <xdr:rowOff>213360</xdr:rowOff>
        </xdr:to>
        <xdr:sp macro="" textlink="">
          <xdr:nvSpPr>
            <xdr:cNvPr id="3126" name="Check Box 54" hidden="1">
              <a:extLst>
                <a:ext uri="{63B3BB69-23CF-44E3-9099-C40C66FF867C}">
                  <a14:compatExt spid="_x0000_s3126"/>
                </a:ext>
                <a:ext uri="{FF2B5EF4-FFF2-40B4-BE49-F238E27FC236}">
                  <a16:creationId xmlns:a16="http://schemas.microsoft.com/office/drawing/2014/main" id="{00000000-0008-0000-07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9</xdr:row>
          <xdr:rowOff>0</xdr:rowOff>
        </xdr:from>
        <xdr:to>
          <xdr:col>3</xdr:col>
          <xdr:colOff>746760</xdr:colOff>
          <xdr:row>9</xdr:row>
          <xdr:rowOff>213360</xdr:rowOff>
        </xdr:to>
        <xdr:sp macro="" textlink="">
          <xdr:nvSpPr>
            <xdr:cNvPr id="3127" name="Check Box 55" hidden="1">
              <a:extLst>
                <a:ext uri="{63B3BB69-23CF-44E3-9099-C40C66FF867C}">
                  <a14:compatExt spid="_x0000_s3127"/>
                </a:ext>
                <a:ext uri="{FF2B5EF4-FFF2-40B4-BE49-F238E27FC236}">
                  <a16:creationId xmlns:a16="http://schemas.microsoft.com/office/drawing/2014/main" id="{00000000-0008-0000-0700-00003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8</xdr:row>
          <xdr:rowOff>518160</xdr:rowOff>
        </xdr:from>
        <xdr:to>
          <xdr:col>4</xdr:col>
          <xdr:colOff>762000</xdr:colOff>
          <xdr:row>9</xdr:row>
          <xdr:rowOff>213360</xdr:rowOff>
        </xdr:to>
        <xdr:sp macro="" textlink="">
          <xdr:nvSpPr>
            <xdr:cNvPr id="3128" name="Check Box 56" hidden="1">
              <a:extLst>
                <a:ext uri="{63B3BB69-23CF-44E3-9099-C40C66FF867C}">
                  <a14:compatExt spid="_x0000_s3128"/>
                </a:ext>
                <a:ext uri="{FF2B5EF4-FFF2-40B4-BE49-F238E27FC236}">
                  <a16:creationId xmlns:a16="http://schemas.microsoft.com/office/drawing/2014/main" id="{00000000-0008-0000-0700-00003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9</xdr:row>
          <xdr:rowOff>502920</xdr:rowOff>
        </xdr:from>
        <xdr:to>
          <xdr:col>6</xdr:col>
          <xdr:colOff>0</xdr:colOff>
          <xdr:row>10</xdr:row>
          <xdr:rowOff>121920</xdr:rowOff>
        </xdr:to>
        <xdr:sp macro="" textlink="">
          <xdr:nvSpPr>
            <xdr:cNvPr id="3129" name="Check Box 57" hidden="1">
              <a:extLst>
                <a:ext uri="{63B3BB69-23CF-44E3-9099-C40C66FF867C}">
                  <a14:compatExt spid="_x0000_s3129"/>
                </a:ext>
                <a:ext uri="{FF2B5EF4-FFF2-40B4-BE49-F238E27FC236}">
                  <a16:creationId xmlns:a16="http://schemas.microsoft.com/office/drawing/2014/main" id="{00000000-0008-0000-0700-00003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10</xdr:row>
          <xdr:rowOff>7620</xdr:rowOff>
        </xdr:from>
        <xdr:to>
          <xdr:col>6</xdr:col>
          <xdr:colOff>899160</xdr:colOff>
          <xdr:row>11</xdr:row>
          <xdr:rowOff>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7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9</xdr:row>
          <xdr:rowOff>518160</xdr:rowOff>
        </xdr:from>
        <xdr:to>
          <xdr:col>8</xdr:col>
          <xdr:colOff>0</xdr:colOff>
          <xdr:row>10</xdr:row>
          <xdr:rowOff>137160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700-00003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9</xdr:row>
          <xdr:rowOff>518160</xdr:rowOff>
        </xdr:from>
        <xdr:to>
          <xdr:col>9</xdr:col>
          <xdr:colOff>0</xdr:colOff>
          <xdr:row>10</xdr:row>
          <xdr:rowOff>137160</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700-00003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9</xdr:row>
          <xdr:rowOff>518160</xdr:rowOff>
        </xdr:from>
        <xdr:to>
          <xdr:col>9</xdr:col>
          <xdr:colOff>487680</xdr:colOff>
          <xdr:row>10</xdr:row>
          <xdr:rowOff>137160</xdr:rowOff>
        </xdr:to>
        <xdr:sp macro="" textlink="">
          <xdr:nvSpPr>
            <xdr:cNvPr id="3133" name="Check Box 61" hidden="1">
              <a:extLst>
                <a:ext uri="{63B3BB69-23CF-44E3-9099-C40C66FF867C}">
                  <a14:compatExt spid="_x0000_s3133"/>
                </a:ext>
                <a:ext uri="{FF2B5EF4-FFF2-40B4-BE49-F238E27FC236}">
                  <a16:creationId xmlns:a16="http://schemas.microsoft.com/office/drawing/2014/main" id="{00000000-0008-0000-0700-00003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10</xdr:row>
          <xdr:rowOff>0</xdr:rowOff>
        </xdr:from>
        <xdr:to>
          <xdr:col>3</xdr:col>
          <xdr:colOff>746760</xdr:colOff>
          <xdr:row>11</xdr:row>
          <xdr:rowOff>0</xdr:rowOff>
        </xdr:to>
        <xdr:sp macro="" textlink="">
          <xdr:nvSpPr>
            <xdr:cNvPr id="3134" name="Check Box 62" hidden="1">
              <a:extLst>
                <a:ext uri="{63B3BB69-23CF-44E3-9099-C40C66FF867C}">
                  <a14:compatExt spid="_x0000_s3134"/>
                </a:ext>
                <a:ext uri="{FF2B5EF4-FFF2-40B4-BE49-F238E27FC236}">
                  <a16:creationId xmlns:a16="http://schemas.microsoft.com/office/drawing/2014/main" id="{00000000-0008-0000-0700-00003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9</xdr:row>
          <xdr:rowOff>518160</xdr:rowOff>
        </xdr:from>
        <xdr:to>
          <xdr:col>4</xdr:col>
          <xdr:colOff>762000</xdr:colOff>
          <xdr:row>10</xdr:row>
          <xdr:rowOff>137160</xdr:rowOff>
        </xdr:to>
        <xdr:sp macro="" textlink="">
          <xdr:nvSpPr>
            <xdr:cNvPr id="3135" name="Check Box 63" hidden="1">
              <a:extLst>
                <a:ext uri="{63B3BB69-23CF-44E3-9099-C40C66FF867C}">
                  <a14:compatExt spid="_x0000_s3135"/>
                </a:ext>
                <a:ext uri="{FF2B5EF4-FFF2-40B4-BE49-F238E27FC236}">
                  <a16:creationId xmlns:a16="http://schemas.microsoft.com/office/drawing/2014/main" id="{00000000-0008-0000-0700-00003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10</xdr:row>
          <xdr:rowOff>502920</xdr:rowOff>
        </xdr:from>
        <xdr:to>
          <xdr:col>6</xdr:col>
          <xdr:colOff>0</xdr:colOff>
          <xdr:row>12</xdr:row>
          <xdr:rowOff>0</xdr:rowOff>
        </xdr:to>
        <xdr:sp macro="" textlink="">
          <xdr:nvSpPr>
            <xdr:cNvPr id="3136" name="Check Box 64" hidden="1">
              <a:extLst>
                <a:ext uri="{63B3BB69-23CF-44E3-9099-C40C66FF867C}">
                  <a14:compatExt spid="_x0000_s3136"/>
                </a:ext>
                <a:ext uri="{FF2B5EF4-FFF2-40B4-BE49-F238E27FC236}">
                  <a16:creationId xmlns:a16="http://schemas.microsoft.com/office/drawing/2014/main" id="{00000000-0008-0000-0700-00004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Social impact/ social responsibility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xdr:colOff>
          <xdr:row>11</xdr:row>
          <xdr:rowOff>7620</xdr:rowOff>
        </xdr:from>
        <xdr:to>
          <xdr:col>6</xdr:col>
          <xdr:colOff>899160</xdr:colOff>
          <xdr:row>12</xdr:row>
          <xdr:rowOff>0</xdr:rowOff>
        </xdr:to>
        <xdr:sp macro="" textlink="">
          <xdr:nvSpPr>
            <xdr:cNvPr id="3137" name="Check Box 65" hidden="1">
              <a:extLst>
                <a:ext uri="{63B3BB69-23CF-44E3-9099-C40C66FF867C}">
                  <a14:compatExt spid="_x0000_s3137"/>
                </a:ext>
                <a:ext uri="{FF2B5EF4-FFF2-40B4-BE49-F238E27FC236}">
                  <a16:creationId xmlns:a16="http://schemas.microsoft.com/office/drawing/2014/main" id="{00000000-0008-0000-0700-00004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Data analytics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10</xdr:row>
          <xdr:rowOff>518160</xdr:rowOff>
        </xdr:from>
        <xdr:to>
          <xdr:col>8</xdr:col>
          <xdr:colOff>0</xdr:colOff>
          <xdr:row>12</xdr:row>
          <xdr:rowOff>0</xdr:rowOff>
        </xdr:to>
        <xdr:sp macro="" textlink="">
          <xdr:nvSpPr>
            <xdr:cNvPr id="3138" name="Check Box 66" hidden="1">
              <a:extLst>
                <a:ext uri="{63B3BB69-23CF-44E3-9099-C40C66FF867C}">
                  <a14:compatExt spid="_x0000_s3138"/>
                </a:ext>
                <a:ext uri="{FF2B5EF4-FFF2-40B4-BE49-F238E27FC236}">
                  <a16:creationId xmlns:a16="http://schemas.microsoft.com/office/drawing/2014/main" id="{00000000-0008-0000-0700-00004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Finance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10</xdr:row>
          <xdr:rowOff>518160</xdr:rowOff>
        </xdr:from>
        <xdr:to>
          <xdr:col>9</xdr:col>
          <xdr:colOff>0</xdr:colOff>
          <xdr:row>12</xdr:row>
          <xdr:rowOff>0</xdr:rowOff>
        </xdr:to>
        <xdr:sp macro="" textlink="">
          <xdr:nvSpPr>
            <xdr:cNvPr id="3139" name="Check Box 67" hidden="1">
              <a:extLst>
                <a:ext uri="{63B3BB69-23CF-44E3-9099-C40C66FF867C}">
                  <a14:compatExt spid="_x0000_s3139"/>
                </a:ext>
                <a:ext uri="{FF2B5EF4-FFF2-40B4-BE49-F238E27FC236}">
                  <a16:creationId xmlns:a16="http://schemas.microsoft.com/office/drawing/2014/main" id="{00000000-0008-0000-0700-00004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Information Technology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10</xdr:row>
          <xdr:rowOff>518160</xdr:rowOff>
        </xdr:from>
        <xdr:to>
          <xdr:col>9</xdr:col>
          <xdr:colOff>487680</xdr:colOff>
          <xdr:row>12</xdr:row>
          <xdr:rowOff>0</xdr:rowOff>
        </xdr:to>
        <xdr:sp macro="" textlink="">
          <xdr:nvSpPr>
            <xdr:cNvPr id="3140" name="Check Box 68" hidden="1">
              <a:extLst>
                <a:ext uri="{63B3BB69-23CF-44E3-9099-C40C66FF867C}">
                  <a14:compatExt spid="_x0000_s3140"/>
                </a:ext>
                <a:ext uri="{FF2B5EF4-FFF2-40B4-BE49-F238E27FC236}">
                  <a16:creationId xmlns:a16="http://schemas.microsoft.com/office/drawing/2014/main" id="{00000000-0008-0000-0700-00004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Law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11</xdr:row>
          <xdr:rowOff>0</xdr:rowOff>
        </xdr:from>
        <xdr:to>
          <xdr:col>3</xdr:col>
          <xdr:colOff>746760</xdr:colOff>
          <xdr:row>12</xdr:row>
          <xdr:rowOff>0</xdr:rowOff>
        </xdr:to>
        <xdr:sp macro="" textlink="">
          <xdr:nvSpPr>
            <xdr:cNvPr id="3141" name="Check Box 69" hidden="1">
              <a:extLst>
                <a:ext uri="{63B3BB69-23CF-44E3-9099-C40C66FF867C}">
                  <a14:compatExt spid="_x0000_s3141"/>
                </a:ext>
                <a:ext uri="{FF2B5EF4-FFF2-40B4-BE49-F238E27FC236}">
                  <a16:creationId xmlns:a16="http://schemas.microsoft.com/office/drawing/2014/main" id="{00000000-0008-0000-0700-00004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Governance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10</xdr:row>
          <xdr:rowOff>518160</xdr:rowOff>
        </xdr:from>
        <xdr:to>
          <xdr:col>4</xdr:col>
          <xdr:colOff>762000</xdr:colOff>
          <xdr:row>12</xdr:row>
          <xdr:rowOff>0</xdr:rowOff>
        </xdr:to>
        <xdr:sp macro="" textlink="">
          <xdr:nvSpPr>
            <xdr:cNvPr id="3142" name="Check Box 70" hidden="1">
              <a:extLst>
                <a:ext uri="{63B3BB69-23CF-44E3-9099-C40C66FF867C}">
                  <a14:compatExt spid="_x0000_s3142"/>
                </a:ext>
                <a:ext uri="{FF2B5EF4-FFF2-40B4-BE49-F238E27FC236}">
                  <a16:creationId xmlns:a16="http://schemas.microsoft.com/office/drawing/2014/main" id="{00000000-0008-0000-0700-00004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Sustainability</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78.482623958334" createdVersion="8" refreshedVersion="8" minRefreshableVersion="3" recordCount="58" xr:uid="{6D6B955B-71EB-4FDC-9DA4-80471D6673E7}">
  <cacheSource type="worksheet">
    <worksheetSource ref="A1:A61" sheet="Analysis"/>
  </cacheSource>
  <cacheFields count="1">
    <cacheField name="Errors" numFmtId="0">
      <sharedItems count="45">
        <s v="Applicant name not provided."/>
        <s v="Registered Address not provided."/>
        <s v="Name of Compliance Officer not provided."/>
        <s v="Mobile Number of Compliance Officer not provided."/>
        <s v="Email ID of Compliance Officer not provided."/>
        <s v="Name of Contact Person not provided."/>
        <s v="Mobile Number of Contact Person not provided."/>
        <s v="Email ID of Contact Person not provided."/>
        <s v="Application fee amount not provided."/>
        <s v="Application fee amount incorrect - must be INR 59,000."/>
        <s v="Application fee payment date not provided."/>
        <s v="Application fee payment Reference number not provided."/>
        <s v="Business Model not selected by the Applicant."/>
        <s v="PAN of the Applicant not provided."/>
        <s v="Non-compliance with Regulation 28E(a) - Applicant not a company."/>
        <s v="Date of Incorporation of the Applicant not provided."/>
        <s v="Non-compliance with Regulation 28E(b) - ESG Rating not main object of the MoA."/>
        <s v="Clause referencing of ESG rating as the main object in MoA not provided."/>
        <s v="Non-compliance with Regulation 28E(c) - Business Plan not submitted"/>
        <s v="Business Plan summary not provided."/>
        <s v="Non-compliance with Regulation 28E(c)(i) - Breakeven date not provided in Business Plan."/>
        <s v="Breakeven date not provided."/>
        <s v="Non-compliance with Regulation 28E(c)(ii) - Target Revenue and target number of clients' data not provided in Business Plan."/>
        <s v="Page Numbers/ Clause No in the Business Plan indicating Target Revenue and Target Number of Clients - not provided."/>
        <s v="Target reveneue details not provided."/>
        <s v="Details of target number of clients not provided."/>
        <s v="Non-compliance with Regulation 28E(c)(iii) - Information about the cumulative cash losses that the applicant projects to incur until the targeted breakeven date not provided in the Business Plan."/>
        <s v="Non-compliance with Regulation 28E(d) - Declaration regarding permitted activities for an ERP - Not Submitted"/>
        <s v="Applicant does not have positive liquid net worth"/>
        <s v="Applicant has submitted that it does not have adequate net worth as per the Regulations."/>
        <s v="Net worth value of the Applicant not provided."/>
        <s v="Cumulative cash losses proposed to made by the Applicant not provided."/>
        <s v="Mode of operations not provided by the Applicant."/>
        <s v="Applicant has submitted that it does not have adequate infrastructure."/>
        <s v="Undertaking for operations not provided"/>
        <s v=""/>
        <s v="Compliance Officer's name or date of Appointment not provided."/>
        <s v="Applicant has submitted that it does not have adequate employees with required experience."/>
        <s v="Applicant has submitted that the Applicant or its promoters are not 'fit and proper'."/>
        <s v="Applicant has not indicated whether Enforcement action has been initiated against the Applicant by SEBI."/>
        <s v="Non-compliance: Regulation 28(m)(v) - Applicant doesn't have required employees"/>
        <s v="Details of MD are not provided."/>
        <s v="Undertaking regarding MD not being part of ESG rating decision not provided by Applicant."/>
        <s v="Details of CEO are not provided."/>
        <s v="Non-compliance with Regulation 28U(1)(a) - Applicant holds &gt;10% shareholding of another ER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r>
  <r>
    <x v="1"/>
  </r>
  <r>
    <x v="2"/>
  </r>
  <r>
    <x v="3"/>
  </r>
  <r>
    <x v="4"/>
  </r>
  <r>
    <x v="5"/>
  </r>
  <r>
    <x v="6"/>
  </r>
  <r>
    <x v="7"/>
  </r>
  <r>
    <x v="8"/>
  </r>
  <r>
    <x v="9"/>
  </r>
  <r>
    <x v="10"/>
  </r>
  <r>
    <x v="11"/>
  </r>
  <r>
    <x v="12"/>
  </r>
  <r>
    <x v="13"/>
  </r>
  <r>
    <x v="14"/>
  </r>
  <r>
    <x v="15"/>
  </r>
  <r>
    <x v="16"/>
  </r>
  <r>
    <x v="17"/>
  </r>
  <r>
    <x v="18"/>
  </r>
  <r>
    <x v="19"/>
  </r>
  <r>
    <x v="20"/>
  </r>
  <r>
    <x v="21"/>
  </r>
  <r>
    <x v="22"/>
  </r>
  <r>
    <x v="23"/>
  </r>
  <r>
    <x v="24"/>
  </r>
  <r>
    <x v="25"/>
  </r>
  <r>
    <x v="26"/>
  </r>
  <r>
    <x v="17"/>
  </r>
  <r>
    <x v="27"/>
  </r>
  <r>
    <x v="28"/>
  </r>
  <r>
    <x v="29"/>
  </r>
  <r>
    <x v="30"/>
  </r>
  <r>
    <x v="31"/>
  </r>
  <r>
    <x v="30"/>
  </r>
  <r>
    <x v="32"/>
  </r>
  <r>
    <x v="33"/>
  </r>
  <r>
    <x v="34"/>
  </r>
  <r>
    <x v="35"/>
  </r>
  <r>
    <x v="35"/>
  </r>
  <r>
    <x v="36"/>
  </r>
  <r>
    <x v="37"/>
  </r>
  <r>
    <x v="38"/>
  </r>
  <r>
    <x v="39"/>
  </r>
  <r>
    <x v="35"/>
  </r>
  <r>
    <x v="35"/>
  </r>
  <r>
    <x v="40"/>
  </r>
  <r>
    <x v="41"/>
  </r>
  <r>
    <x v="41"/>
  </r>
  <r>
    <x v="42"/>
  </r>
  <r>
    <x v="43"/>
  </r>
  <r>
    <x v="43"/>
  </r>
  <r>
    <x v="42"/>
  </r>
  <r>
    <x v="44"/>
  </r>
  <r>
    <x v="35"/>
  </r>
  <r>
    <x v="35"/>
  </r>
  <r>
    <x v="35"/>
  </r>
  <r>
    <x v="35"/>
  </r>
  <r>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86EDE-CE46-4F6A-8DE5-178374D9D671}" name="Deficiencies" cacheId="0"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rowHeaderCaption="Deficiencies">
  <location ref="C17:C62" firstHeaderRow="1" firstDataRow="1" firstDataCol="1"/>
  <pivotFields count="1">
    <pivotField axis="axisRow" outline="0" showAll="0" defaultSubtotal="0">
      <items count="45">
        <item x="35"/>
        <item x="28"/>
        <item x="39"/>
        <item x="37"/>
        <item x="33"/>
        <item x="29"/>
        <item x="38"/>
        <item x="0"/>
        <item x="9"/>
        <item x="8"/>
        <item x="10"/>
        <item x="11"/>
        <item x="21"/>
        <item x="12"/>
        <item x="19"/>
        <item x="17"/>
        <item x="36"/>
        <item x="31"/>
        <item x="15"/>
        <item x="43"/>
        <item x="41"/>
        <item x="25"/>
        <item x="4"/>
        <item x="7"/>
        <item x="3"/>
        <item x="6"/>
        <item x="32"/>
        <item x="2"/>
        <item x="5"/>
        <item x="30"/>
        <item x="14"/>
        <item x="16"/>
        <item x="18"/>
        <item x="20"/>
        <item x="22"/>
        <item x="26"/>
        <item x="27"/>
        <item x="44"/>
        <item x="40"/>
        <item x="23"/>
        <item x="13"/>
        <item x="1"/>
        <item x="24"/>
        <item x="34"/>
        <item x="42"/>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Items count="1">
    <i/>
  </colItems>
  <formats count="13">
    <format dxfId="32">
      <pivotArea type="all" dataOnly="0" outline="0"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fieldPosition="0">
        <references count="1">
          <reference field="0" count="44">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format>
    <format dxfId="27">
      <pivotArea dataOnly="0" labelOnly="1" grandRow="1" outline="0" fieldPosition="0"/>
    </format>
    <format dxfId="26">
      <pivotArea field="0" type="button" dataOnly="0" labelOnly="1" outline="0" axis="axisRow" fieldPosition="0"/>
    </format>
    <format dxfId="25">
      <pivotArea field="0" type="button" dataOnly="0" labelOnly="1" outline="0" axis="axisRow" fieldPosition="0"/>
    </format>
    <format dxfId="24">
      <pivotArea field="0" type="button" dataOnly="0" labelOnly="1" outline="0" axis="axisRow" fieldPosition="0"/>
    </format>
    <format dxfId="23">
      <pivotArea field="0" type="button" dataOnly="0" labelOnly="1" outline="0" axis="axisRow" fieldPosition="0"/>
    </format>
    <format dxfId="22">
      <pivotArea type="all" dataOnly="0" outline="0" fieldPosition="0"/>
    </format>
    <format dxfId="21">
      <pivotArea field="0" type="button" dataOnly="0" labelOnly="1" outline="0" axis="axisRow" fieldPosition="0"/>
    </format>
    <format dxfId="20">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2" Type="http://schemas.openxmlformats.org/officeDocument/2006/relationships/drawing" Target="../drawings/drawing2.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1" Type="http://schemas.openxmlformats.org/officeDocument/2006/relationships/printerSettings" Target="../printerSettings/printerSettings7.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71" Type="http://schemas.openxmlformats.org/officeDocument/2006/relationships/ctrlProp" Target="../ctrlProps/ctrlProp6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62"/>
  <sheetViews>
    <sheetView showGridLines="0" workbookViewId="0">
      <selection activeCell="C2" sqref="C2"/>
    </sheetView>
  </sheetViews>
  <sheetFormatPr defaultColWidth="8.88671875" defaultRowHeight="14.4" x14ac:dyDescent="0.3"/>
  <cols>
    <col min="1" max="1" width="3.6640625" customWidth="1"/>
    <col min="2" max="2" width="5.44140625" style="32" customWidth="1"/>
    <col min="3" max="3" width="83" style="18" customWidth="1"/>
    <col min="4" max="4" width="16.109375" style="18" customWidth="1"/>
    <col min="5" max="5" width="8.33203125" customWidth="1"/>
    <col min="6" max="6" width="20.44140625" style="32" customWidth="1"/>
    <col min="8" max="8" width="45.6640625" style="18" customWidth="1"/>
  </cols>
  <sheetData>
    <row r="2" spans="2:6" ht="18" x14ac:dyDescent="0.35">
      <c r="C2" s="84" t="s">
        <v>24</v>
      </c>
      <c r="D2" s="30"/>
    </row>
    <row r="3" spans="2:6" ht="15.6" x14ac:dyDescent="0.3">
      <c r="C3" s="31"/>
      <c r="D3" s="31"/>
    </row>
    <row r="4" spans="2:6" ht="30.6" customHeight="1" x14ac:dyDescent="0.3">
      <c r="B4" s="52" t="str">
        <f t="shared" ref="B4:B10" si="0">ROW()-3&amp;"."</f>
        <v>1.</v>
      </c>
      <c r="C4" s="91" t="s">
        <v>143</v>
      </c>
      <c r="D4" s="92"/>
    </row>
    <row r="5" spans="2:6" ht="15.6" x14ac:dyDescent="0.3">
      <c r="B5" s="53" t="str">
        <f t="shared" si="0"/>
        <v>2.</v>
      </c>
      <c r="C5" s="93" t="s">
        <v>149</v>
      </c>
      <c r="D5" s="94"/>
      <c r="F5" s="33" t="s">
        <v>109</v>
      </c>
    </row>
    <row r="6" spans="2:6" ht="15.6" x14ac:dyDescent="0.3">
      <c r="B6" s="53" t="str">
        <f t="shared" si="0"/>
        <v>3.</v>
      </c>
      <c r="C6" s="85" t="s">
        <v>150</v>
      </c>
      <c r="D6" s="55"/>
    </row>
    <row r="7" spans="2:6" ht="31.8" customHeight="1" x14ac:dyDescent="0.3">
      <c r="B7" s="53" t="str">
        <f t="shared" si="0"/>
        <v>4.</v>
      </c>
      <c r="C7" s="93" t="s">
        <v>144</v>
      </c>
      <c r="D7" s="94"/>
      <c r="F7" s="34" t="s">
        <v>110</v>
      </c>
    </row>
    <row r="8" spans="2:6" ht="31.8" customHeight="1" x14ac:dyDescent="0.3">
      <c r="B8" s="53" t="str">
        <f t="shared" si="0"/>
        <v>5.</v>
      </c>
      <c r="C8" s="93" t="s">
        <v>145</v>
      </c>
      <c r="D8" s="94"/>
    </row>
    <row r="9" spans="2:6" ht="15.6" x14ac:dyDescent="0.3">
      <c r="B9" s="53" t="str">
        <f t="shared" si="0"/>
        <v>6.</v>
      </c>
      <c r="C9" s="93" t="s">
        <v>146</v>
      </c>
      <c r="D9" s="94"/>
      <c r="F9" s="34" t="s">
        <v>113</v>
      </c>
    </row>
    <row r="10" spans="2:6" ht="15.6" x14ac:dyDescent="0.3">
      <c r="B10" s="54" t="str">
        <f t="shared" si="0"/>
        <v>7.</v>
      </c>
      <c r="C10" s="89" t="s">
        <v>147</v>
      </c>
      <c r="D10" s="90"/>
      <c r="F10" s="34" t="s">
        <v>114</v>
      </c>
    </row>
    <row r="11" spans="2:6" ht="15.6" x14ac:dyDescent="0.3">
      <c r="D11" s="31"/>
      <c r="F11" s="34" t="s">
        <v>115</v>
      </c>
    </row>
    <row r="12" spans="2:6" x14ac:dyDescent="0.3">
      <c r="C12" s="86" t="s">
        <v>321</v>
      </c>
      <c r="D12"/>
      <c r="F12" s="34" t="s">
        <v>116</v>
      </c>
    </row>
    <row r="13" spans="2:6" x14ac:dyDescent="0.3">
      <c r="C13" s="87" t="s">
        <v>320</v>
      </c>
      <c r="D13"/>
      <c r="F13" s="34" t="s">
        <v>106</v>
      </c>
    </row>
    <row r="14" spans="2:6" x14ac:dyDescent="0.3">
      <c r="C14" s="87" t="s">
        <v>322</v>
      </c>
      <c r="D14"/>
      <c r="F14" s="34" t="s">
        <v>117</v>
      </c>
    </row>
    <row r="15" spans="2:6" x14ac:dyDescent="0.3">
      <c r="D15"/>
      <c r="F15" s="34" t="s">
        <v>118</v>
      </c>
    </row>
    <row r="16" spans="2:6" x14ac:dyDescent="0.3">
      <c r="D16"/>
    </row>
    <row r="17" spans="2:6" ht="18" x14ac:dyDescent="0.3">
      <c r="C17" s="82" t="s">
        <v>273</v>
      </c>
      <c r="F17" s="34" t="s">
        <v>111</v>
      </c>
    </row>
    <row r="19" spans="2:6" x14ac:dyDescent="0.3">
      <c r="B19" s="32">
        <f>IF(ISBLANK(C19),"",ROW()-18)</f>
        <v>1</v>
      </c>
      <c r="C19" s="83" t="s">
        <v>276</v>
      </c>
    </row>
    <row r="20" spans="2:6" ht="28.8" x14ac:dyDescent="0.3">
      <c r="B20" s="32">
        <f t="shared" ref="B20:B62" si="1">IF(ISBLANK(C20),"",ROW()-18)</f>
        <v>2</v>
      </c>
      <c r="C20" s="83" t="s">
        <v>277</v>
      </c>
    </row>
    <row r="21" spans="2:6" x14ac:dyDescent="0.3">
      <c r="B21" s="32">
        <f t="shared" si="1"/>
        <v>3</v>
      </c>
      <c r="C21" s="83" t="s">
        <v>278</v>
      </c>
    </row>
    <row r="22" spans="2:6" x14ac:dyDescent="0.3">
      <c r="B22" s="32">
        <f t="shared" si="1"/>
        <v>4</v>
      </c>
      <c r="C22" s="83" t="s">
        <v>279</v>
      </c>
    </row>
    <row r="23" spans="2:6" x14ac:dyDescent="0.3">
      <c r="B23" s="32">
        <f t="shared" si="1"/>
        <v>5</v>
      </c>
      <c r="C23" s="83" t="s">
        <v>280</v>
      </c>
    </row>
    <row r="24" spans="2:6" x14ac:dyDescent="0.3">
      <c r="B24" s="32">
        <f t="shared" si="1"/>
        <v>6</v>
      </c>
      <c r="C24" s="83" t="s">
        <v>281</v>
      </c>
    </row>
    <row r="25" spans="2:6" x14ac:dyDescent="0.3">
      <c r="B25" s="32">
        <f t="shared" si="1"/>
        <v>7</v>
      </c>
      <c r="C25" s="83" t="s">
        <v>282</v>
      </c>
    </row>
    <row r="26" spans="2:6" x14ac:dyDescent="0.3">
      <c r="B26" s="32">
        <f t="shared" si="1"/>
        <v>8</v>
      </c>
      <c r="C26" s="83" t="s">
        <v>283</v>
      </c>
    </row>
    <row r="27" spans="2:6" x14ac:dyDescent="0.3">
      <c r="B27" s="32">
        <f t="shared" si="1"/>
        <v>9</v>
      </c>
      <c r="C27" s="83" t="s">
        <v>284</v>
      </c>
    </row>
    <row r="28" spans="2:6" x14ac:dyDescent="0.3">
      <c r="B28" s="32">
        <f t="shared" si="1"/>
        <v>10</v>
      </c>
      <c r="C28" s="83" t="s">
        <v>285</v>
      </c>
    </row>
    <row r="29" spans="2:6" x14ac:dyDescent="0.3">
      <c r="B29" s="32">
        <f t="shared" si="1"/>
        <v>11</v>
      </c>
      <c r="C29" s="83" t="s">
        <v>286</v>
      </c>
    </row>
    <row r="30" spans="2:6" x14ac:dyDescent="0.3">
      <c r="B30" s="32">
        <f t="shared" si="1"/>
        <v>12</v>
      </c>
      <c r="C30" s="83" t="s">
        <v>287</v>
      </c>
    </row>
    <row r="31" spans="2:6" x14ac:dyDescent="0.3">
      <c r="B31" s="32">
        <f t="shared" si="1"/>
        <v>13</v>
      </c>
      <c r="C31" s="83" t="s">
        <v>288</v>
      </c>
    </row>
    <row r="32" spans="2:6" x14ac:dyDescent="0.3">
      <c r="B32" s="32">
        <f t="shared" si="1"/>
        <v>14</v>
      </c>
      <c r="C32" s="83" t="s">
        <v>289</v>
      </c>
    </row>
    <row r="33" spans="2:3" x14ac:dyDescent="0.3">
      <c r="B33" s="32">
        <f t="shared" si="1"/>
        <v>15</v>
      </c>
      <c r="C33" s="83" t="s">
        <v>290</v>
      </c>
    </row>
    <row r="34" spans="2:3" x14ac:dyDescent="0.3">
      <c r="B34" s="32">
        <f t="shared" si="1"/>
        <v>16</v>
      </c>
      <c r="C34" s="83" t="s">
        <v>291</v>
      </c>
    </row>
    <row r="35" spans="2:3" x14ac:dyDescent="0.3">
      <c r="B35" s="32">
        <f t="shared" si="1"/>
        <v>17</v>
      </c>
      <c r="C35" s="83" t="s">
        <v>292</v>
      </c>
    </row>
    <row r="36" spans="2:3" x14ac:dyDescent="0.3">
      <c r="B36" s="32">
        <f t="shared" si="1"/>
        <v>18</v>
      </c>
      <c r="C36" s="83" t="s">
        <v>293</v>
      </c>
    </row>
    <row r="37" spans="2:3" x14ac:dyDescent="0.3">
      <c r="B37" s="32">
        <f t="shared" si="1"/>
        <v>19</v>
      </c>
      <c r="C37" s="83" t="s">
        <v>294</v>
      </c>
    </row>
    <row r="38" spans="2:3" x14ac:dyDescent="0.3">
      <c r="B38" s="32">
        <f t="shared" si="1"/>
        <v>20</v>
      </c>
      <c r="C38" s="83" t="s">
        <v>295</v>
      </c>
    </row>
    <row r="39" spans="2:3" x14ac:dyDescent="0.3">
      <c r="B39" s="32">
        <f t="shared" si="1"/>
        <v>21</v>
      </c>
      <c r="C39" s="83" t="s">
        <v>296</v>
      </c>
    </row>
    <row r="40" spans="2:3" x14ac:dyDescent="0.3">
      <c r="B40" s="32">
        <f t="shared" si="1"/>
        <v>22</v>
      </c>
      <c r="C40" s="83" t="s">
        <v>297</v>
      </c>
    </row>
    <row r="41" spans="2:3" x14ac:dyDescent="0.3">
      <c r="B41" s="32">
        <f t="shared" si="1"/>
        <v>23</v>
      </c>
      <c r="C41" s="83" t="s">
        <v>298</v>
      </c>
    </row>
    <row r="42" spans="2:3" x14ac:dyDescent="0.3">
      <c r="B42" s="32">
        <f t="shared" si="1"/>
        <v>24</v>
      </c>
      <c r="C42" s="83" t="s">
        <v>299</v>
      </c>
    </row>
    <row r="43" spans="2:3" x14ac:dyDescent="0.3">
      <c r="B43" s="32">
        <f t="shared" si="1"/>
        <v>25</v>
      </c>
      <c r="C43" s="83" t="s">
        <v>300</v>
      </c>
    </row>
    <row r="44" spans="2:3" x14ac:dyDescent="0.3">
      <c r="B44" s="32">
        <f t="shared" si="1"/>
        <v>26</v>
      </c>
      <c r="C44" s="83" t="s">
        <v>301</v>
      </c>
    </row>
    <row r="45" spans="2:3" x14ac:dyDescent="0.3">
      <c r="B45" s="32">
        <f t="shared" si="1"/>
        <v>27</v>
      </c>
      <c r="C45" s="83" t="s">
        <v>302</v>
      </c>
    </row>
    <row r="46" spans="2:3" x14ac:dyDescent="0.3">
      <c r="B46" s="32">
        <f t="shared" si="1"/>
        <v>28</v>
      </c>
      <c r="C46" s="83" t="s">
        <v>303</v>
      </c>
    </row>
    <row r="47" spans="2:3" x14ac:dyDescent="0.3">
      <c r="B47" s="32">
        <f t="shared" si="1"/>
        <v>29</v>
      </c>
      <c r="C47" s="83" t="s">
        <v>304</v>
      </c>
    </row>
    <row r="48" spans="2:3" x14ac:dyDescent="0.3">
      <c r="B48" s="32">
        <f t="shared" si="1"/>
        <v>30</v>
      </c>
      <c r="C48" s="83" t="s">
        <v>305</v>
      </c>
    </row>
    <row r="49" spans="2:3" x14ac:dyDescent="0.3">
      <c r="B49" s="32">
        <f t="shared" si="1"/>
        <v>31</v>
      </c>
      <c r="C49" s="83" t="s">
        <v>306</v>
      </c>
    </row>
    <row r="50" spans="2:3" x14ac:dyDescent="0.3">
      <c r="B50" s="32">
        <f t="shared" si="1"/>
        <v>32</v>
      </c>
      <c r="C50" s="83" t="s">
        <v>307</v>
      </c>
    </row>
    <row r="51" spans="2:3" x14ac:dyDescent="0.3">
      <c r="B51" s="32">
        <f t="shared" si="1"/>
        <v>33</v>
      </c>
      <c r="C51" s="83" t="s">
        <v>308</v>
      </c>
    </row>
    <row r="52" spans="2:3" ht="28.8" x14ac:dyDescent="0.3">
      <c r="B52" s="32">
        <f t="shared" si="1"/>
        <v>34</v>
      </c>
      <c r="C52" s="83" t="s">
        <v>309</v>
      </c>
    </row>
    <row r="53" spans="2:3" ht="28.8" x14ac:dyDescent="0.3">
      <c r="B53" s="32">
        <f t="shared" si="1"/>
        <v>35</v>
      </c>
      <c r="C53" s="83" t="s">
        <v>310</v>
      </c>
    </row>
    <row r="54" spans="2:3" ht="28.8" x14ac:dyDescent="0.3">
      <c r="B54" s="32">
        <f t="shared" si="1"/>
        <v>36</v>
      </c>
      <c r="C54" s="83" t="s">
        <v>311</v>
      </c>
    </row>
    <row r="55" spans="2:3" x14ac:dyDescent="0.3">
      <c r="B55" s="32">
        <f t="shared" si="1"/>
        <v>37</v>
      </c>
      <c r="C55" s="83" t="s">
        <v>312</v>
      </c>
    </row>
    <row r="56" spans="2:3" x14ac:dyDescent="0.3">
      <c r="B56" s="32">
        <f t="shared" si="1"/>
        <v>38</v>
      </c>
      <c r="C56" s="83" t="s">
        <v>313</v>
      </c>
    </row>
    <row r="57" spans="2:3" ht="28.8" x14ac:dyDescent="0.3">
      <c r="B57" s="32">
        <f t="shared" si="1"/>
        <v>39</v>
      </c>
      <c r="C57" s="83" t="s">
        <v>314</v>
      </c>
    </row>
    <row r="58" spans="2:3" x14ac:dyDescent="0.3">
      <c r="B58" s="32">
        <f t="shared" si="1"/>
        <v>40</v>
      </c>
      <c r="C58" s="83" t="s">
        <v>315</v>
      </c>
    </row>
    <row r="59" spans="2:3" x14ac:dyDescent="0.3">
      <c r="B59" s="32">
        <f t="shared" si="1"/>
        <v>41</v>
      </c>
      <c r="C59" s="83" t="s">
        <v>316</v>
      </c>
    </row>
    <row r="60" spans="2:3" x14ac:dyDescent="0.3">
      <c r="B60" s="32">
        <f t="shared" si="1"/>
        <v>42</v>
      </c>
      <c r="C60" s="83" t="s">
        <v>317</v>
      </c>
    </row>
    <row r="61" spans="2:3" x14ac:dyDescent="0.3">
      <c r="B61" s="32">
        <f t="shared" si="1"/>
        <v>43</v>
      </c>
      <c r="C61" s="83" t="s">
        <v>318</v>
      </c>
    </row>
    <row r="62" spans="2:3" x14ac:dyDescent="0.3">
      <c r="B62" s="32">
        <f t="shared" si="1"/>
        <v>44</v>
      </c>
      <c r="C62" s="83" t="s">
        <v>319</v>
      </c>
    </row>
  </sheetData>
  <mergeCells count="6">
    <mergeCell ref="C10:D10"/>
    <mergeCell ref="C4:D4"/>
    <mergeCell ref="C5:D5"/>
    <mergeCell ref="C7:D7"/>
    <mergeCell ref="C8:D8"/>
    <mergeCell ref="C9:D9"/>
  </mergeCells>
  <hyperlinks>
    <hyperlink ref="F5" location="'Basic Details'!A1" display="Basic Details" xr:uid="{00000000-0004-0000-0000-000000000000}"/>
    <hyperlink ref="F7" location="'Eligibility Criteria'!A1" display="Eligibility Criteria" xr:uid="{00000000-0004-0000-0000-000001000000}"/>
    <hyperlink ref="F17" location="'Other Information'!A1" display="Other Information" xr:uid="{00000000-0004-0000-0000-000002000000}"/>
    <hyperlink ref="F9" location="'Table 1'!A1" display="Table 1" xr:uid="{00000000-0004-0000-0000-000003000000}"/>
    <hyperlink ref="F10" location="'Table 2'!A1" display="Table 2" xr:uid="{00000000-0004-0000-0000-000004000000}"/>
    <hyperlink ref="F11" location="'Table 3'!A1" display="Table 3" xr:uid="{00000000-0004-0000-0000-000005000000}"/>
    <hyperlink ref="F12" location="'Table 4'!A1" display="Table 4" xr:uid="{00000000-0004-0000-0000-000006000000}"/>
    <hyperlink ref="F13" location="'Table 5'!A1" display="Table 5" xr:uid="{00000000-0004-0000-0000-000007000000}"/>
    <hyperlink ref="F14" location="'Table 6'!A1" display="Table 6" xr:uid="{00000000-0004-0000-0000-000008000000}"/>
    <hyperlink ref="F15" location="'Table 7'!A1" display="Table 7" xr:uid="{00000000-0004-0000-0000-000009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79998168889431442"/>
  </sheetPr>
  <dimension ref="A1:G12"/>
  <sheetViews>
    <sheetView showGridLines="0" zoomScaleNormal="100" workbookViewId="0">
      <selection sqref="A1:G1"/>
    </sheetView>
  </sheetViews>
  <sheetFormatPr defaultColWidth="9.109375" defaultRowHeight="13.8" x14ac:dyDescent="0.25"/>
  <cols>
    <col min="1" max="1" width="5.88671875" style="1" customWidth="1"/>
    <col min="2" max="6" width="23.33203125" style="2" customWidth="1"/>
    <col min="7" max="7" width="23.33203125" style="1" customWidth="1"/>
    <col min="8" max="16384" width="9.109375" style="1"/>
  </cols>
  <sheetData>
    <row r="1" spans="1:7" ht="27.75" customHeight="1" x14ac:dyDescent="0.25">
      <c r="A1" s="102" t="s">
        <v>108</v>
      </c>
      <c r="B1" s="102"/>
      <c r="C1" s="102"/>
      <c r="D1" s="102"/>
      <c r="E1" s="102"/>
      <c r="F1" s="102"/>
      <c r="G1" s="102"/>
    </row>
    <row r="2" spans="1:7" s="20" customFormat="1" ht="41.4" x14ac:dyDescent="0.3">
      <c r="A2" s="21" t="s">
        <v>112</v>
      </c>
      <c r="B2" s="21" t="s">
        <v>48</v>
      </c>
      <c r="C2" s="21" t="s">
        <v>42</v>
      </c>
      <c r="D2" s="21" t="s">
        <v>43</v>
      </c>
      <c r="E2" s="21" t="s">
        <v>47</v>
      </c>
      <c r="F2" s="21" t="s">
        <v>38</v>
      </c>
      <c r="G2" s="21" t="s">
        <v>74</v>
      </c>
    </row>
    <row r="3" spans="1:7" x14ac:dyDescent="0.25">
      <c r="A3" s="4">
        <f>ROW()-2</f>
        <v>1</v>
      </c>
      <c r="B3" s="3"/>
      <c r="C3" s="3"/>
      <c r="D3" s="3"/>
      <c r="E3" s="3"/>
      <c r="F3" s="3"/>
      <c r="G3" s="3"/>
    </row>
    <row r="4" spans="1:7" x14ac:dyDescent="0.25">
      <c r="A4" s="4">
        <f>ROW()-2</f>
        <v>2</v>
      </c>
      <c r="B4" s="3"/>
      <c r="C4" s="3"/>
      <c r="D4" s="3"/>
      <c r="E4" s="3"/>
      <c r="F4" s="3"/>
      <c r="G4" s="3"/>
    </row>
    <row r="5" spans="1:7" x14ac:dyDescent="0.25">
      <c r="A5" s="4">
        <f>ROW()-2</f>
        <v>3</v>
      </c>
      <c r="B5" s="3"/>
      <c r="C5" s="3"/>
      <c r="D5" s="3"/>
      <c r="E5" s="3"/>
      <c r="F5" s="3"/>
      <c r="G5" s="3"/>
    </row>
    <row r="6" spans="1:7" x14ac:dyDescent="0.25">
      <c r="A6" s="4">
        <f>ROW()-2</f>
        <v>4</v>
      </c>
      <c r="B6" s="3"/>
      <c r="C6" s="3"/>
      <c r="D6" s="3"/>
      <c r="E6" s="3"/>
      <c r="F6" s="3"/>
      <c r="G6" s="3"/>
    </row>
    <row r="7" spans="1:7" x14ac:dyDescent="0.25">
      <c r="A7" s="4">
        <f t="shared" ref="A7:A12" si="0">ROW()-2</f>
        <v>5</v>
      </c>
      <c r="B7" s="3"/>
      <c r="C7" s="3"/>
      <c r="D7" s="3"/>
      <c r="E7" s="3"/>
      <c r="F7" s="3"/>
      <c r="G7" s="3"/>
    </row>
    <row r="8" spans="1:7" x14ac:dyDescent="0.25">
      <c r="A8" s="4">
        <f t="shared" si="0"/>
        <v>6</v>
      </c>
      <c r="B8" s="3"/>
      <c r="C8" s="3"/>
      <c r="D8" s="3"/>
      <c r="E8" s="3"/>
      <c r="F8" s="3"/>
      <c r="G8" s="3"/>
    </row>
    <row r="9" spans="1:7" x14ac:dyDescent="0.25">
      <c r="A9" s="4">
        <f t="shared" si="0"/>
        <v>7</v>
      </c>
      <c r="B9" s="3"/>
      <c r="C9" s="3"/>
      <c r="D9" s="3"/>
      <c r="E9" s="3"/>
      <c r="F9" s="3"/>
      <c r="G9" s="3"/>
    </row>
    <row r="10" spans="1:7" x14ac:dyDescent="0.25">
      <c r="A10" s="4">
        <f t="shared" si="0"/>
        <v>8</v>
      </c>
      <c r="B10" s="3"/>
      <c r="C10" s="3"/>
      <c r="D10" s="3"/>
      <c r="E10" s="3"/>
      <c r="F10" s="3"/>
      <c r="G10" s="3"/>
    </row>
    <row r="11" spans="1:7" x14ac:dyDescent="0.25">
      <c r="A11" s="4">
        <f t="shared" si="0"/>
        <v>9</v>
      </c>
      <c r="B11" s="3"/>
      <c r="C11" s="3"/>
      <c r="D11" s="3"/>
      <c r="E11" s="3"/>
      <c r="F11" s="3"/>
      <c r="G11" s="3"/>
    </row>
    <row r="12" spans="1:7" x14ac:dyDescent="0.25">
      <c r="A12" s="4">
        <f t="shared" si="0"/>
        <v>10</v>
      </c>
      <c r="B12" s="3"/>
      <c r="C12" s="3"/>
      <c r="D12" s="3"/>
      <c r="E12" s="3"/>
      <c r="F12" s="3"/>
      <c r="G12" s="3"/>
    </row>
  </sheetData>
  <mergeCells count="1">
    <mergeCell ref="A1:G1"/>
  </mergeCells>
  <dataValidations count="2">
    <dataValidation type="decimal" operator="greaterThanOrEqual" allowBlank="1" showInputMessage="1" showErrorMessage="1" prompt="Enter only the number (without the % sign)" sqref="G3:G12" xr:uid="{00000000-0002-0000-0900-000000000000}">
      <formula1>0</formula1>
    </dataValidation>
    <dataValidation type="decimal" operator="greaterThanOrEqual" allowBlank="1" showInputMessage="1" showErrorMessage="1" sqref="F3:F12" xr:uid="{00000000-0002-0000-0900-000001000000}">
      <formula1>0</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C12"/>
  <sheetViews>
    <sheetView showGridLines="0" workbookViewId="0">
      <selection sqref="A1:C1"/>
    </sheetView>
  </sheetViews>
  <sheetFormatPr defaultRowHeight="14.4" x14ac:dyDescent="0.3"/>
  <cols>
    <col min="1" max="1" width="6.44140625" style="15" customWidth="1"/>
    <col min="2" max="2" width="48.6640625" customWidth="1"/>
    <col min="3" max="3" width="64" customWidth="1"/>
  </cols>
  <sheetData>
    <row r="1" spans="1:3" ht="24.75" customHeight="1" x14ac:dyDescent="0.3">
      <c r="A1" s="102" t="s">
        <v>111</v>
      </c>
      <c r="B1" s="102"/>
      <c r="C1" s="102"/>
    </row>
    <row r="2" spans="1:3" ht="27.6" x14ac:dyDescent="0.3">
      <c r="A2" s="21" t="s">
        <v>112</v>
      </c>
      <c r="B2" s="24" t="s">
        <v>3</v>
      </c>
      <c r="C2" s="24" t="s">
        <v>119</v>
      </c>
    </row>
    <row r="3" spans="1:3" x14ac:dyDescent="0.3">
      <c r="A3" s="26">
        <f>ROW()-2</f>
        <v>1</v>
      </c>
      <c r="B3" s="4"/>
      <c r="C3" s="4"/>
    </row>
    <row r="4" spans="1:3" x14ac:dyDescent="0.3">
      <c r="A4" s="26">
        <f t="shared" ref="A4:A12" si="0">ROW()-2</f>
        <v>2</v>
      </c>
      <c r="B4" s="4"/>
      <c r="C4" s="4"/>
    </row>
    <row r="5" spans="1:3" x14ac:dyDescent="0.3">
      <c r="A5" s="26">
        <f t="shared" si="0"/>
        <v>3</v>
      </c>
      <c r="B5" s="4"/>
      <c r="C5" s="4"/>
    </row>
    <row r="6" spans="1:3" x14ac:dyDescent="0.3">
      <c r="A6" s="26">
        <f t="shared" si="0"/>
        <v>4</v>
      </c>
      <c r="B6" s="4"/>
      <c r="C6" s="4"/>
    </row>
    <row r="7" spans="1:3" x14ac:dyDescent="0.3">
      <c r="A7" s="26">
        <f t="shared" si="0"/>
        <v>5</v>
      </c>
      <c r="B7" s="4"/>
      <c r="C7" s="4"/>
    </row>
    <row r="8" spans="1:3" x14ac:dyDescent="0.3">
      <c r="A8" s="26">
        <f t="shared" si="0"/>
        <v>6</v>
      </c>
      <c r="B8" s="4"/>
      <c r="C8" s="4"/>
    </row>
    <row r="9" spans="1:3" x14ac:dyDescent="0.3">
      <c r="A9" s="26">
        <f t="shared" si="0"/>
        <v>7</v>
      </c>
      <c r="B9" s="4"/>
      <c r="C9" s="4"/>
    </row>
    <row r="10" spans="1:3" x14ac:dyDescent="0.3">
      <c r="A10" s="26">
        <f t="shared" si="0"/>
        <v>8</v>
      </c>
      <c r="B10" s="4"/>
      <c r="C10" s="4"/>
    </row>
    <row r="11" spans="1:3" x14ac:dyDescent="0.3">
      <c r="A11" s="26">
        <f t="shared" si="0"/>
        <v>9</v>
      </c>
      <c r="B11" s="4"/>
      <c r="C11" s="4"/>
    </row>
    <row r="12" spans="1:3" x14ac:dyDescent="0.3">
      <c r="A12" s="26">
        <f t="shared" si="0"/>
        <v>10</v>
      </c>
      <c r="B12" s="4"/>
      <c r="C12" s="4"/>
    </row>
  </sheetData>
  <mergeCells count="1">
    <mergeCell ref="A1:C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2:H9"/>
  <sheetViews>
    <sheetView tabSelected="1" workbookViewId="0">
      <selection activeCell="G5" sqref="G5"/>
    </sheetView>
  </sheetViews>
  <sheetFormatPr defaultColWidth="8.88671875" defaultRowHeight="14.4" x14ac:dyDescent="0.3"/>
  <cols>
    <col min="1" max="1" width="11.88671875" customWidth="1"/>
    <col min="2" max="2" width="28.5546875" customWidth="1"/>
    <col min="4" max="4" width="32.109375" bestFit="1" customWidth="1"/>
    <col min="5" max="5" width="17.33203125" bestFit="1" customWidth="1"/>
    <col min="6" max="6" width="20.5546875" bestFit="1" customWidth="1"/>
    <col min="7" max="7" width="42.6640625" bestFit="1" customWidth="1"/>
    <col min="8" max="8" width="34" customWidth="1"/>
  </cols>
  <sheetData>
    <row r="2" spans="1:8" s="14" customFormat="1" x14ac:dyDescent="0.3">
      <c r="A2" s="14" t="s">
        <v>123</v>
      </c>
      <c r="B2" s="14" t="s">
        <v>124</v>
      </c>
      <c r="C2" s="14" t="s">
        <v>125</v>
      </c>
      <c r="D2" s="14" t="s">
        <v>126</v>
      </c>
      <c r="E2" s="14" t="s">
        <v>127</v>
      </c>
    </row>
    <row r="3" spans="1:8" ht="100.8" x14ac:dyDescent="0.3">
      <c r="A3" t="s">
        <v>51</v>
      </c>
      <c r="B3" t="s">
        <v>53</v>
      </c>
      <c r="C3" t="s">
        <v>64</v>
      </c>
      <c r="D3" t="s">
        <v>87</v>
      </c>
      <c r="E3" t="s">
        <v>98</v>
      </c>
      <c r="F3" t="s">
        <v>168</v>
      </c>
      <c r="G3" t="s">
        <v>241</v>
      </c>
      <c r="H3" s="18" t="s">
        <v>269</v>
      </c>
    </row>
    <row r="4" spans="1:8" x14ac:dyDescent="0.3">
      <c r="A4" t="s">
        <v>52</v>
      </c>
      <c r="B4" t="s">
        <v>54</v>
      </c>
      <c r="C4" t="s">
        <v>65</v>
      </c>
      <c r="D4" t="s">
        <v>88</v>
      </c>
      <c r="E4" t="s">
        <v>99</v>
      </c>
      <c r="F4" t="s">
        <v>100</v>
      </c>
      <c r="G4" t="s">
        <v>271</v>
      </c>
    </row>
    <row r="5" spans="1:8" x14ac:dyDescent="0.3">
      <c r="B5" t="s">
        <v>55</v>
      </c>
      <c r="C5" t="s">
        <v>100</v>
      </c>
      <c r="D5" t="s">
        <v>89</v>
      </c>
      <c r="G5" t="s">
        <v>240</v>
      </c>
    </row>
    <row r="6" spans="1:8" x14ac:dyDescent="0.3">
      <c r="D6" t="s">
        <v>90</v>
      </c>
      <c r="E6" t="s">
        <v>128</v>
      </c>
    </row>
    <row r="7" spans="1:8" x14ac:dyDescent="0.3">
      <c r="D7" t="s">
        <v>91</v>
      </c>
      <c r="E7" t="s">
        <v>129</v>
      </c>
    </row>
    <row r="8" spans="1:8" x14ac:dyDescent="0.3">
      <c r="D8" t="s">
        <v>92</v>
      </c>
    </row>
    <row r="9" spans="1:8" x14ac:dyDescent="0.3">
      <c r="D9" t="s">
        <v>93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BA8A0-1CE1-4A01-A75A-2C36FBD7404B}">
  <sheetPr>
    <tabColor rgb="FFFF0000"/>
  </sheetPr>
  <dimension ref="A1:A61"/>
  <sheetViews>
    <sheetView topLeftCell="A51" workbookViewId="0">
      <selection activeCell="A61" sqref="A61"/>
    </sheetView>
  </sheetViews>
  <sheetFormatPr defaultRowHeight="14.4" x14ac:dyDescent="0.3"/>
  <cols>
    <col min="1" max="1" width="69.109375" bestFit="1" customWidth="1"/>
  </cols>
  <sheetData>
    <row r="1" spans="1:1" x14ac:dyDescent="0.3">
      <c r="A1" s="88" t="s">
        <v>272</v>
      </c>
    </row>
    <row r="2" spans="1:1" x14ac:dyDescent="0.3">
      <c r="A2" s="8" t="str">
        <f>IF(ISBLANK('Basic Details'!D3),"Applicant name not provided.","")</f>
        <v>Applicant name not provided.</v>
      </c>
    </row>
    <row r="3" spans="1:1" x14ac:dyDescent="0.3">
      <c r="A3" s="8" t="str">
        <f>IF(ISBLANK('Basic Details'!D4),"Registered Address not provided.","")</f>
        <v>Registered Address not provided.</v>
      </c>
    </row>
    <row r="4" spans="1:1" x14ac:dyDescent="0.3">
      <c r="A4" s="8" t="str">
        <f>IF(ISBLANK('Basic Details'!D7),"Name of Compliance Officer not provided.","")</f>
        <v>Name of Compliance Officer not provided.</v>
      </c>
    </row>
    <row r="5" spans="1:1" x14ac:dyDescent="0.3">
      <c r="A5" s="8" t="str">
        <f>IF(ISBLANK('Basic Details'!D8),"Mobile Number of Compliance Officer not provided.","")</f>
        <v>Mobile Number of Compliance Officer not provided.</v>
      </c>
    </row>
    <row r="6" spans="1:1" x14ac:dyDescent="0.3">
      <c r="A6" s="8" t="str">
        <f>IF(ISBLANK('Basic Details'!D9),"Email ID of Compliance Officer not provided.","")</f>
        <v>Email ID of Compliance Officer not provided.</v>
      </c>
    </row>
    <row r="7" spans="1:1" x14ac:dyDescent="0.3">
      <c r="A7" s="8" t="str">
        <f>IF(ISBLANK('Basic Details'!D11),"Name of Contact Person not provided.","")</f>
        <v>Name of Contact Person not provided.</v>
      </c>
    </row>
    <row r="8" spans="1:1" x14ac:dyDescent="0.3">
      <c r="A8" s="8" t="str">
        <f>IF(ISBLANK('Basic Details'!D12),"Mobile Number of Contact Person not provided.","")</f>
        <v>Mobile Number of Contact Person not provided.</v>
      </c>
    </row>
    <row r="9" spans="1:1" x14ac:dyDescent="0.3">
      <c r="A9" s="8" t="str">
        <f>IF(ISBLANK('Basic Details'!D13),"Email ID of Contact Person not provided.","")</f>
        <v>Email ID of Contact Person not provided.</v>
      </c>
    </row>
    <row r="10" spans="1:1" x14ac:dyDescent="0.3">
      <c r="A10" s="8" t="str">
        <f>IF(ISBLANK('Basic Details'!D16),"Application fee amount not provided.","")</f>
        <v>Application fee amount not provided.</v>
      </c>
    </row>
    <row r="11" spans="1:1" x14ac:dyDescent="0.3">
      <c r="A11" s="8" t="str">
        <f>IF(NOT('Basic Details'!D16=59000),"Application fee amount incorrect - must be INR 59,000.","")</f>
        <v>Application fee amount incorrect - must be INR 59,000.</v>
      </c>
    </row>
    <row r="12" spans="1:1" x14ac:dyDescent="0.3">
      <c r="A12" s="8" t="str">
        <f>IF(ISBLANK('Basic Details'!D17),"Application fee payment date not provided.","")</f>
        <v>Application fee payment date not provided.</v>
      </c>
    </row>
    <row r="13" spans="1:1" x14ac:dyDescent="0.3">
      <c r="A13" s="8" t="str">
        <f>IF(ISBLANK('Basic Details'!D18),"Application fee payment Reference number not provided.","")</f>
        <v>Application fee payment Reference number not provided.</v>
      </c>
    </row>
    <row r="14" spans="1:1" x14ac:dyDescent="0.3">
      <c r="A14" s="8" t="str">
        <f>IF(ISBLANK('Basic Details'!D20),"Business Model not selected by the Applicant.","")</f>
        <v>Business Model not selected by the Applicant.</v>
      </c>
    </row>
    <row r="15" spans="1:1" x14ac:dyDescent="0.3">
      <c r="A15" s="8" t="str">
        <f>IF(ISBLANK('Basic Details'!D22),"PAN of the Applicant not provided.","")</f>
        <v>PAN of the Applicant not provided.</v>
      </c>
    </row>
    <row r="16" spans="1:1" x14ac:dyDescent="0.3">
      <c r="A16" s="83" t="str">
        <f>IF('Eligibility Criteria'!E2&lt;&gt;"Yes", "Non-compliance with Regulation 28E(a) - Applicant not a company.", "")</f>
        <v>Non-compliance with Regulation 28E(a) - Applicant not a company.</v>
      </c>
    </row>
    <row r="17" spans="1:1" x14ac:dyDescent="0.3">
      <c r="A17" s="83" t="str">
        <f>IF(ISBLANK('Eligibility Criteria'!E3), "Date of Incorporation of the Applicant not provided.", "")</f>
        <v>Date of Incorporation of the Applicant not provided.</v>
      </c>
    </row>
    <row r="18" spans="1:1" x14ac:dyDescent="0.3">
      <c r="A18" s="83" t="str">
        <f>IF('Eligibility Criteria'!E4&lt;&gt;"Yes", "Non-compliance with Regulation 28E(b) - ESG Rating not main object of the MoA.", "")</f>
        <v>Non-compliance with Regulation 28E(b) - ESG Rating not main object of the MoA.</v>
      </c>
    </row>
    <row r="19" spans="1:1" x14ac:dyDescent="0.3">
      <c r="A19" s="83" t="str">
        <f>IF(ISBLANK('Eligibility Criteria'!E5), "Clause referencing of MoA not available.", IFERROR(IF(SEARCH("XX",'Eligibility Criteria'!E5), "Clause referencing of ESG rating as the main object in MoA not provided.", ""), ""))</f>
        <v>Clause referencing of ESG rating as the main object in MoA not provided.</v>
      </c>
    </row>
    <row r="20" spans="1:1" x14ac:dyDescent="0.3">
      <c r="A20" s="83" t="str">
        <f>IF('Eligibility Criteria'!E6&lt;&gt;"Yes", "Non-compliance with Regulation 28E(c) - Business Plan not submitted", "")</f>
        <v>Non-compliance with Regulation 28E(c) - Business Plan not submitted</v>
      </c>
    </row>
    <row r="21" spans="1:1" x14ac:dyDescent="0.3">
      <c r="A21" s="83" t="str">
        <f>IF(ISBLANK('Eligibility Criteria'!E7), "Business Plan summary not provided.", "")</f>
        <v>Business Plan summary not provided.</v>
      </c>
    </row>
    <row r="22" spans="1:1" ht="28.8" x14ac:dyDescent="0.3">
      <c r="A22" s="83" t="str">
        <f>IF('Eligibility Criteria'!E8&lt;&gt;"Yes", "Non-compliance with Regulation 28E(c)(i) - Breakeven date not provided in Business Plan.", IFERROR(IF(SEARCH("XX",'Eligibility Criteria'!E8), "Clause referencing of ESG rating as the main object in MoA not provided.", ""), ""))</f>
        <v>Non-compliance with Regulation 28E(c)(i) - Breakeven date not provided in Business Plan.</v>
      </c>
    </row>
    <row r="23" spans="1:1" x14ac:dyDescent="0.3">
      <c r="A23" s="83" t="str">
        <f>IF(ISBLANK('Eligibility Criteria'!E10), "Breakeven date not provided.", "")</f>
        <v>Breakeven date not provided.</v>
      </c>
    </row>
    <row r="24" spans="1:1" ht="28.8" x14ac:dyDescent="0.3">
      <c r="A24" s="83" t="str">
        <f>IF('Eligibility Criteria'!E11&lt;&gt;"Yes", "Non-compliance with Regulation 28E(c)(ii) - Target Revenue and target number of clients' data not provided in Business Plan.", "")</f>
        <v>Non-compliance with Regulation 28E(c)(ii) - Target Revenue and target number of clients' data not provided in Business Plan.</v>
      </c>
    </row>
    <row r="25" spans="1:1" ht="28.8" x14ac:dyDescent="0.3">
      <c r="A25" s="83" t="str">
        <f>IF(ISBLANK('Eligibility Criteria'!E12), "Page Numbers/ Clause No in the Business Plan indicating Target Revenue and Target Number of Clients - not provided.", IFERROR(IF(SEARCH("XX",'Eligibility Criteria'!E12), "Page Numbers/ Clause No in the Business Plan indicating Target Revenue and Target Number of Clients - not provided.", ""), ""))</f>
        <v>Page Numbers/ Clause No in the Business Plan indicating Target Revenue and Target Number of Clients - not provided.</v>
      </c>
    </row>
    <row r="26" spans="1:1" x14ac:dyDescent="0.3">
      <c r="A26" s="83" t="str">
        <f>IF(ISBLANK('Eligibility Criteria'!E13), "Target reveneue details not provided.", "")</f>
        <v>Target reveneue details not provided.</v>
      </c>
    </row>
    <row r="27" spans="1:1" x14ac:dyDescent="0.3">
      <c r="A27" s="83" t="str">
        <f>IF(ISBLANK('Eligibility Criteria'!E14), "Details of target number of clients not provided.", "")</f>
        <v>Details of target number of clients not provided.</v>
      </c>
    </row>
    <row r="28" spans="1:1" ht="43.2" x14ac:dyDescent="0.3">
      <c r="A28" s="83" t="str">
        <f>IF('Eligibility Criteria'!E15&lt;&gt;"Yes", "Non-compliance with Regulation 28E(c)(iii) - Information about the cumulative cash losses that the applicant projects to incur until the targeted breakeven date not provided in the Business Plan.", "")</f>
        <v>Non-compliance with Regulation 28E(c)(iii) - Information about the cumulative cash losses that the applicant projects to incur until the targeted breakeven date not provided in the Business Plan.</v>
      </c>
    </row>
    <row r="29" spans="1:1" x14ac:dyDescent="0.3">
      <c r="A29" s="83" t="str">
        <f>IF(ISBLANK('Eligibility Criteria'!E16), "Details of Clause referencing cash losses in the Business Plan not provided.", IFERROR(IF(SEARCH("XX",'Eligibility Criteria'!E16), "Clause referencing of ESG rating as the main object in MoA not provided.", ""), ""))</f>
        <v>Clause referencing of ESG rating as the main object in MoA not provided.</v>
      </c>
    </row>
    <row r="30" spans="1:1" ht="28.8" x14ac:dyDescent="0.3">
      <c r="A30" s="83" t="str">
        <f>IF('Eligibility Criteria'!E17&lt;&gt;"Yes", "Non-compliance with Regulation 28E(d) - Declaration regarding permitted activities for an ERP - Not Submitted", "")</f>
        <v>Non-compliance with Regulation 28E(d) - Declaration regarding permitted activities for an ERP - Not Submitted</v>
      </c>
    </row>
    <row r="31" spans="1:1" x14ac:dyDescent="0.3">
      <c r="A31" s="83" t="str">
        <f>IF('Eligibility Criteria'!E22&lt;&gt;"Yes", "Applicant does not have positive liquid net worth", "")</f>
        <v>Applicant does not have positive liquid net worth</v>
      </c>
    </row>
    <row r="32" spans="1:1" ht="28.8" x14ac:dyDescent="0.3">
      <c r="A32" s="83" t="str">
        <f>IF('Eligibility Criteria'!E23&lt;&gt;"Yes", "Applicant has submitted that it does not have adequate net worth as per the Regulations.", "")</f>
        <v>Applicant has submitted that it does not have adequate net worth as per the Regulations.</v>
      </c>
    </row>
    <row r="33" spans="1:1" x14ac:dyDescent="0.3">
      <c r="A33" s="83" t="str">
        <f>IF(ISBLANK('Eligibility Criteria'!E24), "Net worth value of the Applicant not provided.", "")</f>
        <v>Net worth value of the Applicant not provided.</v>
      </c>
    </row>
    <row r="34" spans="1:1" x14ac:dyDescent="0.3">
      <c r="A34" s="83" t="str">
        <f>IF(ISBLANK('Eligibility Criteria'!E25), "Cumulative cash losses proposed to made by the Applicant not provided.", "")</f>
        <v>Cumulative cash losses proposed to made by the Applicant not provided.</v>
      </c>
    </row>
    <row r="35" spans="1:1" x14ac:dyDescent="0.3">
      <c r="A35" s="83" t="str">
        <f>IF(OR(ISBLANK('Eligibility Criteria'!E24), ISBLANK('Eligibility Criteria'!E25)),
    IF(ISBLANK('Eligibility Criteria'!E24), "Net worth value of the Applicant not provided.",
        "Cumulative cash losses proposed to be made by the Applicant not provided."),
    IF('Eligibility Criteria'!E24 &lt; MAX(20, 10 + 'Eligibility Criteria'!E25),
        "Net-worth of Applicant not in accordance with CRA Regulations (i.e. higher of INR 20 lakhs and 10 lakhs plus proposed cumulative losses). Comparison: " &amp;
        IF('Eligibility Criteria'!E24 &lt; 20, TEXT('Eligibility Criteria'!E24, "0") &amp; " lakhs vs 20 lakhs",
           TEXT(10 + 'Eligibility Criteria'!E25, "0") &amp; " lakhs vs " &amp; TEXT('Eligibility Criteria'!E24, "0") &amp; " lakhs"),
        ""))</f>
        <v>Net worth value of the Applicant not provided.</v>
      </c>
    </row>
    <row r="36" spans="1:1" x14ac:dyDescent="0.3">
      <c r="A36" s="83" t="str">
        <f>IF(OR(ISBLANK('Eligibility Criteria'!E26), NOT(OR('Eligibility Criteria'!E26="Only office operations", 'Eligibility Criteria'!E26="Only remote operations", 'Eligibility Criteria'!E26="Hybrid (both office spaces and remote) operations"))), "Mode of operations not provided by the Applicant.", "")</f>
        <v/>
      </c>
    </row>
    <row r="37" spans="1:1" x14ac:dyDescent="0.3">
      <c r="A37" s="83" t="str">
        <f>IF('Eligibility Criteria'!E27&lt;&gt;"Yes", "Applicant has submitted that it does not have adequate infrastructure.", "")</f>
        <v>Applicant has submitted that it does not have adequate infrastructure.</v>
      </c>
    </row>
    <row r="38" spans="1:1" x14ac:dyDescent="0.3">
      <c r="A38" s="83" t="str">
        <f>IF('Eligibility Criteria'!E28&lt;&gt;"Undertaking provided", "Undertaking for operations not provided", "")</f>
        <v>Undertaking for operations not provided</v>
      </c>
    </row>
    <row r="39" spans="1:1" x14ac:dyDescent="0.3">
      <c r="A39" s="83" t="str">
        <f>IF('Eligibility Criteria'!E29="Yes", IF(OR(ISBLANK('Eligibility Criteria'!E31), ISBLANK('Eligibility Criteria'!E32), ISBLANK('Eligibility Criteria'!E33)), "Intermediary details missing despite being registered with SEBI.", ""), "")</f>
        <v/>
      </c>
    </row>
    <row r="40" spans="1:1" x14ac:dyDescent="0.3">
      <c r="A40" s="83" t="str">
        <f>IF(AND('Eligibility Criteria'!E29="No", 'Eligibility Criteria'!E30&lt;&gt;"Undertaking provided"), "Undertaking regarding registration with SEBI as an intermediary - Not Provided.", "")</f>
        <v/>
      </c>
    </row>
    <row r="41" spans="1:1" x14ac:dyDescent="0.3">
      <c r="A41" s="83" t="str">
        <f>IF(OR(ISBLANK('Eligibility Criteria'!E35), ISBLANK('Eligibility Criteria'!E36)), "Compliance Officer's name or date of Appointment not provided.", "")</f>
        <v>Compliance Officer's name or date of Appointment not provided.</v>
      </c>
    </row>
    <row r="42" spans="1:1" ht="28.8" x14ac:dyDescent="0.3">
      <c r="A42" s="83" t="str">
        <f>IF('Eligibility Criteria'!E37&lt;&gt;"Yes", "Applicant has submitted that it does not have adequate employees with required experience.", "")</f>
        <v>Applicant has submitted that it does not have adequate employees with required experience.</v>
      </c>
    </row>
    <row r="43" spans="1:1" ht="28.8" x14ac:dyDescent="0.3">
      <c r="A43" s="83" t="str">
        <f>IF('Eligibility Criteria'!E38&lt;&gt;"Yes", "Applicant has submitted that the Applicant or its promoters are not 'fit and proper'.", "")</f>
        <v>Applicant has submitted that the Applicant or its promoters are not 'fit and proper'.</v>
      </c>
    </row>
    <row r="44" spans="1:1" ht="28.8" x14ac:dyDescent="0.3">
      <c r="A44" s="83" t="str">
        <f>IF(ISBLANK('Eligibility Criteria'!E39),"Applicant has not indicated whether Enforcement action has been initiated against the Applicant by SEBI.", "")</f>
        <v>Applicant has not indicated whether Enforcement action has been initiated against the Applicant by SEBI.</v>
      </c>
    </row>
    <row r="45" spans="1:1" x14ac:dyDescent="0.3">
      <c r="A45" s="83" t="str">
        <f>IF('Eligibility Criteria'!E39="No", IF('Eligibility Criteria'!E41&lt;&gt;"Undertaking provided", "Applicant has not provided Undertaking indicating 'No enforcement history' against the Applicant by SEBI.", ""), "")</f>
        <v/>
      </c>
    </row>
    <row r="46" spans="1:1" x14ac:dyDescent="0.3">
      <c r="A46" s="83" t="str">
        <f>IF('Eligibility Criteria'!E39="Yes", IF(ISBLANK('Eligibility Criteria'!E40), "Applicant has not provided details of Enforcement action against the Applicant by SEBI.", ""), "")</f>
        <v/>
      </c>
    </row>
    <row r="47" spans="1:1" x14ac:dyDescent="0.3">
      <c r="A47" s="83" t="str">
        <f>IF('Eligibility Criteria'!E42&lt;&gt;"Yes", "Non-compliance: Regulation 28(m)(v) - Applicant doesn't have required employees", "")</f>
        <v>Non-compliance: Regulation 28(m)(v) - Applicant doesn't have required employees</v>
      </c>
    </row>
    <row r="48" spans="1:1" x14ac:dyDescent="0.3">
      <c r="A48" s="83" t="str">
        <f>IF(ISBLANK('Eligibility Criteria'!E43), "Details of MD are not provided.", IF('Eligibility Criteria'!E43="NA", "", ""))</f>
        <v>Details of MD are not provided.</v>
      </c>
    </row>
    <row r="49" spans="1:1" x14ac:dyDescent="0.3">
      <c r="A49" s="83" t="str">
        <f>IF(ISBLANK('Eligibility Criteria'!E43),"Details of MD are not provided.",IF('Eligibility Criteria'!E43="NA","",IF(ISBLANK('Eligibility Criteria'!E44),"Details of whether MD is part of ESG rating decision not provided.",IF('Eligibility Criteria'!E44="Yes","Non-compliance with Clause 15 of Chapter II of Master Circular on ERP - MD is part of ESG rating decision.",""))))</f>
        <v>Details of MD are not provided.</v>
      </c>
    </row>
    <row r="50" spans="1:1" ht="28.8" x14ac:dyDescent="0.3">
      <c r="A50" s="83" t="str">
        <f>IF(AND('Eligibility Criteria'!E43&lt;&gt;"NA", OR(ISBLANK('Eligibility Criteria'!E45), 'Eligibility Criteria'!E45="NA")),
    "Undertaking regarding MD not being part of ESG rating decision not provided by Applicant.",
    "")</f>
        <v>Undertaking regarding MD not being part of ESG rating decision not provided by Applicant.</v>
      </c>
    </row>
    <row r="51" spans="1:1" x14ac:dyDescent="0.3">
      <c r="A51" s="83" t="str">
        <f>IF(ISBLANK('Eligibility Criteria'!E46),
    "Details of CEO are not provided.",
    IF('Eligibility Criteria'!E46="NA", "", ""))</f>
        <v>Details of CEO are not provided.</v>
      </c>
    </row>
    <row r="52" spans="1:1" x14ac:dyDescent="0.3">
      <c r="A52" s="83" t="str">
        <f>IF(ISBLANK('Eligibility Criteria'!E46),"Details of CEO are not provided.",IF('Eligibility Criteria'!E46="NA","",IF(ISBLANK('Eligibility Criteria'!E47),"Details of whether CEO is part of ESG rating decision not provided.",IF('Eligibility Criteria'!E47="Yes","Non-compliance with Clause 15 of Chapter II of Master Circular on ERP - CEO is part of ESG rating decision.",""))))</f>
        <v>Details of CEO are not provided.</v>
      </c>
    </row>
    <row r="53" spans="1:1" ht="28.8" x14ac:dyDescent="0.3">
      <c r="A53" s="83" t="str">
        <f>IF(AND('Eligibility Criteria'!E43&lt;&gt;"NA", OR(ISBLANK('Eligibility Criteria'!E45), 'Eligibility Criteria'!E45="NA")),
    "Undertaking regarding MD not being part of ESG rating decision not provided by Applicant.",
    "")</f>
        <v>Undertaking regarding MD not being part of ESG rating decision not provided by Applicant.</v>
      </c>
    </row>
    <row r="54" spans="1:1" ht="28.8" x14ac:dyDescent="0.3">
      <c r="A54" s="83" t="s">
        <v>312</v>
      </c>
    </row>
    <row r="55" spans="1:1" x14ac:dyDescent="0.3">
      <c r="A55" s="83" t="str">
        <f>IF(AND(ISBLANK('Table 5'!B3),ISBLANK('Table 5'!B4)),"Minimum 2 employees with required specialization are required. Details not provided.","")</f>
        <v/>
      </c>
    </row>
    <row r="56" spans="1:1" x14ac:dyDescent="0.3">
      <c r="A56" s="83" t="str">
        <f>IF(AND(
COUNTIF('Table 5'!R3:R10,"*Governance*")&gt;0,
COUNTIF('Table 5'!R3:R10,"*Sustainability*")&gt;0,
COUNTIF('Table 5'!R3:R10,"*Social Impact / Social Responsibility*")&gt;0,
COUNTIF('Table 5'!R3:R10,"*Data Analytics*")&gt;0,
COUNTIF('Table 5'!R3:R10,"*Finance*")&gt;0,
COUNTIF('Table 5'!R3:R10,"*Information Technology*")&gt;0,
COUNTIF('Table 5'!R3:R10,"*Law*")&gt;0
),"","Employees do not have experience in all required fields.")</f>
        <v/>
      </c>
    </row>
    <row r="57" spans="1:1" x14ac:dyDescent="0.3">
      <c r="A57" s="8" t="str">
        <f>IF(AND('Eligibility Criteria'!E49="No", ISBLANK('Eligibility Criteria'!E50)),
    "Error: Undertaking regarding shareholding not provided.",
    IF(AND('Eligibility Criteria'!E49="No", 'Eligibility Criteria'!E50&lt;&gt;"Undertaking Provided"),
        "Error: Incorrect value entered in Undertaking field. Expected: 'Undertaking Provided'.",
        ""))</f>
        <v/>
      </c>
    </row>
    <row r="58" spans="1:1" x14ac:dyDescent="0.3">
      <c r="A58" s="8" t="str">
        <f>IF('Eligibility Criteria'!E51="Yes",
    "Non-compliance with Regulation 28U(1)(b) of CRA Regulations - ERP has representation on the board of another ERP.",
    "")</f>
        <v/>
      </c>
    </row>
    <row r="59" spans="1:1" x14ac:dyDescent="0.3">
      <c r="A59" s="8" t="str">
        <f>IF(AND('Eligibility Criteria'!E51="No", ISBLANK('Eligibility Criteria'!E52)),
    "Error: Declaration regarding board representation not provided.",
    IF(AND('Eligibility Criteria'!E51="No", 'Eligibility Criteria'!E52&lt;&gt;"Undertaking Provided"),
        "Error: Incorrect value entered in Declaration field. Expected: 'Undertaking Provided'.",
        ""))</f>
        <v/>
      </c>
    </row>
    <row r="60" spans="1:1" x14ac:dyDescent="0.3">
      <c r="A60" s="8" t="str">
        <f>IF('Eligibility Criteria'!E53="Yes",
    "Non-compliance with Regulation 28U(2) of CRA Regulations - Shareholder of Applicant holds 10% or more voting rights in other ERP(s).",
    "")</f>
        <v/>
      </c>
    </row>
    <row r="61" spans="1:1" x14ac:dyDescent="0.3">
      <c r="A61" s="8" t="str">
        <f>IF(AND('Eligibility Criteria'!E53="No", ISBLANK('Eligibility Criteria'!E54)),
    "Error: Declaration regarding shareholding compliance not provided.",
    IF(AND('Eligibility Criteria'!E53="No", 'Eligibility Criteria'!E54&lt;&gt;"Undertaking Provided"),
        "Error: Incorrect value entered in Declaration field. Expected: 'Undertaking Provided'.",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E22"/>
  <sheetViews>
    <sheetView showGridLines="0" zoomScaleNormal="100" workbookViewId="0">
      <pane ySplit="1" topLeftCell="A2" activePane="bottomLeft" state="frozen"/>
      <selection pane="bottomLeft" activeCell="B13" sqref="B13"/>
    </sheetView>
  </sheetViews>
  <sheetFormatPr defaultColWidth="9.109375" defaultRowHeight="15.6" x14ac:dyDescent="0.3"/>
  <cols>
    <col min="1" max="1" width="5.88671875" style="41" customWidth="1"/>
    <col min="2" max="2" width="47.109375" style="42" customWidth="1"/>
    <col min="3" max="3" width="23.77734375" style="35" customWidth="1"/>
    <col min="4" max="4" width="51.5546875" style="35" customWidth="1"/>
    <col min="5" max="5" width="32.109375" style="35" customWidth="1"/>
    <col min="6" max="6" width="19.109375" style="35" customWidth="1"/>
    <col min="7" max="7" width="20" style="35" customWidth="1"/>
    <col min="8" max="16384" width="9.109375" style="35"/>
  </cols>
  <sheetData>
    <row r="1" spans="1:5" ht="31.2" x14ac:dyDescent="0.3">
      <c r="A1" s="16" t="s">
        <v>112</v>
      </c>
      <c r="B1" s="16" t="s">
        <v>3</v>
      </c>
      <c r="C1" s="16" t="s">
        <v>250</v>
      </c>
      <c r="D1" s="16" t="s">
        <v>15</v>
      </c>
      <c r="E1" s="16" t="s">
        <v>4</v>
      </c>
    </row>
    <row r="2" spans="1:5" s="36" customFormat="1" ht="14.4" x14ac:dyDescent="0.3"/>
    <row r="3" spans="1:5" x14ac:dyDescent="0.3">
      <c r="A3" s="37">
        <v>1</v>
      </c>
      <c r="B3" s="38" t="s">
        <v>57</v>
      </c>
      <c r="C3" s="77" t="s">
        <v>251</v>
      </c>
      <c r="D3" s="39"/>
      <c r="E3" s="57" t="s">
        <v>56</v>
      </c>
    </row>
    <row r="4" spans="1:5" ht="45" customHeight="1" x14ac:dyDescent="0.3">
      <c r="A4" s="37">
        <v>2</v>
      </c>
      <c r="B4" s="40" t="s">
        <v>102</v>
      </c>
      <c r="C4" s="9" t="s">
        <v>252</v>
      </c>
      <c r="D4" s="39"/>
      <c r="E4" s="57" t="s">
        <v>79</v>
      </c>
    </row>
    <row r="5" spans="1:5" ht="45" customHeight="1" x14ac:dyDescent="0.3">
      <c r="A5" s="37">
        <v>3</v>
      </c>
      <c r="B5" s="40" t="s">
        <v>50</v>
      </c>
      <c r="C5" s="9" t="s">
        <v>253</v>
      </c>
      <c r="D5" s="39"/>
      <c r="E5" s="57" t="s">
        <v>56</v>
      </c>
    </row>
    <row r="6" spans="1:5" x14ac:dyDescent="0.3">
      <c r="D6" s="42"/>
      <c r="E6" s="79"/>
    </row>
    <row r="7" spans="1:5" x14ac:dyDescent="0.3">
      <c r="A7" s="37">
        <v>4</v>
      </c>
      <c r="B7" s="6" t="s">
        <v>61</v>
      </c>
      <c r="C7" s="7" t="s">
        <v>220</v>
      </c>
      <c r="D7" s="39"/>
      <c r="E7" s="57" t="s">
        <v>56</v>
      </c>
    </row>
    <row r="8" spans="1:5" x14ac:dyDescent="0.3">
      <c r="A8" s="37">
        <v>5</v>
      </c>
      <c r="B8" s="6" t="s">
        <v>62</v>
      </c>
      <c r="C8" s="7" t="s">
        <v>254</v>
      </c>
      <c r="D8" s="43"/>
      <c r="E8" s="57" t="s">
        <v>56</v>
      </c>
    </row>
    <row r="9" spans="1:5" x14ac:dyDescent="0.3">
      <c r="A9" s="37">
        <v>6</v>
      </c>
      <c r="B9" s="6" t="s">
        <v>63</v>
      </c>
      <c r="C9" s="7" t="s">
        <v>255</v>
      </c>
      <c r="D9" s="44"/>
      <c r="E9" s="57" t="s">
        <v>56</v>
      </c>
    </row>
    <row r="10" spans="1:5" x14ac:dyDescent="0.3">
      <c r="D10" s="42"/>
      <c r="E10" s="79"/>
    </row>
    <row r="11" spans="1:5" x14ac:dyDescent="0.3">
      <c r="A11" s="37">
        <v>7</v>
      </c>
      <c r="B11" s="38" t="s">
        <v>58</v>
      </c>
      <c r="C11" s="77" t="s">
        <v>256</v>
      </c>
      <c r="D11" s="39"/>
      <c r="E11" s="57" t="s">
        <v>56</v>
      </c>
    </row>
    <row r="12" spans="1:5" x14ac:dyDescent="0.3">
      <c r="A12" s="37">
        <v>8</v>
      </c>
      <c r="B12" s="38" t="s">
        <v>59</v>
      </c>
      <c r="C12" s="77" t="s">
        <v>257</v>
      </c>
      <c r="D12" s="43"/>
      <c r="E12" s="57" t="s">
        <v>56</v>
      </c>
    </row>
    <row r="13" spans="1:5" x14ac:dyDescent="0.3">
      <c r="A13" s="37">
        <v>9</v>
      </c>
      <c r="B13" s="38" t="s">
        <v>60</v>
      </c>
      <c r="C13" s="77" t="s">
        <v>258</v>
      </c>
      <c r="D13" s="44"/>
      <c r="E13" s="57" t="s">
        <v>56</v>
      </c>
    </row>
    <row r="14" spans="1:5" x14ac:dyDescent="0.3">
      <c r="B14" s="45"/>
      <c r="C14" s="78"/>
      <c r="D14" s="45"/>
      <c r="E14" s="80"/>
    </row>
    <row r="15" spans="1:5" ht="30" customHeight="1" x14ac:dyDescent="0.3">
      <c r="A15" s="37">
        <v>10</v>
      </c>
      <c r="B15" s="40" t="s">
        <v>139</v>
      </c>
      <c r="C15" s="9"/>
      <c r="D15" s="46"/>
      <c r="E15" s="57" t="s">
        <v>5</v>
      </c>
    </row>
    <row r="16" spans="1:5" x14ac:dyDescent="0.3">
      <c r="A16" s="37" t="s">
        <v>80</v>
      </c>
      <c r="B16" s="51" t="s">
        <v>101</v>
      </c>
      <c r="C16" s="67" t="s">
        <v>259</v>
      </c>
      <c r="D16" s="47"/>
      <c r="E16" s="57"/>
    </row>
    <row r="17" spans="1:5" x14ac:dyDescent="0.3">
      <c r="A17" s="37" t="s">
        <v>81</v>
      </c>
      <c r="B17" s="51" t="s">
        <v>1</v>
      </c>
      <c r="C17" s="67" t="s">
        <v>260</v>
      </c>
      <c r="D17" s="48"/>
      <c r="E17" s="57"/>
    </row>
    <row r="18" spans="1:5" x14ac:dyDescent="0.3">
      <c r="A18" s="37" t="s">
        <v>82</v>
      </c>
      <c r="B18" s="51" t="s">
        <v>2</v>
      </c>
      <c r="C18" s="67" t="s">
        <v>261</v>
      </c>
      <c r="D18" s="49"/>
      <c r="E18" s="57"/>
    </row>
    <row r="19" spans="1:5" x14ac:dyDescent="0.3">
      <c r="B19" s="50"/>
      <c r="C19" s="69"/>
      <c r="E19" s="81"/>
    </row>
    <row r="20" spans="1:5" x14ac:dyDescent="0.3">
      <c r="A20" s="37">
        <v>11</v>
      </c>
      <c r="B20" s="40" t="s">
        <v>141</v>
      </c>
      <c r="C20" s="37" t="s">
        <v>262</v>
      </c>
      <c r="D20" s="39"/>
      <c r="E20" s="57"/>
    </row>
    <row r="21" spans="1:5" x14ac:dyDescent="0.3">
      <c r="A21" s="37">
        <v>12</v>
      </c>
      <c r="B21" s="40" t="s">
        <v>142</v>
      </c>
      <c r="C21" s="37" t="s">
        <v>263</v>
      </c>
      <c r="D21" s="39"/>
      <c r="E21" s="57"/>
    </row>
    <row r="22" spans="1:5" x14ac:dyDescent="0.3">
      <c r="A22" s="37">
        <v>13</v>
      </c>
      <c r="B22" s="40" t="s">
        <v>140</v>
      </c>
      <c r="C22" s="37" t="s">
        <v>264</v>
      </c>
      <c r="D22" s="39"/>
      <c r="E22" s="57"/>
    </row>
  </sheetData>
  <dataValidations count="6">
    <dataValidation type="whole" operator="greaterThan" allowBlank="1" showInputMessage="1" showErrorMessage="1" error="Enter a phone number with the country extension without the +" prompt="Enter 2 digit country code before the phone number. _x000a_(e.g. 919876543210)" sqref="D8 D12" xr:uid="{E8235175-26BD-452B-B591-D60E77BB57D0}">
      <formula1>0</formula1>
    </dataValidation>
    <dataValidation type="custom" allowBlank="1" showInputMessage="1" showErrorMessage="1" error="Enter a valid email ID e.g. abc@example.com" sqref="D9 D13" xr:uid="{3BBEB933-5F28-4A91-9582-B019033DC613}">
      <formula1>AND(FIND("@",D9),FIND(".",D9),ISERROR(FIND(" ",D9)))</formula1>
    </dataValidation>
    <dataValidation type="textLength" operator="equal" allowBlank="1" showInputMessage="1" showErrorMessage="1" error="PAN must be 10 characters long. If not available / applicable, leave blank" sqref="D22" xr:uid="{09B8601A-9CCC-4AD3-B053-F8EEAB871715}">
      <formula1>10</formula1>
    </dataValidation>
    <dataValidation type="decimal" operator="greaterThan" allowBlank="1" showInputMessage="1" showErrorMessage="1" sqref="D15" xr:uid="{6EC63876-DB88-4CEF-915D-A9D15918D811}">
      <formula1>0</formula1>
    </dataValidation>
    <dataValidation type="decimal" operator="greaterThan" allowBlank="1" showInputMessage="1" showErrorMessage="1" error="Enter the amount in INR" sqref="D16" xr:uid="{1B6EF879-4ECA-47AD-9B6F-31931EDBAA2A}">
      <formula1>0</formula1>
    </dataValidation>
    <dataValidation type="date" operator="greaterThan" allowBlank="1" showInputMessage="1" showErrorMessage="1" error="Enter a valid date." sqref="D17" xr:uid="{0EAA1029-92DF-481B-BD07-4437FEEE1696}">
      <formula1>36892</formula1>
    </dataValidation>
  </dataValidations>
  <printOptions horizontalCentere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66FAE9-7B84-4503-B0E1-78F605C6C016}">
          <x14:formula1>
            <xm:f>Reference!$B$3:$B$4</xm:f>
          </x14:formula1>
          <xm:sqref>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54"/>
  <sheetViews>
    <sheetView showGridLines="0" zoomScaleNormal="100" workbookViewId="0">
      <pane ySplit="1" topLeftCell="A27" activePane="bottomLeft" state="frozen"/>
      <selection pane="bottomLeft" activeCell="C27" sqref="C27"/>
    </sheetView>
  </sheetViews>
  <sheetFormatPr defaultColWidth="9.109375" defaultRowHeight="15" x14ac:dyDescent="0.25"/>
  <cols>
    <col min="1" max="1" width="9.5546875" style="41" customWidth="1"/>
    <col min="2" max="2" width="28.88671875" style="5" customWidth="1"/>
    <col min="3" max="3" width="35.6640625" style="5" customWidth="1"/>
    <col min="4" max="4" width="22.44140625" style="5" customWidth="1"/>
    <col min="5" max="5" width="35.6640625" style="41" customWidth="1"/>
    <col min="6" max="7" width="35.6640625" style="5" customWidth="1"/>
    <col min="8" max="16384" width="9.109375" style="5"/>
  </cols>
  <sheetData>
    <row r="1" spans="1:7" s="41" customFormat="1" ht="15.6" x14ac:dyDescent="0.3">
      <c r="A1" s="16" t="s">
        <v>112</v>
      </c>
      <c r="B1" s="16" t="s">
        <v>6</v>
      </c>
      <c r="C1" s="16" t="s">
        <v>3</v>
      </c>
      <c r="D1" s="16" t="s">
        <v>200</v>
      </c>
      <c r="E1" s="16" t="s">
        <v>15</v>
      </c>
      <c r="F1" s="16" t="s">
        <v>7</v>
      </c>
      <c r="G1" s="16" t="s">
        <v>4</v>
      </c>
    </row>
    <row r="2" spans="1:7" ht="45" customHeight="1" x14ac:dyDescent="0.25">
      <c r="A2" s="57">
        <v>1</v>
      </c>
      <c r="B2" s="95" t="s">
        <v>8</v>
      </c>
      <c r="C2" s="56" t="s">
        <v>151</v>
      </c>
      <c r="D2" s="56" t="s">
        <v>201</v>
      </c>
      <c r="E2" s="62"/>
      <c r="F2" s="56" t="s">
        <v>9</v>
      </c>
      <c r="G2" s="56" t="s">
        <v>79</v>
      </c>
    </row>
    <row r="3" spans="1:7" ht="30" customHeight="1" x14ac:dyDescent="0.25">
      <c r="A3" s="59" t="s">
        <v>83</v>
      </c>
      <c r="B3" s="95"/>
      <c r="C3" s="56" t="str">
        <f>IF(E2="Yes", "Date of incorporation", "")</f>
        <v/>
      </c>
      <c r="D3" s="56" t="s">
        <v>202</v>
      </c>
      <c r="E3" s="65"/>
      <c r="F3" s="56" t="str">
        <f>IF(E2="Yes", "Date of Incorporation", "")</f>
        <v/>
      </c>
      <c r="G3" s="56" t="str">
        <f>IF($E$2="Yes", "a) Copy of Memorandum of Association","")</f>
        <v/>
      </c>
    </row>
    <row r="4" spans="1:7" ht="60" customHeight="1" x14ac:dyDescent="0.25">
      <c r="A4" s="57">
        <v>2</v>
      </c>
      <c r="B4" s="95" t="s">
        <v>10</v>
      </c>
      <c r="C4" s="56" t="s">
        <v>152</v>
      </c>
      <c r="D4" s="56" t="s">
        <v>203</v>
      </c>
      <c r="E4" s="62"/>
      <c r="F4" s="56" t="s">
        <v>67</v>
      </c>
      <c r="G4" s="56" t="s">
        <v>182</v>
      </c>
    </row>
    <row r="5" spans="1:7" ht="34.950000000000003" customHeight="1" x14ac:dyDescent="0.25">
      <c r="A5" s="60" t="s">
        <v>84</v>
      </c>
      <c r="B5" s="95"/>
      <c r="C5" s="56" t="str">
        <f>IF(E4="Yes", "If Yes, provide Clause No. and Page No. of MOA", "")</f>
        <v/>
      </c>
      <c r="D5" s="56" t="s">
        <v>204</v>
      </c>
      <c r="E5" s="37" t="s">
        <v>274</v>
      </c>
      <c r="F5" s="56" t="str">
        <f>IF($E$4="Yes", "Relevant Page Numbers/ Clauses in the Memorandum of Association","")</f>
        <v/>
      </c>
      <c r="G5" s="56" t="str">
        <f>IF($E$4="Yes", "a) Copy of Memorandum of Association","")</f>
        <v/>
      </c>
    </row>
    <row r="6" spans="1:7" ht="79.95" customHeight="1" x14ac:dyDescent="0.25">
      <c r="A6" s="57">
        <v>3</v>
      </c>
      <c r="B6" s="95" t="s">
        <v>11</v>
      </c>
      <c r="C6" s="56" t="s">
        <v>199</v>
      </c>
      <c r="D6" s="56" t="s">
        <v>205</v>
      </c>
      <c r="E6" s="62"/>
      <c r="F6" s="56"/>
      <c r="G6" s="56" t="s">
        <v>49</v>
      </c>
    </row>
    <row r="7" spans="1:7" ht="100.05" customHeight="1" x14ac:dyDescent="0.25">
      <c r="A7" s="60" t="s">
        <v>169</v>
      </c>
      <c r="B7" s="95"/>
      <c r="C7" s="56" t="str">
        <f>IF(E6="Yes", "If Yes, provide a summary of Business Plan submitted","")</f>
        <v/>
      </c>
      <c r="D7" s="56" t="s">
        <v>206</v>
      </c>
      <c r="F7" s="56" t="str">
        <f>IF(E6="Yes", "Provide a brief of the Business Plan","")</f>
        <v/>
      </c>
      <c r="G7" s="56"/>
    </row>
    <row r="8" spans="1:7" ht="45" x14ac:dyDescent="0.25">
      <c r="A8" s="57">
        <v>4</v>
      </c>
      <c r="B8" s="95" t="s">
        <v>12</v>
      </c>
      <c r="C8" s="56" t="s">
        <v>66</v>
      </c>
      <c r="D8" s="56" t="s">
        <v>207</v>
      </c>
      <c r="E8" s="62"/>
      <c r="F8" s="56"/>
      <c r="G8" s="56" t="s">
        <v>72</v>
      </c>
    </row>
    <row r="9" spans="1:7" ht="51" customHeight="1" x14ac:dyDescent="0.25">
      <c r="A9" s="60">
        <v>48</v>
      </c>
      <c r="B9" s="95"/>
      <c r="C9" s="56" t="str">
        <f>IF(E8="Yes", "Page Numbers/ Clause No in the Business Plan for Target Breakeven Date","")</f>
        <v/>
      </c>
      <c r="D9" s="56" t="s">
        <v>208</v>
      </c>
      <c r="E9" s="37" t="s">
        <v>275</v>
      </c>
      <c r="F9" s="56" t="str">
        <f>IF($E$8="Yes", "Relevant Page Numbers/ Clauses in the Business Plan","")</f>
        <v/>
      </c>
      <c r="G9" s="56" t="str">
        <f>IF($E$8="Yes", "a) Copy of the business plan","")</f>
        <v/>
      </c>
    </row>
    <row r="10" spans="1:7" ht="37.200000000000003" customHeight="1" x14ac:dyDescent="0.25">
      <c r="A10" s="60" t="s">
        <v>170</v>
      </c>
      <c r="B10" s="95"/>
      <c r="C10" s="56" t="str">
        <f>IF(E8="Yes", "If Yes, enter the Target Breakeven Date","")</f>
        <v/>
      </c>
      <c r="D10" s="56" t="s">
        <v>209</v>
      </c>
      <c r="E10" s="68"/>
      <c r="F10" s="56" t="str">
        <f>IF($E$8="Yes", "Target Breakeven Date","")</f>
        <v/>
      </c>
      <c r="G10" s="56" t="str">
        <f>IF($E$8="Yes", "a) Copy of the business plan","")</f>
        <v/>
      </c>
    </row>
    <row r="11" spans="1:7" ht="75" x14ac:dyDescent="0.25">
      <c r="A11" s="57">
        <v>5</v>
      </c>
      <c r="B11" s="95" t="s">
        <v>13</v>
      </c>
      <c r="C11" s="56" t="s">
        <v>68</v>
      </c>
      <c r="D11" s="56" t="s">
        <v>210</v>
      </c>
      <c r="E11" s="62"/>
      <c r="F11" s="56"/>
      <c r="G11" s="56" t="s">
        <v>72</v>
      </c>
    </row>
    <row r="12" spans="1:7" ht="55.2" customHeight="1" x14ac:dyDescent="0.25">
      <c r="A12" s="60" t="s">
        <v>85</v>
      </c>
      <c r="B12" s="95"/>
      <c r="C12" s="56" t="str">
        <f>IF($E$11="Yes", "Page Numbers/ Clause No in the business plan - Target Revenue and Targeted Number of Clients","")</f>
        <v/>
      </c>
      <c r="D12" s="56" t="s">
        <v>211</v>
      </c>
      <c r="E12" s="37" t="s">
        <v>275</v>
      </c>
      <c r="F12" s="56" t="str">
        <f>IF($E$11="Yes", "Relevant Page Numbers/ Clauses in the Business Plan","")</f>
        <v/>
      </c>
      <c r="G12" s="56" t="str">
        <f>IF($E$11="Yes", "a) Copy of the business plan","")</f>
        <v/>
      </c>
    </row>
    <row r="13" spans="1:7" ht="21" customHeight="1" x14ac:dyDescent="0.25">
      <c r="A13" s="60" t="s">
        <v>171</v>
      </c>
      <c r="B13" s="95"/>
      <c r="C13" s="56" t="str">
        <f>IF($E$11="Yes", "Target Revenue (INR Crore)","")</f>
        <v/>
      </c>
      <c r="D13" s="56" t="s">
        <v>212</v>
      </c>
      <c r="E13" s="72"/>
      <c r="F13" s="56" t="str">
        <f>IF($E$11="Yes", "Target Revenue","")</f>
        <v/>
      </c>
      <c r="G13" s="56" t="str">
        <f>IF($E$11="Yes", "a) Copy of the business plan","")</f>
        <v/>
      </c>
    </row>
    <row r="14" spans="1:7" ht="25.2" customHeight="1" x14ac:dyDescent="0.25">
      <c r="A14" s="60" t="s">
        <v>172</v>
      </c>
      <c r="B14" s="95"/>
      <c r="C14" s="56" t="str">
        <f>IF($E$11="Yes", "Targeted number of clients","")</f>
        <v/>
      </c>
      <c r="D14" s="56" t="s">
        <v>213</v>
      </c>
      <c r="E14" s="37"/>
      <c r="F14" s="56" t="str">
        <f>IF($E$11="Yes", "Targeted number of clients","")</f>
        <v/>
      </c>
      <c r="G14" s="56" t="str">
        <f>IF($E$11="Yes", "a) Copy of the business plan","")</f>
        <v/>
      </c>
    </row>
    <row r="15" spans="1:7" ht="105" x14ac:dyDescent="0.25">
      <c r="A15" s="57">
        <v>6</v>
      </c>
      <c r="B15" s="95" t="s">
        <v>14</v>
      </c>
      <c r="C15" s="56" t="s">
        <v>69</v>
      </c>
      <c r="D15" s="56" t="s">
        <v>214</v>
      </c>
      <c r="E15" s="62"/>
      <c r="F15" s="56"/>
      <c r="G15" s="56" t="s">
        <v>72</v>
      </c>
    </row>
    <row r="16" spans="1:7" ht="67.8" customHeight="1" x14ac:dyDescent="0.25">
      <c r="A16" s="60" t="s">
        <v>173</v>
      </c>
      <c r="B16" s="95"/>
      <c r="C16" s="56" t="str">
        <f>IF($E$15="Yes","If Yes, please provide relevant page numbers/ clause numbers in the business plan - Cumulative losses.","")</f>
        <v/>
      </c>
      <c r="D16" s="56" t="s">
        <v>215</v>
      </c>
      <c r="E16" s="37" t="s">
        <v>275</v>
      </c>
      <c r="F16" s="56" t="str">
        <f>IF($E$15="Yes","Relevant Page Numbers/ Clauses in the Business Plan","")</f>
        <v/>
      </c>
      <c r="G16" s="56" t="str">
        <f>IF($E$15="Yes","Copy of the business plan","")</f>
        <v/>
      </c>
    </row>
    <row r="17" spans="1:7" ht="75" x14ac:dyDescent="0.25">
      <c r="A17" s="97">
        <v>7</v>
      </c>
      <c r="B17" s="95" t="s">
        <v>16</v>
      </c>
      <c r="C17" s="56" t="s">
        <v>157</v>
      </c>
      <c r="D17" s="73" t="s">
        <v>216</v>
      </c>
      <c r="E17" s="98"/>
      <c r="F17" s="95"/>
      <c r="G17" s="95" t="s">
        <v>153</v>
      </c>
    </row>
    <row r="18" spans="1:7" ht="60" x14ac:dyDescent="0.25">
      <c r="A18" s="97"/>
      <c r="B18" s="95"/>
      <c r="C18" s="67" t="s">
        <v>158</v>
      </c>
      <c r="D18" s="70"/>
      <c r="E18" s="99"/>
      <c r="F18" s="95"/>
      <c r="G18" s="95"/>
    </row>
    <row r="19" spans="1:7" ht="60" x14ac:dyDescent="0.25">
      <c r="A19" s="97"/>
      <c r="B19" s="95"/>
      <c r="C19" s="67" t="s">
        <v>156</v>
      </c>
      <c r="D19" s="70"/>
      <c r="E19" s="99"/>
      <c r="F19" s="95"/>
      <c r="G19" s="95"/>
    </row>
    <row r="20" spans="1:7" ht="60" x14ac:dyDescent="0.25">
      <c r="A20" s="97"/>
      <c r="B20" s="95"/>
      <c r="C20" s="67" t="s">
        <v>155</v>
      </c>
      <c r="D20" s="70"/>
      <c r="E20" s="99"/>
      <c r="F20" s="95"/>
      <c r="G20" s="95"/>
    </row>
    <row r="21" spans="1:7" ht="105" x14ac:dyDescent="0.25">
      <c r="A21" s="97"/>
      <c r="B21" s="95"/>
      <c r="C21" s="67" t="s">
        <v>154</v>
      </c>
      <c r="D21" s="71"/>
      <c r="E21" s="100"/>
      <c r="F21" s="95"/>
      <c r="G21" s="95"/>
    </row>
    <row r="22" spans="1:7" ht="30" x14ac:dyDescent="0.25">
      <c r="A22" s="57">
        <v>8</v>
      </c>
      <c r="B22" s="95" t="s">
        <v>94</v>
      </c>
      <c r="C22" s="56" t="s">
        <v>70</v>
      </c>
      <c r="D22" s="56" t="s">
        <v>217</v>
      </c>
      <c r="E22" s="62"/>
      <c r="F22" s="56"/>
      <c r="G22" s="95" t="s">
        <v>159</v>
      </c>
    </row>
    <row r="23" spans="1:7" ht="139.19999999999999" customHeight="1" x14ac:dyDescent="0.25">
      <c r="A23" s="60" t="s">
        <v>188</v>
      </c>
      <c r="B23" s="95"/>
      <c r="C23" s="56" t="str">
        <f>IF(E22="Yes",Reference!H3, "")</f>
        <v/>
      </c>
      <c r="D23" s="56" t="s">
        <v>267</v>
      </c>
      <c r="E23" s="37"/>
      <c r="F23" s="56"/>
      <c r="G23" s="95"/>
    </row>
    <row r="24" spans="1:7" ht="52.2" customHeight="1" x14ac:dyDescent="0.25">
      <c r="A24" s="60" t="s">
        <v>189</v>
      </c>
      <c r="B24" s="95"/>
      <c r="C24" s="56" t="s">
        <v>191</v>
      </c>
      <c r="D24" s="56" t="s">
        <v>218</v>
      </c>
      <c r="E24" s="74"/>
      <c r="F24" s="56"/>
      <c r="G24" s="95"/>
    </row>
    <row r="25" spans="1:7" ht="42" customHeight="1" x14ac:dyDescent="0.25">
      <c r="A25" s="60" t="s">
        <v>190</v>
      </c>
      <c r="B25" s="95"/>
      <c r="C25" s="56" t="s">
        <v>268</v>
      </c>
      <c r="D25" s="56" t="s">
        <v>270</v>
      </c>
      <c r="E25" s="74"/>
      <c r="F25" s="56"/>
      <c r="G25" s="95"/>
    </row>
    <row r="26" spans="1:7" s="17" customFormat="1" ht="115.2" customHeight="1" x14ac:dyDescent="0.25">
      <c r="A26" s="57">
        <v>9</v>
      </c>
      <c r="B26" s="96" t="s">
        <v>17</v>
      </c>
      <c r="C26" s="56" t="s">
        <v>242</v>
      </c>
      <c r="D26" s="56" t="s">
        <v>243</v>
      </c>
      <c r="E26" s="63" t="s">
        <v>241</v>
      </c>
      <c r="F26" s="56"/>
      <c r="G26" s="56"/>
    </row>
    <row r="27" spans="1:7" s="17" customFormat="1" ht="101.4" customHeight="1" x14ac:dyDescent="0.25">
      <c r="A27" s="60" t="s">
        <v>174</v>
      </c>
      <c r="B27" s="96"/>
      <c r="C27" s="56" t="str">
        <f>IF(OR(E26="Only office operations",E26="Hybrid (both office spaces and remote) operations"),"Whether the applicant has necessary infrastructure including adequate office space, technology, equipment and manpower, to enable it to provide ESG rating services.",IF(E26="Only remote operations.","Whether the applicant has necessary infrastructure including technology, equipment and manpower, to enable it to provide ESG rating services.",""))</f>
        <v>Whether the applicant has necessary infrastructure including adequate office space, technology, equipment and manpower, to enable it to provide ESG rating services.</v>
      </c>
      <c r="D27" s="56" t="s">
        <v>219</v>
      </c>
      <c r="E27" s="75"/>
      <c r="F27" s="56"/>
      <c r="G27" s="56"/>
    </row>
    <row r="28" spans="1:7" s="17" customFormat="1" ht="58.8" customHeight="1" x14ac:dyDescent="0.25">
      <c r="A28" s="60" t="s">
        <v>175</v>
      </c>
      <c r="B28" s="96"/>
      <c r="C28" s="56" t="str">
        <f>IF(E27="Yes","Please provide an undertaking to this effect.","")</f>
        <v/>
      </c>
      <c r="D28" s="56" t="s">
        <v>244</v>
      </c>
      <c r="E28" s="75"/>
      <c r="F28" s="56"/>
      <c r="G28" s="56" t="str">
        <f>IF(E27="Yes","Undertaking from the Applicant","")</f>
        <v/>
      </c>
    </row>
    <row r="29" spans="1:7" ht="45" x14ac:dyDescent="0.25">
      <c r="A29" s="58">
        <v>10</v>
      </c>
      <c r="B29" s="95" t="s">
        <v>18</v>
      </c>
      <c r="C29" s="56" t="s">
        <v>130</v>
      </c>
      <c r="D29" s="56" t="s">
        <v>245</v>
      </c>
      <c r="E29" s="62"/>
      <c r="F29" s="56"/>
      <c r="G29" s="56"/>
    </row>
    <row r="30" spans="1:7" ht="100.8" customHeight="1" x14ac:dyDescent="0.25">
      <c r="A30" s="61" t="s">
        <v>80</v>
      </c>
      <c r="B30" s="95"/>
      <c r="C30" s="56" t="str">
        <f>IF(E29="No","If No - Please provide an undertaking that the applicant is not a SEBI registered credit rating agency or any other SEBI registered intermediary.","")</f>
        <v/>
      </c>
      <c r="D30" s="56" t="s">
        <v>246</v>
      </c>
      <c r="E30" s="37"/>
      <c r="F30" s="56"/>
      <c r="G30" s="56" t="str">
        <f>IF(E29="No","Undertaking from the Applicant","")</f>
        <v/>
      </c>
    </row>
    <row r="31" spans="1:7" ht="35.4" customHeight="1" x14ac:dyDescent="0.25">
      <c r="A31" s="61" t="s">
        <v>81</v>
      </c>
      <c r="B31" s="95"/>
      <c r="C31" s="56" t="str">
        <f>IF(E29="Yes","If Yes - Please provide the Type of Intermediary","")</f>
        <v/>
      </c>
      <c r="D31" s="56" t="s">
        <v>247</v>
      </c>
      <c r="E31" s="37"/>
      <c r="F31" s="56"/>
      <c r="G31" s="56" t="str">
        <f>IF($E$29="Yes","SEBI Registration Certificate (if applicable)","")</f>
        <v/>
      </c>
    </row>
    <row r="32" spans="1:7" ht="37.799999999999997" customHeight="1" x14ac:dyDescent="0.25">
      <c r="A32" s="60" t="s">
        <v>82</v>
      </c>
      <c r="B32" s="95"/>
      <c r="C32" s="56" t="str">
        <f>IF(E29="Yes","If Yes - Please provide the Registration Number","")</f>
        <v/>
      </c>
      <c r="D32" s="56" t="s">
        <v>248</v>
      </c>
      <c r="E32" s="37"/>
      <c r="F32" s="56"/>
      <c r="G32" s="56" t="str">
        <f>IF($E$29="Yes","SEBI Registration Certificate (if applicable)","")</f>
        <v/>
      </c>
    </row>
    <row r="33" spans="1:7" ht="33.6" customHeight="1" x14ac:dyDescent="0.25">
      <c r="A33" s="60" t="s">
        <v>187</v>
      </c>
      <c r="B33" s="95"/>
      <c r="C33" s="56" t="str">
        <f>IF(E29="Yes","If Yes - Please provide the Date of Registration","")</f>
        <v/>
      </c>
      <c r="D33" s="56" t="s">
        <v>249</v>
      </c>
      <c r="E33" s="76"/>
      <c r="F33" s="56"/>
      <c r="G33" s="56" t="str">
        <f>IF($E$29="Yes","SEBI Registration Certificate (if applicable)","")</f>
        <v/>
      </c>
    </row>
    <row r="34" spans="1:7" ht="30" x14ac:dyDescent="0.25">
      <c r="A34" s="57">
        <v>11</v>
      </c>
      <c r="B34" s="95" t="s">
        <v>19</v>
      </c>
      <c r="C34" s="56" t="s">
        <v>71</v>
      </c>
      <c r="D34" s="56" t="s">
        <v>221</v>
      </c>
      <c r="E34" s="62"/>
      <c r="F34" s="56"/>
      <c r="G34" s="95" t="s">
        <v>135</v>
      </c>
    </row>
    <row r="35" spans="1:7" x14ac:dyDescent="0.25">
      <c r="A35" s="60" t="s">
        <v>176</v>
      </c>
      <c r="B35" s="95"/>
      <c r="C35" s="56" t="str">
        <f>IF($E$34="Yes","Name of the Compliance Officer","")</f>
        <v/>
      </c>
      <c r="D35" s="56" t="s">
        <v>265</v>
      </c>
      <c r="E35" s="37"/>
      <c r="F35" s="56" t="str">
        <f>IF($E$34="Yes","Name of Compliance Officer","")</f>
        <v/>
      </c>
      <c r="G35" s="95"/>
    </row>
    <row r="36" spans="1:7" ht="37.799999999999997" customHeight="1" x14ac:dyDescent="0.25">
      <c r="A36" s="60" t="s">
        <v>177</v>
      </c>
      <c r="B36" s="95"/>
      <c r="C36" s="56" t="str">
        <f>IF($E$34="Yes","Date of appointment of Compliance Officer","")</f>
        <v/>
      </c>
      <c r="D36" s="56" t="s">
        <v>222</v>
      </c>
      <c r="E36" s="66"/>
      <c r="F36" s="56" t="str">
        <f>IF($E$34="Yes","Date of Appointment","")</f>
        <v/>
      </c>
      <c r="G36" s="95"/>
    </row>
    <row r="37" spans="1:7" ht="45" x14ac:dyDescent="0.25">
      <c r="A37" s="57">
        <v>12</v>
      </c>
      <c r="B37" s="56" t="s">
        <v>20</v>
      </c>
      <c r="C37" s="56" t="s">
        <v>161</v>
      </c>
      <c r="D37" s="56" t="s">
        <v>223</v>
      </c>
      <c r="E37" s="62"/>
      <c r="F37" s="56"/>
      <c r="G37" s="56" t="s">
        <v>163</v>
      </c>
    </row>
    <row r="38" spans="1:7" ht="75" x14ac:dyDescent="0.25">
      <c r="A38" s="57">
        <v>13</v>
      </c>
      <c r="B38" s="56" t="s">
        <v>21</v>
      </c>
      <c r="C38" s="56" t="s">
        <v>162</v>
      </c>
      <c r="D38" s="56" t="s">
        <v>224</v>
      </c>
      <c r="E38" s="62"/>
      <c r="F38" s="56"/>
      <c r="G38" s="56" t="s">
        <v>160</v>
      </c>
    </row>
    <row r="39" spans="1:7" ht="165" x14ac:dyDescent="0.25">
      <c r="A39" s="57">
        <v>14</v>
      </c>
      <c r="B39" s="95" t="s">
        <v>22</v>
      </c>
      <c r="C39" s="56" t="s">
        <v>136</v>
      </c>
      <c r="D39" s="56" t="s">
        <v>225</v>
      </c>
      <c r="E39" s="62"/>
      <c r="F39" s="56"/>
      <c r="G39" s="56"/>
    </row>
    <row r="40" spans="1:7" ht="70.8" customHeight="1" x14ac:dyDescent="0.25">
      <c r="A40" s="60" t="s">
        <v>185</v>
      </c>
      <c r="B40" s="95"/>
      <c r="C40" s="56" t="str">
        <f>IF(E39="Yes","Details of enforcement action or any such order by SEBI or any other authority as applicable, against the Applicant.","")</f>
        <v/>
      </c>
      <c r="D40" s="56" t="s">
        <v>226</v>
      </c>
      <c r="E40" s="37"/>
      <c r="F40" s="56" t="str">
        <f>IF($E$39="Yes","Provide details","")</f>
        <v/>
      </c>
      <c r="G40" s="56" t="str">
        <f>IF($E$39="Yes","Copy of the enforcement order","")</f>
        <v/>
      </c>
    </row>
    <row r="41" spans="1:7" ht="40.200000000000003" customHeight="1" x14ac:dyDescent="0.25">
      <c r="A41" s="60" t="s">
        <v>186</v>
      </c>
      <c r="B41" s="95"/>
      <c r="C41" s="56" t="str">
        <f>IF(E39="No","If No, provide an undertaking to this effect.","")</f>
        <v/>
      </c>
      <c r="D41" s="56" t="s">
        <v>227</v>
      </c>
      <c r="E41" s="37"/>
      <c r="F41" s="56" t="str">
        <f>IF($E$39="No","Provide Undertaking in this regard","")</f>
        <v/>
      </c>
      <c r="G41" s="56" t="str">
        <f>IF($E$39="No","Undertaking from the Applicant","")</f>
        <v/>
      </c>
    </row>
    <row r="42" spans="1:7" ht="105" x14ac:dyDescent="0.25">
      <c r="A42" s="37">
        <v>15</v>
      </c>
      <c r="B42" s="56" t="s">
        <v>23</v>
      </c>
      <c r="C42" s="56" t="s">
        <v>131</v>
      </c>
      <c r="D42" s="56" t="s">
        <v>266</v>
      </c>
      <c r="E42" s="62"/>
      <c r="F42" s="56"/>
      <c r="G42" s="56" t="s">
        <v>73</v>
      </c>
    </row>
    <row r="43" spans="1:7" ht="30.6" x14ac:dyDescent="0.25">
      <c r="A43" s="57">
        <v>16</v>
      </c>
      <c r="B43" s="95" t="s">
        <v>95</v>
      </c>
      <c r="C43" s="56" t="s">
        <v>165</v>
      </c>
      <c r="D43" s="56" t="s">
        <v>228</v>
      </c>
      <c r="E43" s="62"/>
      <c r="F43" s="56"/>
      <c r="G43" s="56"/>
    </row>
    <row r="44" spans="1:7" ht="45" x14ac:dyDescent="0.25">
      <c r="A44" s="60" t="s">
        <v>183</v>
      </c>
      <c r="B44" s="95"/>
      <c r="C44" s="56" t="s">
        <v>164</v>
      </c>
      <c r="D44" s="56" t="s">
        <v>229</v>
      </c>
      <c r="E44" s="62"/>
      <c r="F44" s="56"/>
      <c r="G44" s="56"/>
    </row>
    <row r="45" spans="1:7" ht="35.4" customHeight="1" x14ac:dyDescent="0.25">
      <c r="A45" s="60" t="s">
        <v>184</v>
      </c>
      <c r="B45" s="95"/>
      <c r="C45" s="56" t="str">
        <f>IF(E44="No","If No, Please provide an Undertaking to this effect.","")</f>
        <v/>
      </c>
      <c r="D45" s="56" t="s">
        <v>230</v>
      </c>
      <c r="E45" s="37"/>
      <c r="F45" s="56"/>
      <c r="G45" s="56" t="str">
        <f>IF(E44="No","Undertaking from the Applicant","")</f>
        <v/>
      </c>
    </row>
    <row r="46" spans="1:7" ht="30" x14ac:dyDescent="0.25">
      <c r="A46" s="57">
        <v>17</v>
      </c>
      <c r="B46" s="95" t="s">
        <v>95</v>
      </c>
      <c r="C46" s="56" t="s">
        <v>166</v>
      </c>
      <c r="D46" s="56" t="s">
        <v>231</v>
      </c>
      <c r="E46" s="62"/>
      <c r="F46" s="56"/>
      <c r="G46" s="56"/>
    </row>
    <row r="47" spans="1:7" ht="45" x14ac:dyDescent="0.25">
      <c r="A47" s="60" t="s">
        <v>178</v>
      </c>
      <c r="B47" s="95"/>
      <c r="C47" s="56" t="s">
        <v>167</v>
      </c>
      <c r="D47" s="56" t="s">
        <v>232</v>
      </c>
      <c r="E47" s="62"/>
      <c r="F47" s="56"/>
      <c r="G47" s="56"/>
    </row>
    <row r="48" spans="1:7" ht="40.200000000000003" customHeight="1" x14ac:dyDescent="0.25">
      <c r="A48" s="60" t="s">
        <v>179</v>
      </c>
      <c r="B48" s="95"/>
      <c r="C48" s="56" t="str">
        <f>IF(E47="No","If No, Please provide an Undertaking to this effect.","")</f>
        <v/>
      </c>
      <c r="D48" s="56" t="s">
        <v>233</v>
      </c>
      <c r="E48" s="37"/>
      <c r="F48" s="56"/>
      <c r="G48" s="56" t="str">
        <f>IF(E47="No","Undertaking from the Applicant","")</f>
        <v/>
      </c>
    </row>
    <row r="49" spans="1:7" ht="60" x14ac:dyDescent="0.25">
      <c r="A49" s="57">
        <v>18</v>
      </c>
      <c r="B49" s="95" t="s">
        <v>25</v>
      </c>
      <c r="C49" s="56" t="s">
        <v>132</v>
      </c>
      <c r="D49" s="56" t="s">
        <v>234</v>
      </c>
      <c r="E49" s="62"/>
      <c r="F49" s="56" t="str">
        <f>'Table 7'!A1</f>
        <v>Table 7: Shares held by the ERP Applicant</v>
      </c>
      <c r="G49" s="56" t="s">
        <v>97</v>
      </c>
    </row>
    <row r="50" spans="1:7" ht="84" customHeight="1" x14ac:dyDescent="0.25">
      <c r="A50" s="60" t="s">
        <v>180</v>
      </c>
      <c r="B50" s="95"/>
      <c r="C50" s="56" t="str">
        <f>IF($E$49="No", "If No, provide a declaration that the ERP does not hold, directly or indirectly, 10% or more shareholding or voting rights in any other ERP","")</f>
        <v/>
      </c>
      <c r="D50" s="56" t="s">
        <v>235</v>
      </c>
      <c r="E50" s="37"/>
      <c r="F50" s="56" t="str">
        <f>IF($E$49="No", "Declaration from the applicant","")</f>
        <v/>
      </c>
      <c r="G50" s="56" t="str">
        <f>IF($E$49="No", "Declaration from the applicant","")</f>
        <v/>
      </c>
    </row>
    <row r="51" spans="1:7" ht="51.6" customHeight="1" x14ac:dyDescent="0.25">
      <c r="A51" s="57">
        <v>19</v>
      </c>
      <c r="B51" s="95" t="s">
        <v>26</v>
      </c>
      <c r="C51" s="56" t="s">
        <v>133</v>
      </c>
      <c r="D51" s="56" t="s">
        <v>236</v>
      </c>
      <c r="E51" s="62"/>
      <c r="F51" s="56"/>
      <c r="G51" s="56" t="s">
        <v>148</v>
      </c>
    </row>
    <row r="52" spans="1:7" ht="62.4" customHeight="1" x14ac:dyDescent="0.25">
      <c r="A52" s="60" t="s">
        <v>86</v>
      </c>
      <c r="B52" s="95"/>
      <c r="C52" s="56" t="str">
        <f>IF(E51="No", "If No, a declaration that the ERP does not have representation on the board of directors of any other ERP","")</f>
        <v/>
      </c>
      <c r="D52" s="56" t="s">
        <v>237</v>
      </c>
      <c r="E52" s="37"/>
      <c r="F52" s="56" t="str">
        <f>IF($E$51="No", "Declaration from the applicant","")</f>
        <v/>
      </c>
      <c r="G52" s="56" t="str">
        <f>IF($E$51="No", "Declaration from the applicant","")</f>
        <v/>
      </c>
    </row>
    <row r="53" spans="1:7" ht="90" x14ac:dyDescent="0.25">
      <c r="A53" s="57">
        <v>20</v>
      </c>
      <c r="B53" s="95" t="s">
        <v>27</v>
      </c>
      <c r="C53" s="56" t="s">
        <v>134</v>
      </c>
      <c r="D53" s="56" t="s">
        <v>238</v>
      </c>
      <c r="E53" s="62"/>
      <c r="F53" s="56"/>
      <c r="G53" s="56"/>
    </row>
    <row r="54" spans="1:7" ht="101.4" customHeight="1" x14ac:dyDescent="0.25">
      <c r="A54" s="60" t="s">
        <v>181</v>
      </c>
      <c r="B54" s="95"/>
      <c r="C54" s="56" t="str">
        <f>IF(E53="No", "If No, provide a declaration that the no shareholder holding 10% or more shares or voting rights in an ERP is holding 10% or more shares or voting rights, directly or indirectly, in any other ERP.",IF(E53="Yes", "Provide relevant details in Table 7",""))</f>
        <v/>
      </c>
      <c r="D54" s="56" t="s">
        <v>239</v>
      </c>
      <c r="E54" s="37"/>
      <c r="F54" s="56" t="str">
        <f>IF($E$53="No", "Declaration from the applicant",IF($E$53="Yes", "Provide relevant details in Table 7",""))</f>
        <v/>
      </c>
      <c r="G54" s="56" t="str">
        <f>IF($E$53="No", "Declaration from the applicant",IF($E$53="Yes", "Provide relevant details in Table 7",""))</f>
        <v/>
      </c>
    </row>
  </sheetData>
  <mergeCells count="23">
    <mergeCell ref="G22:G25"/>
    <mergeCell ref="G34:G36"/>
    <mergeCell ref="A17:A21"/>
    <mergeCell ref="B17:B21"/>
    <mergeCell ref="E17:E21"/>
    <mergeCell ref="F17:F21"/>
    <mergeCell ref="G17:G21"/>
    <mergeCell ref="B15:B16"/>
    <mergeCell ref="B22:B25"/>
    <mergeCell ref="B26:B28"/>
    <mergeCell ref="B29:B33"/>
    <mergeCell ref="B34:B36"/>
    <mergeCell ref="B2:B3"/>
    <mergeCell ref="B4:B5"/>
    <mergeCell ref="B6:B7"/>
    <mergeCell ref="B8:B10"/>
    <mergeCell ref="B11:B14"/>
    <mergeCell ref="B49:B50"/>
    <mergeCell ref="B51:B52"/>
    <mergeCell ref="B53:B54"/>
    <mergeCell ref="B39:B41"/>
    <mergeCell ref="B46:B48"/>
    <mergeCell ref="B43:B45"/>
  </mergeCells>
  <conditionalFormatting sqref="E3">
    <cfRule type="expression" dxfId="19" priority="32">
      <formula>$E$2="Yes"</formula>
    </cfRule>
  </conditionalFormatting>
  <conditionalFormatting sqref="E5">
    <cfRule type="expression" dxfId="18" priority="15">
      <formula>E4="Yes"</formula>
    </cfRule>
  </conditionalFormatting>
  <conditionalFormatting sqref="E7">
    <cfRule type="expression" dxfId="17" priority="5">
      <formula>E6="Yes"</formula>
    </cfRule>
  </conditionalFormatting>
  <conditionalFormatting sqref="E9">
    <cfRule type="expression" dxfId="16" priority="1">
      <formula>E8="Yes"</formula>
    </cfRule>
  </conditionalFormatting>
  <conditionalFormatting sqref="E10">
    <cfRule type="expression" dxfId="15" priority="18">
      <formula>$E$8="Yes"</formula>
    </cfRule>
  </conditionalFormatting>
  <conditionalFormatting sqref="E12">
    <cfRule type="expression" dxfId="14" priority="2">
      <formula>E11="Yes"</formula>
    </cfRule>
  </conditionalFormatting>
  <conditionalFormatting sqref="E13:E14">
    <cfRule type="expression" dxfId="13" priority="17">
      <formula>$E$11="Yes"</formula>
    </cfRule>
  </conditionalFormatting>
  <conditionalFormatting sqref="E16">
    <cfRule type="expression" dxfId="12" priority="3">
      <formula>E15="Yes"</formula>
    </cfRule>
  </conditionalFormatting>
  <conditionalFormatting sqref="E23">
    <cfRule type="expression" dxfId="11" priority="29">
      <formula>E22="Yes"</formula>
    </cfRule>
  </conditionalFormatting>
  <conditionalFormatting sqref="E27">
    <cfRule type="expression" dxfId="10" priority="7">
      <formula>NOT(ISBLANK($E$26))</formula>
    </cfRule>
  </conditionalFormatting>
  <conditionalFormatting sqref="E28">
    <cfRule type="expression" dxfId="9" priority="8">
      <formula>$E$27="Yes"</formula>
    </cfRule>
  </conditionalFormatting>
  <conditionalFormatting sqref="E35">
    <cfRule type="expression" dxfId="8" priority="25">
      <formula>E34="Yes"</formula>
    </cfRule>
  </conditionalFormatting>
  <conditionalFormatting sqref="E36">
    <cfRule type="expression" dxfId="7" priority="11">
      <formula>$E$34="Yes"</formula>
    </cfRule>
  </conditionalFormatting>
  <conditionalFormatting sqref="E40">
    <cfRule type="expression" dxfId="6" priority="22">
      <formula>$E$39="Yes"</formula>
    </cfRule>
  </conditionalFormatting>
  <conditionalFormatting sqref="E41">
    <cfRule type="expression" dxfId="5" priority="21">
      <formula>E39="No"</formula>
    </cfRule>
  </conditionalFormatting>
  <conditionalFormatting sqref="E45">
    <cfRule type="expression" dxfId="4" priority="10">
      <formula>$E$44="No"</formula>
    </cfRule>
  </conditionalFormatting>
  <conditionalFormatting sqref="E48">
    <cfRule type="expression" dxfId="3" priority="9">
      <formula>$E$47="No"</formula>
    </cfRule>
  </conditionalFormatting>
  <conditionalFormatting sqref="E50">
    <cfRule type="expression" dxfId="2" priority="33">
      <formula>$E$49="No"</formula>
    </cfRule>
  </conditionalFormatting>
  <conditionalFormatting sqref="E52">
    <cfRule type="expression" dxfId="1" priority="34">
      <formula>$E$51="No"</formula>
    </cfRule>
  </conditionalFormatting>
  <conditionalFormatting sqref="E54">
    <cfRule type="expression" dxfId="0" priority="35">
      <formula>$E$53="No"</formula>
    </cfRule>
  </conditionalFormatting>
  <dataValidations count="12">
    <dataValidation allowBlank="1" showInputMessage="1" showErrorMessage="1" prompt="Mention the Clause and Page numbers of the MoA in the format &quot;Clause XX and Page No. YY of the MoA&quot;." sqref="E5" xr:uid="{74ABCC1B-9D39-447C-93A5-B44A02493606}"/>
    <dataValidation type="decimal" operator="greaterThan" allowBlank="1" showInputMessage="1" showErrorMessage="1" error="Enter only a number" sqref="E14" xr:uid="{37A1163C-AFA9-4312-A5B1-99617CC3D0C6}">
      <formula1>0</formula1>
    </dataValidation>
    <dataValidation allowBlank="1" showInputMessage="1" showErrorMessage="1" prompt="Only Enter type of Intermediary such as &quot;Credit Rating Agency&quot; / &quot;Merchant Banker&quot; / &quot;Stock broker&quot; etc." sqref="E31" xr:uid="{00000000-0002-0000-0200-000004000000}"/>
    <dataValidation allowBlank="1" showInputMessage="1" showErrorMessage="1" prompt="If MD is not appointed, write &quot;NA&quot;" sqref="E43" xr:uid="{00000000-0002-0000-0200-000007000000}"/>
    <dataValidation allowBlank="1" showInputMessage="1" showErrorMessage="1" prompt="If CEO is not appointed, write &quot;NA&quot;" sqref="E46" xr:uid="{00000000-0002-0000-0200-000008000000}"/>
    <dataValidation type="date" operator="greaterThan" allowBlank="1" showInputMessage="1" showErrorMessage="1" error="Please enter a valid date" prompt="DD-MM-YYYY" sqref="E3" xr:uid="{C769FF14-7124-4EEE-BCB7-9EAB2183EEDA}">
      <formula1>367</formula1>
    </dataValidation>
    <dataValidation allowBlank="1" showInputMessage="1" showErrorMessage="1" prompt="DD-MM-YYYY" sqref="E33" xr:uid="{03A5E8B1-9A48-45A3-A01D-B2C3DB880203}"/>
    <dataValidation type="date" operator="greaterThan" allowBlank="1" showInputMessage="1" showErrorMessage="1" error="Enter a valid date in the DD-MM-YYYY format." prompt="DD-MM-YYYY" sqref="E10" xr:uid="{5EDE0461-71BF-4E70-AD2E-0463389B67E3}">
      <formula1>367</formula1>
    </dataValidation>
    <dataValidation type="decimal" operator="greaterThan" allowBlank="1" showInputMessage="1" showErrorMessage="1" prompt="Enter only amount (INR Lakhs)" sqref="E24:E25" xr:uid="{E1C100F5-27F0-4054-ACE9-2AF9E9FEADCD}">
      <formula1>0</formula1>
    </dataValidation>
    <dataValidation type="decimal" operator="greaterThan" allowBlank="1" showInputMessage="1" showErrorMessage="1" prompt="Enter the amount in Crores" sqref="E13" xr:uid="{818E535A-2801-4DFF-A2E5-627FCE3C3838}">
      <formula1>0</formula1>
    </dataValidation>
    <dataValidation type="date" operator="greaterThan" allowBlank="1" showInputMessage="1" showErrorMessage="1" error="Please enter a valid date in the DD-MM-YYYY format." prompt="DD-MM-YYYY" sqref="E36" xr:uid="{117E5405-FD02-45DC-8ED1-C0C7F988185F}">
      <formula1>367</formula1>
    </dataValidation>
    <dataValidation allowBlank="1" showInputMessage="1" showErrorMessage="1" prompt="Mention the Clause and Page numbers of the Business Plan in the format &quot;Clause XX and Page No. YY of the Business Plan&quot;." sqref="E16 E12 E9" xr:uid="{6C382231-58E1-44D1-A24E-BD63F232401A}"/>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9000000}">
          <x14:formula1>
            <xm:f>Reference!$C$3:$C$4</xm:f>
          </x14:formula1>
          <xm:sqref>E4 E2 E42 E51 E49 E8 E34 E37:E39 E22:E23 E53 E6 E29</xm:sqref>
        </x14:dataValidation>
        <x14:dataValidation type="list" allowBlank="1" showInputMessage="1" showErrorMessage="1" xr:uid="{00000000-0002-0000-0200-00000B000000}">
          <x14:formula1>
            <xm:f>Reference!$C$3:$C$5</xm:f>
          </x14:formula1>
          <xm:sqref>E44 E47 E27</xm:sqref>
        </x14:dataValidation>
        <x14:dataValidation type="list" allowBlank="1" showInputMessage="1" showErrorMessage="1" xr:uid="{00000000-0002-0000-0200-00000C000000}">
          <x14:formula1>
            <xm:f>Reference!$F$3:$F$4</xm:f>
          </x14:formula1>
          <xm:sqref>E45 E41 E50 E48 E28 E30</xm:sqref>
        </x14:dataValidation>
        <x14:dataValidation type="list" allowBlank="1" showInputMessage="1" showErrorMessage="1" xr:uid="{882F83F3-9C3B-4AAE-BE10-B81C568F01FE}">
          <x14:formula1>
            <xm:f>Reference!$G$3:$G$5</xm:f>
          </x14:formula1>
          <xm:sqref>E26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sheetPr>
  <dimension ref="A1:E12"/>
  <sheetViews>
    <sheetView showGridLines="0" zoomScaleNormal="100" workbookViewId="0">
      <selection activeCell="B3" sqref="B3:E7"/>
    </sheetView>
  </sheetViews>
  <sheetFormatPr defaultColWidth="9.109375" defaultRowHeight="13.8" x14ac:dyDescent="0.25"/>
  <cols>
    <col min="1" max="1" width="5.88671875" style="22" customWidth="1"/>
    <col min="2" max="2" width="31.109375" style="2" customWidth="1"/>
    <col min="3" max="3" width="23.44140625" style="2" customWidth="1"/>
    <col min="4" max="4" width="23.44140625" style="1" customWidth="1"/>
    <col min="5" max="5" width="34.33203125" style="1" customWidth="1"/>
    <col min="6" max="16384" width="9.109375" style="1"/>
  </cols>
  <sheetData>
    <row r="1" spans="1:5" ht="21.75" customHeight="1" x14ac:dyDescent="0.25">
      <c r="A1" s="101" t="s">
        <v>103</v>
      </c>
      <c r="B1" s="101"/>
      <c r="C1" s="101"/>
      <c r="D1" s="101"/>
      <c r="E1" s="101"/>
    </row>
    <row r="2" spans="1:5" ht="69.75" customHeight="1" x14ac:dyDescent="0.25">
      <c r="A2" s="21" t="s">
        <v>112</v>
      </c>
      <c r="B2" s="21" t="s">
        <v>44</v>
      </c>
      <c r="C2" s="21" t="s">
        <v>38</v>
      </c>
      <c r="D2" s="21" t="s">
        <v>74</v>
      </c>
      <c r="E2" s="21" t="s">
        <v>45</v>
      </c>
    </row>
    <row r="3" spans="1:5" x14ac:dyDescent="0.25">
      <c r="A3" s="28">
        <f>ROW()-2</f>
        <v>1</v>
      </c>
      <c r="B3" s="3"/>
      <c r="C3" s="3"/>
      <c r="D3" s="3"/>
      <c r="E3" s="4"/>
    </row>
    <row r="4" spans="1:5" x14ac:dyDescent="0.25">
      <c r="A4" s="28">
        <f t="shared" ref="A4:A9" si="0">ROW()-2</f>
        <v>2</v>
      </c>
      <c r="B4" s="3"/>
      <c r="C4" s="3"/>
      <c r="D4" s="3"/>
      <c r="E4" s="4"/>
    </row>
    <row r="5" spans="1:5" x14ac:dyDescent="0.25">
      <c r="A5" s="28">
        <f t="shared" si="0"/>
        <v>3</v>
      </c>
      <c r="B5" s="3"/>
      <c r="C5" s="3"/>
      <c r="D5" s="3"/>
      <c r="E5" s="4"/>
    </row>
    <row r="6" spans="1:5" x14ac:dyDescent="0.25">
      <c r="A6" s="28">
        <f t="shared" si="0"/>
        <v>4</v>
      </c>
      <c r="B6" s="3"/>
      <c r="C6" s="3"/>
      <c r="D6" s="3"/>
      <c r="E6" s="4"/>
    </row>
    <row r="7" spans="1:5" x14ac:dyDescent="0.25">
      <c r="A7" s="28">
        <f t="shared" si="0"/>
        <v>5</v>
      </c>
      <c r="B7" s="3"/>
      <c r="C7" s="3"/>
      <c r="D7" s="3"/>
      <c r="E7" s="4"/>
    </row>
    <row r="8" spans="1:5" x14ac:dyDescent="0.25">
      <c r="A8" s="28">
        <f t="shared" si="0"/>
        <v>6</v>
      </c>
      <c r="B8" s="3"/>
      <c r="C8" s="3"/>
      <c r="D8" s="3"/>
      <c r="E8" s="4"/>
    </row>
    <row r="9" spans="1:5" x14ac:dyDescent="0.25">
      <c r="A9" s="28">
        <f t="shared" si="0"/>
        <v>7</v>
      </c>
      <c r="B9" s="3"/>
      <c r="C9" s="3"/>
      <c r="D9" s="3"/>
      <c r="E9" s="4"/>
    </row>
    <row r="10" spans="1:5" x14ac:dyDescent="0.25">
      <c r="A10" s="28">
        <f>ROW()-2</f>
        <v>8</v>
      </c>
      <c r="B10" s="3"/>
      <c r="C10" s="3"/>
      <c r="D10" s="3"/>
      <c r="E10" s="4"/>
    </row>
    <row r="11" spans="1:5" x14ac:dyDescent="0.25">
      <c r="A11" s="28">
        <f>ROW()-2</f>
        <v>9</v>
      </c>
      <c r="B11" s="3"/>
      <c r="C11" s="3"/>
      <c r="D11" s="3"/>
      <c r="E11" s="4"/>
    </row>
    <row r="12" spans="1:5" x14ac:dyDescent="0.25">
      <c r="A12" s="28">
        <f>ROW()-2</f>
        <v>10</v>
      </c>
      <c r="B12" s="3"/>
      <c r="C12" s="3"/>
      <c r="D12" s="3"/>
      <c r="E12" s="4"/>
    </row>
  </sheetData>
  <mergeCells count="1">
    <mergeCell ref="A1:E1"/>
  </mergeCells>
  <dataValidations count="1">
    <dataValidation type="decimal" operator="lessThan" allowBlank="1" showInputMessage="1" showErrorMessage="1" prompt="Enter only number (without the % symbol). _x000a_Cannot be greater than 100." sqref="D3:D12" xr:uid="{00000000-0002-0000-0300-000000000000}">
      <formula1>100</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A1:H12"/>
  <sheetViews>
    <sheetView showGridLines="0" workbookViewId="0">
      <selection activeCell="B3" sqref="B3:H7"/>
    </sheetView>
  </sheetViews>
  <sheetFormatPr defaultRowHeight="14.4" x14ac:dyDescent="0.3"/>
  <cols>
    <col min="1" max="1" width="5" customWidth="1"/>
    <col min="2" max="2" width="36" customWidth="1"/>
    <col min="3" max="3" width="19.33203125" customWidth="1"/>
    <col min="4" max="4" width="19.109375" customWidth="1"/>
    <col min="5" max="5" width="16.88671875" customWidth="1"/>
    <col min="6" max="6" width="16" customWidth="1"/>
    <col min="7" max="7" width="17" customWidth="1"/>
    <col min="8" max="8" width="31.5546875" customWidth="1"/>
  </cols>
  <sheetData>
    <row r="1" spans="1:8" ht="23.25" customHeight="1" x14ac:dyDescent="0.3">
      <c r="A1" s="101" t="s">
        <v>122</v>
      </c>
      <c r="B1" s="101"/>
      <c r="C1" s="101"/>
      <c r="D1" s="101"/>
      <c r="E1" s="101"/>
      <c r="F1" s="101"/>
      <c r="G1" s="101"/>
      <c r="H1" s="101"/>
    </row>
    <row r="2" spans="1:8" s="18" customFormat="1" ht="41.4" x14ac:dyDescent="0.3">
      <c r="A2" s="21" t="s">
        <v>112</v>
      </c>
      <c r="B2" s="21" t="s">
        <v>96</v>
      </c>
      <c r="C2" s="21" t="s">
        <v>36</v>
      </c>
      <c r="D2" s="21" t="s">
        <v>120</v>
      </c>
      <c r="E2" s="21" t="s">
        <v>121</v>
      </c>
      <c r="F2" s="21" t="s">
        <v>0</v>
      </c>
      <c r="G2" s="21" t="s">
        <v>39</v>
      </c>
      <c r="H2" s="21" t="s">
        <v>40</v>
      </c>
    </row>
    <row r="3" spans="1:8" x14ac:dyDescent="0.3">
      <c r="A3" s="8">
        <f t="shared" ref="A3:A12" si="0">ROW()-2</f>
        <v>1</v>
      </c>
      <c r="B3" s="8"/>
      <c r="C3" s="8"/>
      <c r="D3" s="29"/>
      <c r="E3" s="8"/>
      <c r="F3" s="8"/>
      <c r="G3" s="64"/>
      <c r="H3" s="8"/>
    </row>
    <row r="4" spans="1:8" x14ac:dyDescent="0.3">
      <c r="A4" s="8">
        <f t="shared" si="0"/>
        <v>2</v>
      </c>
      <c r="B4" s="8"/>
      <c r="C4" s="8"/>
      <c r="D4" s="29"/>
      <c r="E4" s="8"/>
      <c r="F4" s="8"/>
      <c r="G4" s="64"/>
      <c r="H4" s="8"/>
    </row>
    <row r="5" spans="1:8" x14ac:dyDescent="0.3">
      <c r="A5" s="8">
        <f t="shared" si="0"/>
        <v>3</v>
      </c>
      <c r="B5" s="8"/>
      <c r="C5" s="8"/>
      <c r="D5" s="29"/>
      <c r="E5" s="8"/>
      <c r="F5" s="8"/>
      <c r="G5" s="64"/>
      <c r="H5" s="8"/>
    </row>
    <row r="6" spans="1:8" x14ac:dyDescent="0.3">
      <c r="A6" s="8">
        <f t="shared" si="0"/>
        <v>4</v>
      </c>
      <c r="B6" s="8"/>
      <c r="C6" s="8"/>
      <c r="D6" s="29"/>
      <c r="E6" s="8"/>
      <c r="F6" s="8"/>
      <c r="G6" s="8"/>
      <c r="H6" s="8"/>
    </row>
    <row r="7" spans="1:8" x14ac:dyDescent="0.3">
      <c r="A7" s="8">
        <f t="shared" si="0"/>
        <v>5</v>
      </c>
      <c r="B7" s="8"/>
      <c r="C7" s="8"/>
      <c r="D7" s="29"/>
      <c r="E7" s="8"/>
      <c r="F7" s="8"/>
      <c r="G7" s="8"/>
      <c r="H7" s="8"/>
    </row>
    <row r="8" spans="1:8" x14ac:dyDescent="0.3">
      <c r="A8" s="8">
        <f t="shared" si="0"/>
        <v>6</v>
      </c>
      <c r="B8" s="8"/>
      <c r="C8" s="8"/>
      <c r="D8" s="29"/>
      <c r="E8" s="8"/>
      <c r="F8" s="8"/>
      <c r="G8" s="8"/>
      <c r="H8" s="8"/>
    </row>
    <row r="9" spans="1:8" x14ac:dyDescent="0.3">
      <c r="A9" s="8">
        <f t="shared" si="0"/>
        <v>7</v>
      </c>
      <c r="B9" s="8"/>
      <c r="C9" s="8"/>
      <c r="D9" s="29"/>
      <c r="E9" s="8"/>
      <c r="F9" s="8"/>
      <c r="G9" s="8"/>
      <c r="H9" s="8"/>
    </row>
    <row r="10" spans="1:8" x14ac:dyDescent="0.3">
      <c r="A10" s="8">
        <f t="shared" si="0"/>
        <v>8</v>
      </c>
      <c r="B10" s="8"/>
      <c r="C10" s="8"/>
      <c r="D10" s="29"/>
      <c r="E10" s="8"/>
      <c r="F10" s="8"/>
      <c r="G10" s="8"/>
      <c r="H10" s="8"/>
    </row>
    <row r="11" spans="1:8" x14ac:dyDescent="0.3">
      <c r="A11" s="8">
        <f t="shared" si="0"/>
        <v>9</v>
      </c>
      <c r="B11" s="8"/>
      <c r="C11" s="8"/>
      <c r="D11" s="29"/>
      <c r="E11" s="8"/>
      <c r="F11" s="8"/>
      <c r="G11" s="8"/>
      <c r="H11" s="8"/>
    </row>
    <row r="12" spans="1:8" x14ac:dyDescent="0.3">
      <c r="A12" s="8">
        <f t="shared" si="0"/>
        <v>10</v>
      </c>
      <c r="B12" s="8"/>
      <c r="C12" s="8"/>
      <c r="D12" s="29"/>
      <c r="E12" s="8"/>
      <c r="F12" s="8"/>
      <c r="G12" s="8"/>
      <c r="H12" s="8"/>
    </row>
  </sheetData>
  <mergeCells count="1">
    <mergeCell ref="A1:H1"/>
  </mergeCells>
  <dataValidations count="2">
    <dataValidation type="textLength" operator="equal" allowBlank="1" showInputMessage="1" showErrorMessage="1" prompt="PAN must be 10 characters. If not applicable / available, leave blank." sqref="F3:F12" xr:uid="{00000000-0002-0000-0400-000000000000}">
      <formula1>10</formula1>
    </dataValidation>
    <dataValidation type="date" operator="greaterThan" allowBlank="1" showInputMessage="1" showErrorMessage="1" prompt="Enter a date." sqref="G3:G12" xr:uid="{00000000-0002-0000-0400-000001000000}">
      <formula1>367</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Reference!$E$3:$E$4</xm:f>
          </x14:formula1>
          <xm:sqref>D3:D12</xm:sqref>
        </x14:dataValidation>
        <x14:dataValidation type="list" allowBlank="1" showInputMessage="1" showErrorMessage="1" xr:uid="{00000000-0002-0000-0400-000003000000}">
          <x14:formula1>
            <xm:f>Reference!$E$6:$E$7</xm:f>
          </x14:formula1>
          <xm:sqref>E3:E12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79998168889431442"/>
  </sheetPr>
  <dimension ref="A1:H12"/>
  <sheetViews>
    <sheetView showGridLines="0" zoomScaleNormal="100" workbookViewId="0">
      <selection sqref="A1:H1"/>
    </sheetView>
  </sheetViews>
  <sheetFormatPr defaultColWidth="9.109375" defaultRowHeight="13.8" x14ac:dyDescent="0.25"/>
  <cols>
    <col min="1" max="1" width="5.88671875" style="19" customWidth="1"/>
    <col min="2" max="2" width="28.88671875" style="2" customWidth="1"/>
    <col min="3" max="3" width="22.109375" style="2" customWidth="1"/>
    <col min="4" max="4" width="23.44140625" style="2" customWidth="1"/>
    <col min="5" max="5" width="20" style="2" customWidth="1"/>
    <col min="6" max="7" width="23.44140625" style="2" customWidth="1"/>
    <col min="8" max="8" width="34.44140625" style="2" customWidth="1"/>
    <col min="9" max="16384" width="9.109375" style="1"/>
  </cols>
  <sheetData>
    <row r="1" spans="1:8" ht="27.75" customHeight="1" x14ac:dyDescent="0.25">
      <c r="A1" s="101" t="s">
        <v>104</v>
      </c>
      <c r="B1" s="101"/>
      <c r="C1" s="101"/>
      <c r="D1" s="101"/>
      <c r="E1" s="101"/>
      <c r="F1" s="101"/>
      <c r="G1" s="101"/>
      <c r="H1" s="101"/>
    </row>
    <row r="2" spans="1:8" ht="54" customHeight="1" x14ac:dyDescent="0.25">
      <c r="A2" s="21" t="s">
        <v>112</v>
      </c>
      <c r="B2" s="21" t="s">
        <v>28</v>
      </c>
      <c r="C2" s="21" t="s">
        <v>42</v>
      </c>
      <c r="D2" s="21" t="s">
        <v>43</v>
      </c>
      <c r="E2" s="21" t="s">
        <v>31</v>
      </c>
      <c r="F2" s="21" t="s">
        <v>29</v>
      </c>
      <c r="G2" s="21" t="s">
        <v>30</v>
      </c>
      <c r="H2" s="21" t="s">
        <v>41</v>
      </c>
    </row>
    <row r="3" spans="1:8" s="11" customFormat="1" ht="14.4" x14ac:dyDescent="0.3">
      <c r="A3" s="25">
        <f>ROW()-2</f>
        <v>1</v>
      </c>
      <c r="B3" s="10"/>
      <c r="C3" s="10"/>
      <c r="D3" s="12"/>
      <c r="E3" s="13"/>
      <c r="F3" s="13"/>
      <c r="G3" s="13"/>
      <c r="H3" s="13"/>
    </row>
    <row r="4" spans="1:8" s="11" customFormat="1" ht="14.4" x14ac:dyDescent="0.3">
      <c r="A4" s="25">
        <f>ROW()-2</f>
        <v>2</v>
      </c>
      <c r="B4" s="10"/>
      <c r="C4" s="10"/>
      <c r="D4" s="12"/>
      <c r="E4" s="13"/>
      <c r="F4" s="13"/>
      <c r="G4" s="13"/>
      <c r="H4" s="13"/>
    </row>
    <row r="5" spans="1:8" ht="14.4" x14ac:dyDescent="0.3">
      <c r="A5" s="25">
        <f>ROW()-2</f>
        <v>3</v>
      </c>
      <c r="B5" s="10"/>
      <c r="C5" s="10"/>
      <c r="D5" s="12"/>
      <c r="E5" s="13"/>
      <c r="F5" s="13"/>
      <c r="G5" s="13"/>
      <c r="H5" s="13"/>
    </row>
    <row r="6" spans="1:8" ht="14.4" x14ac:dyDescent="0.3">
      <c r="A6" s="25">
        <f>ROW()-2</f>
        <v>4</v>
      </c>
      <c r="B6" s="3"/>
      <c r="C6" s="3"/>
      <c r="D6" s="3"/>
      <c r="E6" s="3"/>
      <c r="F6" s="3"/>
      <c r="G6" s="3"/>
      <c r="H6" s="3"/>
    </row>
    <row r="7" spans="1:8" ht="14.4" x14ac:dyDescent="0.3">
      <c r="A7" s="25">
        <f>ROW()-2</f>
        <v>5</v>
      </c>
      <c r="B7" s="3"/>
      <c r="C7" s="3"/>
      <c r="D7" s="3"/>
      <c r="E7" s="3"/>
      <c r="F7" s="3"/>
      <c r="G7" s="3"/>
      <c r="H7" s="3"/>
    </row>
    <row r="8" spans="1:8" ht="14.4" x14ac:dyDescent="0.3">
      <c r="A8" s="25">
        <f t="shared" ref="A8:A12" si="0">ROW()-2</f>
        <v>6</v>
      </c>
      <c r="B8" s="3"/>
      <c r="C8" s="3"/>
      <c r="D8" s="3"/>
      <c r="E8" s="3"/>
      <c r="F8" s="3"/>
      <c r="G8" s="3"/>
      <c r="H8" s="3"/>
    </row>
    <row r="9" spans="1:8" ht="14.4" x14ac:dyDescent="0.3">
      <c r="A9" s="25">
        <f t="shared" si="0"/>
        <v>7</v>
      </c>
      <c r="B9" s="3"/>
      <c r="C9" s="3"/>
      <c r="D9" s="3"/>
      <c r="E9" s="3"/>
      <c r="F9" s="3"/>
      <c r="G9" s="3"/>
      <c r="H9" s="3"/>
    </row>
    <row r="10" spans="1:8" ht="14.4" x14ac:dyDescent="0.3">
      <c r="A10" s="25">
        <f t="shared" si="0"/>
        <v>8</v>
      </c>
      <c r="B10" s="3"/>
      <c r="C10" s="3"/>
      <c r="D10" s="3"/>
      <c r="E10" s="3"/>
      <c r="F10" s="3"/>
      <c r="G10" s="3"/>
      <c r="H10" s="3"/>
    </row>
    <row r="11" spans="1:8" ht="14.4" x14ac:dyDescent="0.3">
      <c r="A11" s="25">
        <f t="shared" si="0"/>
        <v>9</v>
      </c>
      <c r="B11" s="3"/>
      <c r="C11" s="3"/>
      <c r="D11" s="3"/>
      <c r="E11" s="3"/>
      <c r="F11" s="3"/>
      <c r="G11" s="3"/>
      <c r="H11" s="3"/>
    </row>
    <row r="12" spans="1:8" ht="14.4" x14ac:dyDescent="0.3">
      <c r="A12" s="25">
        <f t="shared" si="0"/>
        <v>10</v>
      </c>
      <c r="B12" s="3"/>
      <c r="C12" s="3"/>
      <c r="D12" s="3"/>
      <c r="E12" s="3"/>
      <c r="F12" s="3"/>
      <c r="G12" s="3"/>
      <c r="H12" s="3"/>
    </row>
  </sheetData>
  <mergeCells count="1">
    <mergeCell ref="A1:H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79998168889431442"/>
  </sheetPr>
  <dimension ref="A1:D12"/>
  <sheetViews>
    <sheetView showGridLines="0" zoomScaleNormal="100" workbookViewId="0">
      <selection sqref="A1:D1"/>
    </sheetView>
  </sheetViews>
  <sheetFormatPr defaultColWidth="9.109375" defaultRowHeight="13.8" x14ac:dyDescent="0.25"/>
  <cols>
    <col min="1" max="1" width="5.88671875" style="22" customWidth="1"/>
    <col min="2" max="2" width="36.33203125" style="2" customWidth="1"/>
    <col min="3" max="3" width="42" style="2" customWidth="1"/>
    <col min="4" max="4" width="21" style="2" customWidth="1"/>
    <col min="5" max="16384" width="9.109375" style="1"/>
  </cols>
  <sheetData>
    <row r="1" spans="1:4" ht="27.75" customHeight="1" x14ac:dyDescent="0.25">
      <c r="A1" s="102" t="s">
        <v>105</v>
      </c>
      <c r="B1" s="102"/>
      <c r="C1" s="102"/>
      <c r="D1" s="102"/>
    </row>
    <row r="2" spans="1:4" ht="32.25" customHeight="1" x14ac:dyDescent="0.25">
      <c r="A2" s="21" t="s">
        <v>112</v>
      </c>
      <c r="B2" s="21" t="s">
        <v>32</v>
      </c>
      <c r="C2" s="21" t="s">
        <v>33</v>
      </c>
      <c r="D2" s="21" t="s">
        <v>34</v>
      </c>
    </row>
    <row r="3" spans="1:4" x14ac:dyDescent="0.25">
      <c r="A3" s="28">
        <f>ROW()-2</f>
        <v>1</v>
      </c>
      <c r="B3" s="3"/>
      <c r="C3" s="3"/>
      <c r="D3" s="3"/>
    </row>
    <row r="4" spans="1:4" x14ac:dyDescent="0.25">
      <c r="A4" s="28">
        <f>ROW()-2</f>
        <v>2</v>
      </c>
      <c r="B4" s="3"/>
      <c r="C4" s="3"/>
      <c r="D4" s="3"/>
    </row>
    <row r="5" spans="1:4" x14ac:dyDescent="0.25">
      <c r="A5" s="28">
        <f>ROW()-2</f>
        <v>3</v>
      </c>
      <c r="B5" s="3"/>
      <c r="C5" s="3"/>
      <c r="D5" s="3"/>
    </row>
    <row r="6" spans="1:4" x14ac:dyDescent="0.25">
      <c r="A6" s="28">
        <f>ROW()-2</f>
        <v>4</v>
      </c>
      <c r="B6" s="3"/>
      <c r="C6" s="3"/>
      <c r="D6" s="3"/>
    </row>
    <row r="7" spans="1:4" x14ac:dyDescent="0.25">
      <c r="A7" s="28">
        <f>ROW()-2</f>
        <v>5</v>
      </c>
      <c r="B7" s="3"/>
      <c r="C7" s="3"/>
      <c r="D7" s="3"/>
    </row>
    <row r="8" spans="1:4" x14ac:dyDescent="0.25">
      <c r="A8" s="28">
        <f t="shared" ref="A8:A12" si="0">ROW()-2</f>
        <v>6</v>
      </c>
      <c r="B8" s="3"/>
      <c r="C8" s="3"/>
      <c r="D8" s="3"/>
    </row>
    <row r="9" spans="1:4" x14ac:dyDescent="0.25">
      <c r="A9" s="28">
        <f t="shared" si="0"/>
        <v>7</v>
      </c>
      <c r="B9" s="3"/>
      <c r="C9" s="3"/>
      <c r="D9" s="3"/>
    </row>
    <row r="10" spans="1:4" x14ac:dyDescent="0.25">
      <c r="A10" s="28">
        <f t="shared" si="0"/>
        <v>8</v>
      </c>
      <c r="B10" s="3"/>
      <c r="C10" s="3"/>
      <c r="D10" s="3"/>
    </row>
    <row r="11" spans="1:4" x14ac:dyDescent="0.25">
      <c r="A11" s="28">
        <f t="shared" si="0"/>
        <v>9</v>
      </c>
      <c r="B11" s="3"/>
      <c r="C11" s="3"/>
      <c r="D11" s="3"/>
    </row>
    <row r="12" spans="1:4" x14ac:dyDescent="0.25">
      <c r="A12" s="28">
        <f t="shared" si="0"/>
        <v>10</v>
      </c>
      <c r="B12" s="3"/>
      <c r="C12" s="3"/>
      <c r="D12" s="3"/>
    </row>
  </sheetData>
  <mergeCells count="1">
    <mergeCell ref="A1:D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5E307-6FB4-4A62-936F-10EBAEF72758}">
  <sheetPr>
    <tabColor theme="8" tint="0.79998168889431442"/>
  </sheetPr>
  <dimension ref="A1:T12"/>
  <sheetViews>
    <sheetView showGridLines="0" topLeftCell="F1" zoomScaleNormal="100" workbookViewId="0">
      <selection activeCell="R2" sqref="J1:R1048576"/>
    </sheetView>
  </sheetViews>
  <sheetFormatPr defaultColWidth="9.109375" defaultRowHeight="13.8" x14ac:dyDescent="0.25"/>
  <cols>
    <col min="1" max="1" width="4.44140625" style="19" bestFit="1" customWidth="1"/>
    <col min="2" max="2" width="20" style="2" bestFit="1" customWidth="1"/>
    <col min="3" max="3" width="13.33203125" style="2" bestFit="1" customWidth="1"/>
    <col min="4" max="5" width="12.5546875" style="2" customWidth="1"/>
    <col min="6" max="6" width="27.5546875" style="2" customWidth="1"/>
    <col min="7" max="7" width="13.5546875" style="2" customWidth="1"/>
    <col min="8" max="8" width="10.44140625" style="2" customWidth="1"/>
    <col min="9" max="9" width="20.6640625" style="2" customWidth="1"/>
    <col min="10" max="10" width="10.44140625" style="2" customWidth="1"/>
    <col min="11" max="17" width="10.44140625" style="2" hidden="1" customWidth="1"/>
    <col min="18" max="18" width="39.33203125" style="2" customWidth="1"/>
    <col min="19" max="19" width="20" style="2" bestFit="1" customWidth="1"/>
    <col min="20" max="20" width="44.6640625" style="2" bestFit="1" customWidth="1"/>
    <col min="21" max="16384" width="9.109375" style="1"/>
  </cols>
  <sheetData>
    <row r="1" spans="1:20" ht="27.75" customHeight="1" x14ac:dyDescent="0.25">
      <c r="A1" s="102" t="s">
        <v>138</v>
      </c>
      <c r="B1" s="102"/>
      <c r="C1" s="102"/>
      <c r="D1" s="102"/>
      <c r="E1" s="102"/>
      <c r="F1" s="102"/>
      <c r="G1" s="102"/>
      <c r="H1" s="102"/>
      <c r="I1" s="102"/>
      <c r="J1" s="102"/>
      <c r="K1" s="102"/>
      <c r="L1" s="102"/>
      <c r="M1" s="102"/>
      <c r="N1" s="102"/>
      <c r="O1" s="102"/>
      <c r="P1" s="102"/>
      <c r="Q1" s="102"/>
      <c r="R1" s="102"/>
      <c r="S1" s="102"/>
      <c r="T1" s="102"/>
    </row>
    <row r="2" spans="1:20" s="20" customFormat="1" ht="41.4" x14ac:dyDescent="0.3">
      <c r="A2" s="23" t="s">
        <v>112</v>
      </c>
      <c r="B2" s="23" t="s">
        <v>35</v>
      </c>
      <c r="C2" s="23" t="s">
        <v>36</v>
      </c>
      <c r="D2" s="23" t="s">
        <v>87</v>
      </c>
      <c r="E2" s="23" t="s">
        <v>88</v>
      </c>
      <c r="F2" s="23" t="s">
        <v>198</v>
      </c>
      <c r="G2" s="23" t="s">
        <v>197</v>
      </c>
      <c r="H2" s="23" t="s">
        <v>91</v>
      </c>
      <c r="I2" s="23" t="s">
        <v>92</v>
      </c>
      <c r="J2" s="23" t="s">
        <v>93</v>
      </c>
      <c r="K2" s="23" t="s">
        <v>196</v>
      </c>
      <c r="L2" s="23" t="s">
        <v>195</v>
      </c>
      <c r="M2" s="23" t="s">
        <v>194</v>
      </c>
      <c r="N2" s="23" t="s">
        <v>193</v>
      </c>
      <c r="O2" s="23" t="s">
        <v>91</v>
      </c>
      <c r="P2" s="23" t="s">
        <v>192</v>
      </c>
      <c r="Q2" s="23" t="s">
        <v>93</v>
      </c>
      <c r="R2" s="23" t="s">
        <v>46</v>
      </c>
      <c r="S2" s="23" t="s">
        <v>37</v>
      </c>
      <c r="T2" s="23" t="s">
        <v>137</v>
      </c>
    </row>
    <row r="3" spans="1:20" ht="15" x14ac:dyDescent="0.25">
      <c r="A3" s="26">
        <f t="shared" ref="A3:A12" si="0">ROW()-2</f>
        <v>1</v>
      </c>
      <c r="B3" s="3" t="s">
        <v>323</v>
      </c>
      <c r="C3" s="3" t="s">
        <v>324</v>
      </c>
      <c r="D3" s="3"/>
      <c r="E3" s="3"/>
      <c r="F3" s="3"/>
      <c r="G3" s="3"/>
      <c r="H3" s="3"/>
      <c r="I3" s="3"/>
      <c r="J3" s="3"/>
      <c r="K3" s="3" t="b">
        <v>1</v>
      </c>
      <c r="L3" s="3"/>
      <c r="M3" s="3"/>
      <c r="N3" s="3"/>
      <c r="O3" s="3" t="b">
        <v>1</v>
      </c>
      <c r="P3" s="3"/>
      <c r="Q3" s="3"/>
      <c r="R3" s="7" t="str">
        <f>_xlfn.TEXTJOIN(", ", TRUE, IF(K3=TRUE, $D$2, ""), IF(L3=TRUE, $E$2, ""), IF(M3=TRUE, $F$2, ""), IF(N3=TRUE, $G$2, ""), IF(O3=TRUE, $H$2, ""), IF(P3=TRUE, $I$2, ""), IF(Q3=TRUE, $J$2, ""))</f>
        <v>Governance, Finance</v>
      </c>
      <c r="S3" s="3"/>
      <c r="T3" s="3"/>
    </row>
    <row r="4" spans="1:20" ht="30" x14ac:dyDescent="0.25">
      <c r="A4" s="26">
        <f t="shared" si="0"/>
        <v>2</v>
      </c>
      <c r="B4" s="3" t="s">
        <v>325</v>
      </c>
      <c r="C4" s="3" t="s">
        <v>326</v>
      </c>
      <c r="D4" s="3"/>
      <c r="E4" s="3"/>
      <c r="F4" s="3"/>
      <c r="G4" s="3"/>
      <c r="H4" s="3"/>
      <c r="I4" s="3"/>
      <c r="J4" s="3"/>
      <c r="K4" s="3"/>
      <c r="L4" s="3" t="b">
        <v>1</v>
      </c>
      <c r="M4" s="3"/>
      <c r="N4" s="3" t="b">
        <v>1</v>
      </c>
      <c r="O4" s="3"/>
      <c r="P4" s="3" t="b">
        <v>1</v>
      </c>
      <c r="Q4" s="3"/>
      <c r="R4" s="7" t="str">
        <f t="shared" ref="R4:R12" si="1">_xlfn.TEXTJOIN(", ", TRUE, IF(K4=TRUE, $D$2, ""), IF(L4=TRUE, $E$2, ""), IF(M4=TRUE, $F$2, ""), IF(N4=TRUE, $G$2, ""), IF(O4=TRUE, $H$2, ""), IF(P4=TRUE, $I$2, ""), IF(Q4=TRUE, $J$2, ""))</f>
        <v>Sustainability, Data Analytics, Information Technology</v>
      </c>
      <c r="S4" s="3"/>
      <c r="T4" s="3"/>
    </row>
    <row r="5" spans="1:20" ht="30" x14ac:dyDescent="0.25">
      <c r="A5" s="26">
        <f t="shared" si="0"/>
        <v>3</v>
      </c>
      <c r="B5" s="3" t="s">
        <v>327</v>
      </c>
      <c r="C5" s="3" t="s">
        <v>328</v>
      </c>
      <c r="D5" s="3"/>
      <c r="E5" s="3"/>
      <c r="F5" s="3"/>
      <c r="G5" s="3"/>
      <c r="H5" s="3"/>
      <c r="I5" s="3"/>
      <c r="J5" s="3"/>
      <c r="K5" s="3"/>
      <c r="L5" s="3"/>
      <c r="M5" s="3" t="b">
        <v>1</v>
      </c>
      <c r="N5" s="3"/>
      <c r="O5" s="3"/>
      <c r="P5" s="3"/>
      <c r="Q5" s="3" t="b">
        <v>1</v>
      </c>
      <c r="R5" s="7" t="str">
        <f t="shared" si="1"/>
        <v>Social Impact / Social Responsibility, Law</v>
      </c>
      <c r="S5" s="3"/>
      <c r="T5" s="3"/>
    </row>
    <row r="6" spans="1:20" ht="15" x14ac:dyDescent="0.25">
      <c r="A6" s="26">
        <f t="shared" si="0"/>
        <v>4</v>
      </c>
      <c r="B6" s="3" t="s">
        <v>329</v>
      </c>
      <c r="C6" s="3" t="s">
        <v>330</v>
      </c>
      <c r="D6" s="3"/>
      <c r="E6" s="3"/>
      <c r="F6" s="3"/>
      <c r="G6" s="3"/>
      <c r="H6" s="3"/>
      <c r="I6" s="3"/>
      <c r="J6" s="3"/>
      <c r="K6" s="3" t="b">
        <v>1</v>
      </c>
      <c r="L6" s="3"/>
      <c r="M6" s="3"/>
      <c r="N6" s="3"/>
      <c r="O6" s="3"/>
      <c r="P6" s="3"/>
      <c r="Q6" s="3"/>
      <c r="R6" s="7" t="str">
        <f t="shared" si="1"/>
        <v>Governance</v>
      </c>
      <c r="S6" s="3"/>
      <c r="T6" s="3"/>
    </row>
    <row r="7" spans="1:20" ht="30" x14ac:dyDescent="0.25">
      <c r="A7" s="26">
        <f t="shared" si="0"/>
        <v>5</v>
      </c>
      <c r="B7" s="3" t="s">
        <v>331</v>
      </c>
      <c r="C7" s="3" t="s">
        <v>332</v>
      </c>
      <c r="D7" s="3"/>
      <c r="E7" s="3"/>
      <c r="F7" s="3"/>
      <c r="G7" s="3"/>
      <c r="H7" s="3"/>
      <c r="I7" s="3"/>
      <c r="J7" s="3"/>
      <c r="K7" s="3"/>
      <c r="L7" s="3" t="b">
        <v>1</v>
      </c>
      <c r="M7" s="3" t="b">
        <v>1</v>
      </c>
      <c r="N7" s="3" t="b">
        <v>1</v>
      </c>
      <c r="O7" s="3"/>
      <c r="P7" s="3"/>
      <c r="Q7" s="3"/>
      <c r="R7" s="7" t="str">
        <f t="shared" si="1"/>
        <v>Sustainability, Social Impact / Social Responsibility, Data Analytics</v>
      </c>
      <c r="S7" s="3"/>
      <c r="T7" s="3"/>
    </row>
    <row r="8" spans="1:20" ht="15" x14ac:dyDescent="0.25">
      <c r="A8" s="26">
        <f t="shared" si="0"/>
        <v>6</v>
      </c>
      <c r="B8" s="3" t="s">
        <v>333</v>
      </c>
      <c r="C8" s="3" t="s">
        <v>335</v>
      </c>
      <c r="D8" s="3"/>
      <c r="E8" s="3"/>
      <c r="F8" s="3"/>
      <c r="G8" s="3"/>
      <c r="H8" s="3"/>
      <c r="I8" s="3"/>
      <c r="J8" s="3"/>
      <c r="K8" s="3"/>
      <c r="L8" s="3"/>
      <c r="M8" s="3"/>
      <c r="N8" s="3"/>
      <c r="O8" s="3"/>
      <c r="P8" s="3"/>
      <c r="Q8" s="3" t="b">
        <v>1</v>
      </c>
      <c r="R8" s="7" t="str">
        <f t="shared" si="1"/>
        <v>Law</v>
      </c>
      <c r="S8" s="3"/>
      <c r="T8" s="3"/>
    </row>
    <row r="9" spans="1:20" ht="15" x14ac:dyDescent="0.25">
      <c r="A9" s="26">
        <f t="shared" si="0"/>
        <v>7</v>
      </c>
      <c r="B9" s="3" t="s">
        <v>334</v>
      </c>
      <c r="C9" s="3" t="s">
        <v>335</v>
      </c>
      <c r="D9" s="3"/>
      <c r="E9" s="3"/>
      <c r="F9" s="3"/>
      <c r="G9" s="3"/>
      <c r="H9" s="3"/>
      <c r="I9" s="3"/>
      <c r="J9" s="3"/>
      <c r="K9" s="3"/>
      <c r="L9" s="3"/>
      <c r="M9" s="3"/>
      <c r="N9" s="3"/>
      <c r="O9" s="3"/>
      <c r="P9" s="3"/>
      <c r="Q9" s="3" t="b">
        <v>1</v>
      </c>
      <c r="R9" s="7" t="str">
        <f t="shared" si="1"/>
        <v>Law</v>
      </c>
      <c r="S9" s="3"/>
      <c r="T9" s="3"/>
    </row>
    <row r="10" spans="1:20" ht="45" x14ac:dyDescent="0.25">
      <c r="A10" s="26">
        <f t="shared" si="0"/>
        <v>8</v>
      </c>
      <c r="B10" s="3" t="s">
        <v>336</v>
      </c>
      <c r="C10" s="3" t="s">
        <v>337</v>
      </c>
      <c r="D10" s="3"/>
      <c r="E10" s="3"/>
      <c r="F10" s="3"/>
      <c r="G10" s="3"/>
      <c r="H10" s="3"/>
      <c r="I10" s="3"/>
      <c r="J10" s="3"/>
      <c r="K10" s="3"/>
      <c r="L10" s="3" t="b">
        <v>1</v>
      </c>
      <c r="M10" s="3" t="b">
        <v>1</v>
      </c>
      <c r="N10" s="3" t="b">
        <v>1</v>
      </c>
      <c r="O10" s="3" t="b">
        <v>1</v>
      </c>
      <c r="P10" s="3" t="b">
        <v>1</v>
      </c>
      <c r="Q10" s="3"/>
      <c r="R10" s="7" t="str">
        <f t="shared" si="1"/>
        <v>Sustainability, Social Impact / Social Responsibility, Data Analytics, Finance, Information Technology</v>
      </c>
      <c r="S10" s="3"/>
      <c r="T10" s="3"/>
    </row>
    <row r="11" spans="1:20" ht="15" x14ac:dyDescent="0.25">
      <c r="A11" s="26">
        <f t="shared" si="0"/>
        <v>9</v>
      </c>
      <c r="B11" s="3"/>
      <c r="C11" s="3"/>
      <c r="D11" s="3"/>
      <c r="E11" s="3"/>
      <c r="F11" s="3"/>
      <c r="G11" s="3"/>
      <c r="H11" s="3"/>
      <c r="I11" s="3"/>
      <c r="J11" s="3"/>
      <c r="K11" s="3"/>
      <c r="L11" s="3"/>
      <c r="M11" s="3"/>
      <c r="N11" s="3"/>
      <c r="O11" s="3"/>
      <c r="P11" s="3"/>
      <c r="Q11" s="3"/>
      <c r="R11" s="7" t="str">
        <f t="shared" si="1"/>
        <v/>
      </c>
      <c r="S11" s="3"/>
      <c r="T11" s="3"/>
    </row>
    <row r="12" spans="1:20" ht="15" x14ac:dyDescent="0.25">
      <c r="A12" s="26">
        <f t="shared" si="0"/>
        <v>10</v>
      </c>
      <c r="B12" s="3"/>
      <c r="C12" s="3"/>
      <c r="D12" s="3"/>
      <c r="E12" s="3"/>
      <c r="F12" s="3"/>
      <c r="G12" s="3"/>
      <c r="H12" s="3"/>
      <c r="I12" s="3"/>
      <c r="J12" s="3"/>
      <c r="K12" s="3"/>
      <c r="L12" s="3"/>
      <c r="M12" s="3"/>
      <c r="N12" s="3"/>
      <c r="O12" s="3"/>
      <c r="P12" s="3"/>
      <c r="Q12" s="3"/>
      <c r="R12" s="7" t="str">
        <f t="shared" si="1"/>
        <v/>
      </c>
      <c r="S12" s="3"/>
      <c r="T12" s="3"/>
    </row>
  </sheetData>
  <mergeCells count="1">
    <mergeCell ref="A1:T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5</xdr:col>
                    <xdr:colOff>30480</xdr:colOff>
                    <xdr:row>1</xdr:row>
                    <xdr:rowOff>502920</xdr:rowOff>
                  </from>
                  <to>
                    <xdr:col>6</xdr:col>
                    <xdr:colOff>0</xdr:colOff>
                    <xdr:row>2</xdr:row>
                    <xdr:rowOff>213360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6</xdr:col>
                    <xdr:colOff>7620</xdr:colOff>
                    <xdr:row>2</xdr:row>
                    <xdr:rowOff>7620</xdr:rowOff>
                  </from>
                  <to>
                    <xdr:col>6</xdr:col>
                    <xdr:colOff>899160</xdr:colOff>
                    <xdr:row>2</xdr:row>
                    <xdr:rowOff>213360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60960</xdr:colOff>
                    <xdr:row>1</xdr:row>
                    <xdr:rowOff>518160</xdr:rowOff>
                  </from>
                  <to>
                    <xdr:col>8</xdr:col>
                    <xdr:colOff>0</xdr:colOff>
                    <xdr:row>2</xdr:row>
                    <xdr:rowOff>213360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8</xdr:col>
                    <xdr:colOff>45720</xdr:colOff>
                    <xdr:row>1</xdr:row>
                    <xdr:rowOff>518160</xdr:rowOff>
                  </from>
                  <to>
                    <xdr:col>9</xdr:col>
                    <xdr:colOff>0</xdr:colOff>
                    <xdr:row>2</xdr:row>
                    <xdr:rowOff>213360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9</xdr:col>
                    <xdr:colOff>22860</xdr:colOff>
                    <xdr:row>1</xdr:row>
                    <xdr:rowOff>518160</xdr:rowOff>
                  </from>
                  <to>
                    <xdr:col>9</xdr:col>
                    <xdr:colOff>487680</xdr:colOff>
                    <xdr:row>2</xdr:row>
                    <xdr:rowOff>213360</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3</xdr:col>
                    <xdr:colOff>7620</xdr:colOff>
                    <xdr:row>2</xdr:row>
                    <xdr:rowOff>0</xdr:rowOff>
                  </from>
                  <to>
                    <xdr:col>3</xdr:col>
                    <xdr:colOff>746760</xdr:colOff>
                    <xdr:row>2</xdr:row>
                    <xdr:rowOff>213360</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4</xdr:col>
                    <xdr:colOff>22860</xdr:colOff>
                    <xdr:row>1</xdr:row>
                    <xdr:rowOff>518160</xdr:rowOff>
                  </from>
                  <to>
                    <xdr:col>4</xdr:col>
                    <xdr:colOff>762000</xdr:colOff>
                    <xdr:row>2</xdr:row>
                    <xdr:rowOff>213360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30480</xdr:colOff>
                    <xdr:row>2</xdr:row>
                    <xdr:rowOff>502920</xdr:rowOff>
                  </from>
                  <to>
                    <xdr:col>6</xdr:col>
                    <xdr:colOff>0</xdr:colOff>
                    <xdr:row>3</xdr:row>
                    <xdr:rowOff>190500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6</xdr:col>
                    <xdr:colOff>7620</xdr:colOff>
                    <xdr:row>3</xdr:row>
                    <xdr:rowOff>7620</xdr:rowOff>
                  </from>
                  <to>
                    <xdr:col>6</xdr:col>
                    <xdr:colOff>899160</xdr:colOff>
                    <xdr:row>3</xdr:row>
                    <xdr:rowOff>190500</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7</xdr:col>
                    <xdr:colOff>60960</xdr:colOff>
                    <xdr:row>2</xdr:row>
                    <xdr:rowOff>518160</xdr:rowOff>
                  </from>
                  <to>
                    <xdr:col>8</xdr:col>
                    <xdr:colOff>0</xdr:colOff>
                    <xdr:row>3</xdr:row>
                    <xdr:rowOff>190500</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8</xdr:col>
                    <xdr:colOff>45720</xdr:colOff>
                    <xdr:row>2</xdr:row>
                    <xdr:rowOff>518160</xdr:rowOff>
                  </from>
                  <to>
                    <xdr:col>9</xdr:col>
                    <xdr:colOff>0</xdr:colOff>
                    <xdr:row>3</xdr:row>
                    <xdr:rowOff>190500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22860</xdr:colOff>
                    <xdr:row>2</xdr:row>
                    <xdr:rowOff>518160</xdr:rowOff>
                  </from>
                  <to>
                    <xdr:col>9</xdr:col>
                    <xdr:colOff>487680</xdr:colOff>
                    <xdr:row>3</xdr:row>
                    <xdr:rowOff>190500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3</xdr:col>
                    <xdr:colOff>0</xdr:colOff>
                    <xdr:row>3</xdr:row>
                    <xdr:rowOff>0</xdr:rowOff>
                  </from>
                  <to>
                    <xdr:col>3</xdr:col>
                    <xdr:colOff>746760</xdr:colOff>
                    <xdr:row>3</xdr:row>
                    <xdr:rowOff>190500</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4</xdr:col>
                    <xdr:colOff>22860</xdr:colOff>
                    <xdr:row>2</xdr:row>
                    <xdr:rowOff>518160</xdr:rowOff>
                  </from>
                  <to>
                    <xdr:col>4</xdr:col>
                    <xdr:colOff>762000</xdr:colOff>
                    <xdr:row>3</xdr:row>
                    <xdr:rowOff>190500</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5</xdr:col>
                    <xdr:colOff>30480</xdr:colOff>
                    <xdr:row>4</xdr:row>
                    <xdr:rowOff>0</xdr:rowOff>
                  </from>
                  <to>
                    <xdr:col>6</xdr:col>
                    <xdr:colOff>0</xdr:colOff>
                    <xdr:row>4</xdr:row>
                    <xdr:rowOff>190500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6</xdr:col>
                    <xdr:colOff>7620</xdr:colOff>
                    <xdr:row>4</xdr:row>
                    <xdr:rowOff>7620</xdr:rowOff>
                  </from>
                  <to>
                    <xdr:col>6</xdr:col>
                    <xdr:colOff>899160</xdr:colOff>
                    <xdr:row>4</xdr:row>
                    <xdr:rowOff>190500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7</xdr:col>
                    <xdr:colOff>60960</xdr:colOff>
                    <xdr:row>3</xdr:row>
                    <xdr:rowOff>518160</xdr:rowOff>
                  </from>
                  <to>
                    <xdr:col>8</xdr:col>
                    <xdr:colOff>0</xdr:colOff>
                    <xdr:row>4</xdr:row>
                    <xdr:rowOff>190500</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8</xdr:col>
                    <xdr:colOff>45720</xdr:colOff>
                    <xdr:row>3</xdr:row>
                    <xdr:rowOff>518160</xdr:rowOff>
                  </from>
                  <to>
                    <xdr:col>9</xdr:col>
                    <xdr:colOff>0</xdr:colOff>
                    <xdr:row>4</xdr:row>
                    <xdr:rowOff>190500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9</xdr:col>
                    <xdr:colOff>22860</xdr:colOff>
                    <xdr:row>3</xdr:row>
                    <xdr:rowOff>518160</xdr:rowOff>
                  </from>
                  <to>
                    <xdr:col>9</xdr:col>
                    <xdr:colOff>487680</xdr:colOff>
                    <xdr:row>4</xdr:row>
                    <xdr:rowOff>190500</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3</xdr:col>
                    <xdr:colOff>7620</xdr:colOff>
                    <xdr:row>4</xdr:row>
                    <xdr:rowOff>0</xdr:rowOff>
                  </from>
                  <to>
                    <xdr:col>3</xdr:col>
                    <xdr:colOff>746760</xdr:colOff>
                    <xdr:row>4</xdr:row>
                    <xdr:rowOff>190500</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4</xdr:col>
                    <xdr:colOff>22860</xdr:colOff>
                    <xdr:row>3</xdr:row>
                    <xdr:rowOff>518160</xdr:rowOff>
                  </from>
                  <to>
                    <xdr:col>4</xdr:col>
                    <xdr:colOff>762000</xdr:colOff>
                    <xdr:row>4</xdr:row>
                    <xdr:rowOff>190500</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5</xdr:col>
                    <xdr:colOff>30480</xdr:colOff>
                    <xdr:row>4</xdr:row>
                    <xdr:rowOff>502920</xdr:rowOff>
                  </from>
                  <to>
                    <xdr:col>6</xdr:col>
                    <xdr:colOff>0</xdr:colOff>
                    <xdr:row>6</xdr:row>
                    <xdr:rowOff>38100</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6</xdr:col>
                    <xdr:colOff>7620</xdr:colOff>
                    <xdr:row>5</xdr:row>
                    <xdr:rowOff>7620</xdr:rowOff>
                  </from>
                  <to>
                    <xdr:col>6</xdr:col>
                    <xdr:colOff>899160</xdr:colOff>
                    <xdr:row>6</xdr:row>
                    <xdr:rowOff>22860</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7</xdr:col>
                    <xdr:colOff>60960</xdr:colOff>
                    <xdr:row>4</xdr:row>
                    <xdr:rowOff>518160</xdr:rowOff>
                  </from>
                  <to>
                    <xdr:col>8</xdr:col>
                    <xdr:colOff>0</xdr:colOff>
                    <xdr:row>6</xdr:row>
                    <xdr:rowOff>30480</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8</xdr:col>
                    <xdr:colOff>45720</xdr:colOff>
                    <xdr:row>4</xdr:row>
                    <xdr:rowOff>518160</xdr:rowOff>
                  </from>
                  <to>
                    <xdr:col>9</xdr:col>
                    <xdr:colOff>0</xdr:colOff>
                    <xdr:row>6</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9</xdr:col>
                    <xdr:colOff>22860</xdr:colOff>
                    <xdr:row>4</xdr:row>
                    <xdr:rowOff>518160</xdr:rowOff>
                  </from>
                  <to>
                    <xdr:col>9</xdr:col>
                    <xdr:colOff>487680</xdr:colOff>
                    <xdr:row>6</xdr:row>
                    <xdr:rowOff>22860</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3</xdr:col>
                    <xdr:colOff>7620</xdr:colOff>
                    <xdr:row>5</xdr:row>
                    <xdr:rowOff>0</xdr:rowOff>
                  </from>
                  <to>
                    <xdr:col>3</xdr:col>
                    <xdr:colOff>746760</xdr:colOff>
                    <xdr:row>6</xdr:row>
                    <xdr:rowOff>22860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4</xdr:col>
                    <xdr:colOff>22860</xdr:colOff>
                    <xdr:row>4</xdr:row>
                    <xdr:rowOff>518160</xdr:rowOff>
                  </from>
                  <to>
                    <xdr:col>4</xdr:col>
                    <xdr:colOff>762000</xdr:colOff>
                    <xdr:row>6</xdr:row>
                    <xdr:rowOff>22860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5</xdr:col>
                    <xdr:colOff>30480</xdr:colOff>
                    <xdr:row>5</xdr:row>
                    <xdr:rowOff>502920</xdr:rowOff>
                  </from>
                  <to>
                    <xdr:col>6</xdr:col>
                    <xdr:colOff>0</xdr:colOff>
                    <xdr:row>6</xdr:row>
                    <xdr:rowOff>190500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6</xdr:col>
                    <xdr:colOff>7620</xdr:colOff>
                    <xdr:row>6</xdr:row>
                    <xdr:rowOff>7620</xdr:rowOff>
                  </from>
                  <to>
                    <xdr:col>6</xdr:col>
                    <xdr:colOff>899160</xdr:colOff>
                    <xdr:row>6</xdr:row>
                    <xdr:rowOff>190500</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7</xdr:col>
                    <xdr:colOff>60960</xdr:colOff>
                    <xdr:row>5</xdr:row>
                    <xdr:rowOff>518160</xdr:rowOff>
                  </from>
                  <to>
                    <xdr:col>8</xdr:col>
                    <xdr:colOff>0</xdr:colOff>
                    <xdr:row>6</xdr:row>
                    <xdr:rowOff>190500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8</xdr:col>
                    <xdr:colOff>45720</xdr:colOff>
                    <xdr:row>5</xdr:row>
                    <xdr:rowOff>518160</xdr:rowOff>
                  </from>
                  <to>
                    <xdr:col>9</xdr:col>
                    <xdr:colOff>0</xdr:colOff>
                    <xdr:row>6</xdr:row>
                    <xdr:rowOff>190500</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22860</xdr:colOff>
                    <xdr:row>5</xdr:row>
                    <xdr:rowOff>518160</xdr:rowOff>
                  </from>
                  <to>
                    <xdr:col>9</xdr:col>
                    <xdr:colOff>487680</xdr:colOff>
                    <xdr:row>6</xdr:row>
                    <xdr:rowOff>190500</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3</xdr:col>
                    <xdr:colOff>7620</xdr:colOff>
                    <xdr:row>6</xdr:row>
                    <xdr:rowOff>0</xdr:rowOff>
                  </from>
                  <to>
                    <xdr:col>3</xdr:col>
                    <xdr:colOff>746760</xdr:colOff>
                    <xdr:row>6</xdr:row>
                    <xdr:rowOff>190500</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4</xdr:col>
                    <xdr:colOff>22860</xdr:colOff>
                    <xdr:row>5</xdr:row>
                    <xdr:rowOff>518160</xdr:rowOff>
                  </from>
                  <to>
                    <xdr:col>4</xdr:col>
                    <xdr:colOff>762000</xdr:colOff>
                    <xdr:row>6</xdr:row>
                    <xdr:rowOff>190500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5</xdr:col>
                    <xdr:colOff>30480</xdr:colOff>
                    <xdr:row>6</xdr:row>
                    <xdr:rowOff>502920</xdr:rowOff>
                  </from>
                  <to>
                    <xdr:col>6</xdr:col>
                    <xdr:colOff>0</xdr:colOff>
                    <xdr:row>8</xdr:row>
                    <xdr:rowOff>38100</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7620</xdr:colOff>
                    <xdr:row>7</xdr:row>
                    <xdr:rowOff>7620</xdr:rowOff>
                  </from>
                  <to>
                    <xdr:col>6</xdr:col>
                    <xdr:colOff>899160</xdr:colOff>
                    <xdr:row>8</xdr:row>
                    <xdr:rowOff>22860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7</xdr:col>
                    <xdr:colOff>60960</xdr:colOff>
                    <xdr:row>6</xdr:row>
                    <xdr:rowOff>518160</xdr:rowOff>
                  </from>
                  <to>
                    <xdr:col>8</xdr:col>
                    <xdr:colOff>0</xdr:colOff>
                    <xdr:row>8</xdr:row>
                    <xdr:rowOff>30480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8</xdr:col>
                    <xdr:colOff>45720</xdr:colOff>
                    <xdr:row>6</xdr:row>
                    <xdr:rowOff>518160</xdr:rowOff>
                  </from>
                  <to>
                    <xdr:col>9</xdr:col>
                    <xdr:colOff>0</xdr:colOff>
                    <xdr:row>8</xdr:row>
                    <xdr:rowOff>38100</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9</xdr:col>
                    <xdr:colOff>22860</xdr:colOff>
                    <xdr:row>6</xdr:row>
                    <xdr:rowOff>518160</xdr:rowOff>
                  </from>
                  <to>
                    <xdr:col>9</xdr:col>
                    <xdr:colOff>487680</xdr:colOff>
                    <xdr:row>8</xdr:row>
                    <xdr:rowOff>22860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3</xdr:col>
                    <xdr:colOff>7620</xdr:colOff>
                    <xdr:row>7</xdr:row>
                    <xdr:rowOff>0</xdr:rowOff>
                  </from>
                  <to>
                    <xdr:col>3</xdr:col>
                    <xdr:colOff>746760</xdr:colOff>
                    <xdr:row>8</xdr:row>
                    <xdr:rowOff>22860</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4</xdr:col>
                    <xdr:colOff>22860</xdr:colOff>
                    <xdr:row>6</xdr:row>
                    <xdr:rowOff>518160</xdr:rowOff>
                  </from>
                  <to>
                    <xdr:col>4</xdr:col>
                    <xdr:colOff>762000</xdr:colOff>
                    <xdr:row>8</xdr:row>
                    <xdr:rowOff>22860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5</xdr:col>
                    <xdr:colOff>30480</xdr:colOff>
                    <xdr:row>7</xdr:row>
                    <xdr:rowOff>502920</xdr:rowOff>
                  </from>
                  <to>
                    <xdr:col>6</xdr:col>
                    <xdr:colOff>0</xdr:colOff>
                    <xdr:row>9</xdr:row>
                    <xdr:rowOff>0</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6</xdr:col>
                    <xdr:colOff>7620</xdr:colOff>
                    <xdr:row>8</xdr:row>
                    <xdr:rowOff>7620</xdr:rowOff>
                  </from>
                  <to>
                    <xdr:col>6</xdr:col>
                    <xdr:colOff>899160</xdr:colOff>
                    <xdr:row>9</xdr:row>
                    <xdr:rowOff>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7</xdr:col>
                    <xdr:colOff>60960</xdr:colOff>
                    <xdr:row>7</xdr:row>
                    <xdr:rowOff>518160</xdr:rowOff>
                  </from>
                  <to>
                    <xdr:col>8</xdr:col>
                    <xdr:colOff>0</xdr:colOff>
                    <xdr:row>9</xdr:row>
                    <xdr:rowOff>0</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8</xdr:col>
                    <xdr:colOff>45720</xdr:colOff>
                    <xdr:row>7</xdr:row>
                    <xdr:rowOff>518160</xdr:rowOff>
                  </from>
                  <to>
                    <xdr:col>9</xdr:col>
                    <xdr:colOff>0</xdr:colOff>
                    <xdr:row>9</xdr:row>
                    <xdr:rowOff>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9</xdr:col>
                    <xdr:colOff>22860</xdr:colOff>
                    <xdr:row>7</xdr:row>
                    <xdr:rowOff>518160</xdr:rowOff>
                  </from>
                  <to>
                    <xdr:col>9</xdr:col>
                    <xdr:colOff>487680</xdr:colOff>
                    <xdr:row>9</xdr:row>
                    <xdr:rowOff>0</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3</xdr:col>
                    <xdr:colOff>7620</xdr:colOff>
                    <xdr:row>8</xdr:row>
                    <xdr:rowOff>0</xdr:rowOff>
                  </from>
                  <to>
                    <xdr:col>3</xdr:col>
                    <xdr:colOff>746760</xdr:colOff>
                    <xdr:row>9</xdr:row>
                    <xdr:rowOff>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4</xdr:col>
                    <xdr:colOff>22860</xdr:colOff>
                    <xdr:row>7</xdr:row>
                    <xdr:rowOff>518160</xdr:rowOff>
                  </from>
                  <to>
                    <xdr:col>4</xdr:col>
                    <xdr:colOff>762000</xdr:colOff>
                    <xdr:row>9</xdr:row>
                    <xdr:rowOff>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5</xdr:col>
                    <xdr:colOff>30480</xdr:colOff>
                    <xdr:row>8</xdr:row>
                    <xdr:rowOff>502920</xdr:rowOff>
                  </from>
                  <to>
                    <xdr:col>6</xdr:col>
                    <xdr:colOff>0</xdr:colOff>
                    <xdr:row>9</xdr:row>
                    <xdr:rowOff>228600</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6</xdr:col>
                    <xdr:colOff>7620</xdr:colOff>
                    <xdr:row>9</xdr:row>
                    <xdr:rowOff>7620</xdr:rowOff>
                  </from>
                  <to>
                    <xdr:col>6</xdr:col>
                    <xdr:colOff>899160</xdr:colOff>
                    <xdr:row>9</xdr:row>
                    <xdr:rowOff>213360</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7</xdr:col>
                    <xdr:colOff>60960</xdr:colOff>
                    <xdr:row>9</xdr:row>
                    <xdr:rowOff>0</xdr:rowOff>
                  </from>
                  <to>
                    <xdr:col>7</xdr:col>
                    <xdr:colOff>640080</xdr:colOff>
                    <xdr:row>9</xdr:row>
                    <xdr:rowOff>251460</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8</xdr:col>
                    <xdr:colOff>45720</xdr:colOff>
                    <xdr:row>8</xdr:row>
                    <xdr:rowOff>518160</xdr:rowOff>
                  </from>
                  <to>
                    <xdr:col>9</xdr:col>
                    <xdr:colOff>0</xdr:colOff>
                    <xdr:row>9</xdr:row>
                    <xdr:rowOff>228600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9</xdr:col>
                    <xdr:colOff>22860</xdr:colOff>
                    <xdr:row>8</xdr:row>
                    <xdr:rowOff>518160</xdr:rowOff>
                  </from>
                  <to>
                    <xdr:col>9</xdr:col>
                    <xdr:colOff>487680</xdr:colOff>
                    <xdr:row>9</xdr:row>
                    <xdr:rowOff>213360</xdr:rowOff>
                  </to>
                </anchor>
              </controlPr>
            </control>
          </mc:Choice>
        </mc:AlternateContent>
        <mc:AlternateContent xmlns:mc="http://schemas.openxmlformats.org/markup-compatibility/2006">
          <mc:Choice Requires="x14">
            <control shapeId="3127" r:id="rId58" name="Check Box 55">
              <controlPr defaultSize="0" autoFill="0" autoLine="0" autoPict="0">
                <anchor moveWithCells="1">
                  <from>
                    <xdr:col>3</xdr:col>
                    <xdr:colOff>7620</xdr:colOff>
                    <xdr:row>9</xdr:row>
                    <xdr:rowOff>0</xdr:rowOff>
                  </from>
                  <to>
                    <xdr:col>3</xdr:col>
                    <xdr:colOff>746760</xdr:colOff>
                    <xdr:row>9</xdr:row>
                    <xdr:rowOff>213360</xdr:rowOff>
                  </to>
                </anchor>
              </controlPr>
            </control>
          </mc:Choice>
        </mc:AlternateContent>
        <mc:AlternateContent xmlns:mc="http://schemas.openxmlformats.org/markup-compatibility/2006">
          <mc:Choice Requires="x14">
            <control shapeId="3128" r:id="rId59" name="Check Box 56">
              <controlPr defaultSize="0" autoFill="0" autoLine="0" autoPict="0">
                <anchor moveWithCells="1">
                  <from>
                    <xdr:col>4</xdr:col>
                    <xdr:colOff>22860</xdr:colOff>
                    <xdr:row>8</xdr:row>
                    <xdr:rowOff>518160</xdr:rowOff>
                  </from>
                  <to>
                    <xdr:col>4</xdr:col>
                    <xdr:colOff>762000</xdr:colOff>
                    <xdr:row>9</xdr:row>
                    <xdr:rowOff>213360</xdr:rowOff>
                  </to>
                </anchor>
              </controlPr>
            </control>
          </mc:Choice>
        </mc:AlternateContent>
        <mc:AlternateContent xmlns:mc="http://schemas.openxmlformats.org/markup-compatibility/2006">
          <mc:Choice Requires="x14">
            <control shapeId="3129" r:id="rId60" name="Check Box 57">
              <controlPr defaultSize="0" autoFill="0" autoLine="0" autoPict="0">
                <anchor moveWithCells="1">
                  <from>
                    <xdr:col>5</xdr:col>
                    <xdr:colOff>30480</xdr:colOff>
                    <xdr:row>9</xdr:row>
                    <xdr:rowOff>502920</xdr:rowOff>
                  </from>
                  <to>
                    <xdr:col>6</xdr:col>
                    <xdr:colOff>0</xdr:colOff>
                    <xdr:row>10</xdr:row>
                    <xdr:rowOff>121920</xdr:rowOff>
                  </to>
                </anchor>
              </controlPr>
            </control>
          </mc:Choice>
        </mc:AlternateContent>
        <mc:AlternateContent xmlns:mc="http://schemas.openxmlformats.org/markup-compatibility/2006">
          <mc:Choice Requires="x14">
            <control shapeId="3130" r:id="rId61" name="Check Box 58">
              <controlPr defaultSize="0" autoFill="0" autoLine="0" autoPict="0">
                <anchor moveWithCells="1">
                  <from>
                    <xdr:col>6</xdr:col>
                    <xdr:colOff>7620</xdr:colOff>
                    <xdr:row>10</xdr:row>
                    <xdr:rowOff>7620</xdr:rowOff>
                  </from>
                  <to>
                    <xdr:col>6</xdr:col>
                    <xdr:colOff>899160</xdr:colOff>
                    <xdr:row>11</xdr:row>
                    <xdr:rowOff>0</xdr:rowOff>
                  </to>
                </anchor>
              </controlPr>
            </control>
          </mc:Choice>
        </mc:AlternateContent>
        <mc:AlternateContent xmlns:mc="http://schemas.openxmlformats.org/markup-compatibility/2006">
          <mc:Choice Requires="x14">
            <control shapeId="3131" r:id="rId62" name="Check Box 59">
              <controlPr defaultSize="0" autoFill="0" autoLine="0" autoPict="0">
                <anchor moveWithCells="1">
                  <from>
                    <xdr:col>7</xdr:col>
                    <xdr:colOff>60960</xdr:colOff>
                    <xdr:row>9</xdr:row>
                    <xdr:rowOff>518160</xdr:rowOff>
                  </from>
                  <to>
                    <xdr:col>8</xdr:col>
                    <xdr:colOff>0</xdr:colOff>
                    <xdr:row>10</xdr:row>
                    <xdr:rowOff>137160</xdr:rowOff>
                  </to>
                </anchor>
              </controlPr>
            </control>
          </mc:Choice>
        </mc:AlternateContent>
        <mc:AlternateContent xmlns:mc="http://schemas.openxmlformats.org/markup-compatibility/2006">
          <mc:Choice Requires="x14">
            <control shapeId="3132" r:id="rId63" name="Check Box 60">
              <controlPr defaultSize="0" autoFill="0" autoLine="0" autoPict="0">
                <anchor moveWithCells="1">
                  <from>
                    <xdr:col>8</xdr:col>
                    <xdr:colOff>45720</xdr:colOff>
                    <xdr:row>9</xdr:row>
                    <xdr:rowOff>518160</xdr:rowOff>
                  </from>
                  <to>
                    <xdr:col>9</xdr:col>
                    <xdr:colOff>0</xdr:colOff>
                    <xdr:row>10</xdr:row>
                    <xdr:rowOff>137160</xdr:rowOff>
                  </to>
                </anchor>
              </controlPr>
            </control>
          </mc:Choice>
        </mc:AlternateContent>
        <mc:AlternateContent xmlns:mc="http://schemas.openxmlformats.org/markup-compatibility/2006">
          <mc:Choice Requires="x14">
            <control shapeId="3133" r:id="rId64" name="Check Box 61">
              <controlPr defaultSize="0" autoFill="0" autoLine="0" autoPict="0">
                <anchor moveWithCells="1">
                  <from>
                    <xdr:col>9</xdr:col>
                    <xdr:colOff>22860</xdr:colOff>
                    <xdr:row>9</xdr:row>
                    <xdr:rowOff>518160</xdr:rowOff>
                  </from>
                  <to>
                    <xdr:col>9</xdr:col>
                    <xdr:colOff>487680</xdr:colOff>
                    <xdr:row>10</xdr:row>
                    <xdr:rowOff>137160</xdr:rowOff>
                  </to>
                </anchor>
              </controlPr>
            </control>
          </mc:Choice>
        </mc:AlternateContent>
        <mc:AlternateContent xmlns:mc="http://schemas.openxmlformats.org/markup-compatibility/2006">
          <mc:Choice Requires="x14">
            <control shapeId="3134" r:id="rId65" name="Check Box 62">
              <controlPr defaultSize="0" autoFill="0" autoLine="0" autoPict="0">
                <anchor moveWithCells="1">
                  <from>
                    <xdr:col>3</xdr:col>
                    <xdr:colOff>7620</xdr:colOff>
                    <xdr:row>10</xdr:row>
                    <xdr:rowOff>0</xdr:rowOff>
                  </from>
                  <to>
                    <xdr:col>3</xdr:col>
                    <xdr:colOff>746760</xdr:colOff>
                    <xdr:row>11</xdr:row>
                    <xdr:rowOff>0</xdr:rowOff>
                  </to>
                </anchor>
              </controlPr>
            </control>
          </mc:Choice>
        </mc:AlternateContent>
        <mc:AlternateContent xmlns:mc="http://schemas.openxmlformats.org/markup-compatibility/2006">
          <mc:Choice Requires="x14">
            <control shapeId="3135" r:id="rId66" name="Check Box 63">
              <controlPr defaultSize="0" autoFill="0" autoLine="0" autoPict="0">
                <anchor moveWithCells="1">
                  <from>
                    <xdr:col>4</xdr:col>
                    <xdr:colOff>22860</xdr:colOff>
                    <xdr:row>9</xdr:row>
                    <xdr:rowOff>518160</xdr:rowOff>
                  </from>
                  <to>
                    <xdr:col>4</xdr:col>
                    <xdr:colOff>762000</xdr:colOff>
                    <xdr:row>10</xdr:row>
                    <xdr:rowOff>137160</xdr:rowOff>
                  </to>
                </anchor>
              </controlPr>
            </control>
          </mc:Choice>
        </mc:AlternateContent>
        <mc:AlternateContent xmlns:mc="http://schemas.openxmlformats.org/markup-compatibility/2006">
          <mc:Choice Requires="x14">
            <control shapeId="3136" r:id="rId67" name="Check Box 64">
              <controlPr defaultSize="0" autoFill="0" autoLine="0" autoPict="0">
                <anchor moveWithCells="1">
                  <from>
                    <xdr:col>5</xdr:col>
                    <xdr:colOff>30480</xdr:colOff>
                    <xdr:row>10</xdr:row>
                    <xdr:rowOff>502920</xdr:rowOff>
                  </from>
                  <to>
                    <xdr:col>6</xdr:col>
                    <xdr:colOff>0</xdr:colOff>
                    <xdr:row>12</xdr:row>
                    <xdr:rowOff>0</xdr:rowOff>
                  </to>
                </anchor>
              </controlPr>
            </control>
          </mc:Choice>
        </mc:AlternateContent>
        <mc:AlternateContent xmlns:mc="http://schemas.openxmlformats.org/markup-compatibility/2006">
          <mc:Choice Requires="x14">
            <control shapeId="3137" r:id="rId68" name="Check Box 65">
              <controlPr defaultSize="0" autoFill="0" autoLine="0" autoPict="0">
                <anchor moveWithCells="1">
                  <from>
                    <xdr:col>6</xdr:col>
                    <xdr:colOff>7620</xdr:colOff>
                    <xdr:row>11</xdr:row>
                    <xdr:rowOff>7620</xdr:rowOff>
                  </from>
                  <to>
                    <xdr:col>6</xdr:col>
                    <xdr:colOff>899160</xdr:colOff>
                    <xdr:row>12</xdr:row>
                    <xdr:rowOff>0</xdr:rowOff>
                  </to>
                </anchor>
              </controlPr>
            </control>
          </mc:Choice>
        </mc:AlternateContent>
        <mc:AlternateContent xmlns:mc="http://schemas.openxmlformats.org/markup-compatibility/2006">
          <mc:Choice Requires="x14">
            <control shapeId="3138" r:id="rId69" name="Check Box 66">
              <controlPr defaultSize="0" autoFill="0" autoLine="0" autoPict="0">
                <anchor moveWithCells="1">
                  <from>
                    <xdr:col>7</xdr:col>
                    <xdr:colOff>60960</xdr:colOff>
                    <xdr:row>10</xdr:row>
                    <xdr:rowOff>518160</xdr:rowOff>
                  </from>
                  <to>
                    <xdr:col>8</xdr:col>
                    <xdr:colOff>0</xdr:colOff>
                    <xdr:row>12</xdr:row>
                    <xdr:rowOff>0</xdr:rowOff>
                  </to>
                </anchor>
              </controlPr>
            </control>
          </mc:Choice>
        </mc:AlternateContent>
        <mc:AlternateContent xmlns:mc="http://schemas.openxmlformats.org/markup-compatibility/2006">
          <mc:Choice Requires="x14">
            <control shapeId="3139" r:id="rId70" name="Check Box 67">
              <controlPr defaultSize="0" autoFill="0" autoLine="0" autoPict="0">
                <anchor moveWithCells="1">
                  <from>
                    <xdr:col>8</xdr:col>
                    <xdr:colOff>45720</xdr:colOff>
                    <xdr:row>10</xdr:row>
                    <xdr:rowOff>518160</xdr:rowOff>
                  </from>
                  <to>
                    <xdr:col>9</xdr:col>
                    <xdr:colOff>0</xdr:colOff>
                    <xdr:row>12</xdr:row>
                    <xdr:rowOff>0</xdr:rowOff>
                  </to>
                </anchor>
              </controlPr>
            </control>
          </mc:Choice>
        </mc:AlternateContent>
        <mc:AlternateContent xmlns:mc="http://schemas.openxmlformats.org/markup-compatibility/2006">
          <mc:Choice Requires="x14">
            <control shapeId="3140" r:id="rId71" name="Check Box 68">
              <controlPr defaultSize="0" autoFill="0" autoLine="0" autoPict="0">
                <anchor moveWithCells="1">
                  <from>
                    <xdr:col>9</xdr:col>
                    <xdr:colOff>22860</xdr:colOff>
                    <xdr:row>10</xdr:row>
                    <xdr:rowOff>518160</xdr:rowOff>
                  </from>
                  <to>
                    <xdr:col>9</xdr:col>
                    <xdr:colOff>487680</xdr:colOff>
                    <xdr:row>12</xdr:row>
                    <xdr:rowOff>0</xdr:rowOff>
                  </to>
                </anchor>
              </controlPr>
            </control>
          </mc:Choice>
        </mc:AlternateContent>
        <mc:AlternateContent xmlns:mc="http://schemas.openxmlformats.org/markup-compatibility/2006">
          <mc:Choice Requires="x14">
            <control shapeId="3141" r:id="rId72" name="Check Box 69">
              <controlPr defaultSize="0" autoFill="0" autoLine="0" autoPict="0">
                <anchor moveWithCells="1">
                  <from>
                    <xdr:col>3</xdr:col>
                    <xdr:colOff>7620</xdr:colOff>
                    <xdr:row>11</xdr:row>
                    <xdr:rowOff>0</xdr:rowOff>
                  </from>
                  <to>
                    <xdr:col>3</xdr:col>
                    <xdr:colOff>746760</xdr:colOff>
                    <xdr:row>12</xdr:row>
                    <xdr:rowOff>0</xdr:rowOff>
                  </to>
                </anchor>
              </controlPr>
            </control>
          </mc:Choice>
        </mc:AlternateContent>
        <mc:AlternateContent xmlns:mc="http://schemas.openxmlformats.org/markup-compatibility/2006">
          <mc:Choice Requires="x14">
            <control shapeId="3142" r:id="rId73" name="Check Box 70">
              <controlPr defaultSize="0" autoFill="0" autoLine="0" autoPict="0">
                <anchor moveWithCells="1">
                  <from>
                    <xdr:col>4</xdr:col>
                    <xdr:colOff>22860</xdr:colOff>
                    <xdr:row>10</xdr:row>
                    <xdr:rowOff>518160</xdr:rowOff>
                  </from>
                  <to>
                    <xdr:col>4</xdr:col>
                    <xdr:colOff>762000</xdr:colOff>
                    <xdr:row>12</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79998168889431442"/>
  </sheetPr>
  <dimension ref="A1:E12"/>
  <sheetViews>
    <sheetView showGridLines="0" zoomScaleNormal="100" workbookViewId="0">
      <selection sqref="A1:E1"/>
    </sheetView>
  </sheetViews>
  <sheetFormatPr defaultColWidth="8.88671875" defaultRowHeight="14.4" x14ac:dyDescent="0.3"/>
  <cols>
    <col min="1" max="1" width="5.5546875" style="15" customWidth="1"/>
    <col min="2" max="2" width="35.44140625" customWidth="1"/>
    <col min="3" max="3" width="21.88671875" customWidth="1"/>
    <col min="4" max="4" width="25.44140625" customWidth="1"/>
    <col min="5" max="5" width="22.44140625" customWidth="1"/>
  </cols>
  <sheetData>
    <row r="1" spans="1:5" ht="23.25" customHeight="1" x14ac:dyDescent="0.3">
      <c r="A1" s="102" t="s">
        <v>107</v>
      </c>
      <c r="B1" s="102"/>
      <c r="C1" s="102"/>
      <c r="D1" s="102"/>
      <c r="E1" s="102"/>
    </row>
    <row r="2" spans="1:5" s="18" customFormat="1" ht="27.6" x14ac:dyDescent="0.3">
      <c r="A2" s="21" t="s">
        <v>112</v>
      </c>
      <c r="B2" s="21" t="s">
        <v>75</v>
      </c>
      <c r="C2" s="21" t="s">
        <v>76</v>
      </c>
      <c r="D2" s="21" t="s">
        <v>77</v>
      </c>
      <c r="E2" s="21" t="s">
        <v>78</v>
      </c>
    </row>
    <row r="3" spans="1:5" x14ac:dyDescent="0.3">
      <c r="A3" s="27">
        <f>ROW()-2</f>
        <v>1</v>
      </c>
      <c r="B3" s="8"/>
      <c r="C3" s="8"/>
      <c r="D3" s="8"/>
      <c r="E3" s="8"/>
    </row>
    <row r="4" spans="1:5" x14ac:dyDescent="0.3">
      <c r="A4" s="27">
        <f t="shared" ref="A4:A12" si="0">ROW()-2</f>
        <v>2</v>
      </c>
      <c r="B4" s="8"/>
      <c r="C4" s="8"/>
      <c r="D4" s="8"/>
      <c r="E4" s="8"/>
    </row>
    <row r="5" spans="1:5" x14ac:dyDescent="0.3">
      <c r="A5" s="27">
        <f t="shared" si="0"/>
        <v>3</v>
      </c>
      <c r="B5" s="8"/>
      <c r="C5" s="8"/>
      <c r="D5" s="8"/>
      <c r="E5" s="8"/>
    </row>
    <row r="6" spans="1:5" x14ac:dyDescent="0.3">
      <c r="A6" s="27">
        <f t="shared" si="0"/>
        <v>4</v>
      </c>
      <c r="B6" s="8"/>
      <c r="C6" s="8"/>
      <c r="D6" s="8"/>
      <c r="E6" s="8"/>
    </row>
    <row r="7" spans="1:5" x14ac:dyDescent="0.3">
      <c r="A7" s="27">
        <f t="shared" si="0"/>
        <v>5</v>
      </c>
      <c r="B7" s="8"/>
      <c r="C7" s="8"/>
      <c r="D7" s="8"/>
      <c r="E7" s="8"/>
    </row>
    <row r="8" spans="1:5" x14ac:dyDescent="0.3">
      <c r="A8" s="27">
        <f t="shared" si="0"/>
        <v>6</v>
      </c>
      <c r="B8" s="8"/>
      <c r="C8" s="8"/>
      <c r="D8" s="8"/>
      <c r="E8" s="8"/>
    </row>
    <row r="9" spans="1:5" x14ac:dyDescent="0.3">
      <c r="A9" s="27">
        <f t="shared" si="0"/>
        <v>7</v>
      </c>
      <c r="B9" s="8"/>
      <c r="C9" s="8"/>
      <c r="D9" s="8"/>
      <c r="E9" s="8"/>
    </row>
    <row r="10" spans="1:5" x14ac:dyDescent="0.3">
      <c r="A10" s="27">
        <f t="shared" si="0"/>
        <v>8</v>
      </c>
      <c r="B10" s="8"/>
      <c r="C10" s="8"/>
      <c r="D10" s="8"/>
      <c r="E10" s="8"/>
    </row>
    <row r="11" spans="1:5" x14ac:dyDescent="0.3">
      <c r="A11" s="27">
        <f t="shared" si="0"/>
        <v>9</v>
      </c>
      <c r="B11" s="8"/>
      <c r="C11" s="8"/>
      <c r="D11" s="8"/>
      <c r="E11" s="8"/>
    </row>
    <row r="12" spans="1:5" x14ac:dyDescent="0.3">
      <c r="A12" s="27">
        <f t="shared" si="0"/>
        <v>10</v>
      </c>
      <c r="B12" s="8"/>
      <c r="C12" s="8"/>
      <c r="D12" s="8"/>
      <c r="E12" s="8"/>
    </row>
  </sheetData>
  <mergeCells count="1">
    <mergeCell ref="A1:E1"/>
  </mergeCells>
  <dataValidations count="1">
    <dataValidation type="date" operator="greaterThan" allowBlank="1" showInputMessage="1" showErrorMessage="1" sqref="E3:E12" xr:uid="{00000000-0002-0000-0800-000000000000}">
      <formula1>367</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Klassify>
  <SNO>1</SNO>
  <KDate>2025-04-07 15:34:40</KDate>
  <Classification>SEBI-CONFIDENTIAL</Classification>
  <Subclassification/>
  <HostName>MUM0112579</HostName>
  <Domain_User>SEBINT/2579</Domain_User>
  <IPAdd>10.21.53.45</IPAdd>
  <FilePath>C:\Users\2579\Desktop\2579_RAC_2025-26\ERP Registration\Registration Information Document_ESG Rating Providers.xlsx</FilePath>
  <KID>6C3C8C09DA59638796368805103282</KID>
  <UniqueName/>
  <Suggested/>
  <Justification/>
</Klassify>
</file>

<file path=customXml/itemProps1.xml><?xml version="1.0" encoding="utf-8"?>
<ds:datastoreItem xmlns:ds="http://schemas.openxmlformats.org/officeDocument/2006/customXml" ds:itemID="{30F0F390-4BEA-4777-B4B9-A89692F04CC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Basic Details</vt:lpstr>
      <vt:lpstr>Eligibility Criteria</vt:lpstr>
      <vt:lpstr>Table 1</vt:lpstr>
      <vt:lpstr>Table 2</vt:lpstr>
      <vt:lpstr>Table 3</vt:lpstr>
      <vt:lpstr>Table 4</vt:lpstr>
      <vt:lpstr>Table 5</vt:lpstr>
      <vt:lpstr>Table 6</vt:lpstr>
      <vt:lpstr>Table 7</vt:lpstr>
      <vt:lpstr>Other Information</vt:lpstr>
      <vt:lpstr>Reference</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2025-05-01T13:34:29Z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SEBI-CONFIDENTIAL</vt:lpwstr>
  </property>
  <property fmtid="{D5CDD505-2E9C-101B-9397-08002B2CF9AE}" pid="3" name="Rules">
    <vt:lpwstr/>
  </property>
  <property fmtid="{D5CDD505-2E9C-101B-9397-08002B2CF9AE}" pid="4" name="KID">
    <vt:lpwstr>6C3C8C09DA59638796368805103282</vt:lpwstr>
  </property>
</Properties>
</file>