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13_ncr:1_{3F2AFB39-49BF-944F-9CCC-5121951B5116}" xr6:coauthVersionLast="47" xr6:coauthVersionMax="47" xr10:uidLastSave="{00000000-0000-0000-0000-000000000000}"/>
  <bookViews>
    <workbookView xWindow="3420" yWindow="980" windowWidth="25380" windowHeight="15840" tabRatio="965" activeTab="2" xr2:uid="{00000000-000D-0000-FFFF-FFFF00000000}"/>
  </bookViews>
  <sheets>
    <sheet name="Data Sheet" sheetId="6" r:id="rId1"/>
    <sheet name="Screen" sheetId="22" r:id="rId2"/>
    <sheet name="ABOUT" sheetId="25" r:id="rId3"/>
    <sheet name="Calculation Sheet" sheetId="23" state="hidden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UPDATE">'Data Sheet'!$E$1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2" l="1"/>
  <c r="F35" i="22"/>
  <c r="B32" i="22"/>
  <c r="B15" i="22"/>
  <c r="B113" i="23"/>
  <c r="B112" i="23"/>
  <c r="B111" i="23"/>
  <c r="B110" i="23"/>
  <c r="B114" i="23" l="1"/>
  <c r="F31" i="22"/>
  <c r="F30" i="22"/>
  <c r="B100" i="23"/>
  <c r="B101" i="23" s="1"/>
  <c r="G100" i="23"/>
  <c r="G101" i="23" s="1"/>
  <c r="F100" i="23"/>
  <c r="F101" i="23" s="1"/>
  <c r="E100" i="23"/>
  <c r="E101" i="23" s="1"/>
  <c r="D100" i="23"/>
  <c r="D101" i="23" s="1"/>
  <c r="C100" i="23"/>
  <c r="C101" i="23" s="1"/>
  <c r="H100" i="23"/>
  <c r="H101" i="23" s="1"/>
  <c r="G105" i="23" s="1"/>
  <c r="U3" i="22" s="1"/>
  <c r="F27" i="22"/>
  <c r="B37" i="22"/>
  <c r="A96" i="23"/>
  <c r="B96" i="23"/>
  <c r="C96" i="23"/>
  <c r="D96" i="23"/>
  <c r="E96" i="23"/>
  <c r="F96" i="23"/>
  <c r="G96" i="23"/>
  <c r="H96" i="23"/>
  <c r="I96" i="23"/>
  <c r="J73" i="23"/>
  <c r="I73" i="23"/>
  <c r="B20" i="22"/>
  <c r="F19" i="22" l="1"/>
  <c r="L96" i="23"/>
  <c r="R3" i="22" s="1"/>
  <c r="J96" i="23"/>
  <c r="S3" i="22" s="1"/>
  <c r="K96" i="23"/>
  <c r="Q3" i="22" s="1"/>
  <c r="H105" i="23"/>
  <c r="V3" i="22" s="1"/>
  <c r="F105" i="23"/>
  <c r="T3" i="22" s="1"/>
  <c r="B88" i="23"/>
  <c r="B87" i="23"/>
  <c r="B83" i="23"/>
  <c r="B82" i="23"/>
  <c r="B78" i="23"/>
  <c r="B77" i="23"/>
  <c r="B73" i="23"/>
  <c r="B72" i="23"/>
  <c r="J68" i="23"/>
  <c r="L68" i="23" s="1"/>
  <c r="B68" i="23"/>
  <c r="J67" i="23"/>
  <c r="B67" i="23"/>
  <c r="J63" i="23"/>
  <c r="L63" i="23" s="1"/>
  <c r="B63" i="23"/>
  <c r="J62" i="23"/>
  <c r="B62" i="23"/>
  <c r="B58" i="23"/>
  <c r="B48" i="23"/>
  <c r="B38" i="23"/>
  <c r="B37" i="23"/>
  <c r="B36" i="23"/>
  <c r="B31" i="23"/>
  <c r="B30" i="23"/>
  <c r="B25" i="23"/>
  <c r="B22" i="23"/>
  <c r="B21" i="23"/>
  <c r="B17" i="23"/>
  <c r="B15" i="23"/>
  <c r="B3" i="22" s="1"/>
  <c r="C3" i="22"/>
  <c r="I19" i="22" l="1"/>
  <c r="I21" i="22" s="1"/>
  <c r="B21" i="22"/>
  <c r="B22" i="22" s="1"/>
  <c r="B23" i="22" s="1"/>
  <c r="B38" i="22"/>
  <c r="B39" i="22" s="1"/>
  <c r="B40" i="22" s="1"/>
  <c r="D87" i="23"/>
  <c r="D82" i="23"/>
  <c r="B59" i="23"/>
  <c r="H3" i="22" s="1"/>
  <c r="B39" i="23"/>
  <c r="B14" i="22"/>
  <c r="B16" i="22" s="1"/>
  <c r="B31" i="22"/>
  <c r="B33" i="22" s="1"/>
  <c r="D72" i="23"/>
  <c r="L62" i="23"/>
  <c r="N63" i="23" s="1"/>
  <c r="L67" i="23"/>
  <c r="N68" i="23" s="1"/>
  <c r="D62" i="23"/>
  <c r="D77" i="23"/>
  <c r="B32" i="23"/>
  <c r="D67" i="23"/>
  <c r="B23" i="23"/>
  <c r="B33" i="23"/>
  <c r="M63" i="23"/>
  <c r="M68" i="23"/>
  <c r="D73" i="23"/>
  <c r="D78" i="23"/>
  <c r="D83" i="23"/>
  <c r="D88" i="23"/>
  <c r="E73" i="23"/>
  <c r="E78" i="23"/>
  <c r="E83" i="23"/>
  <c r="E88" i="23"/>
  <c r="G88" i="23" s="1"/>
  <c r="B89" i="23" s="1"/>
  <c r="O3" i="22" s="1"/>
  <c r="D63" i="23"/>
  <c r="D68" i="23"/>
  <c r="E63" i="23"/>
  <c r="E68" i="23"/>
  <c r="F83" i="23" l="1"/>
  <c r="F88" i="23"/>
  <c r="I22" i="22"/>
  <c r="I25" i="22"/>
  <c r="I24" i="22"/>
  <c r="I23" i="22"/>
  <c r="G83" i="23"/>
  <c r="B84" i="23" s="1"/>
  <c r="P3" i="22" s="1"/>
  <c r="F73" i="23"/>
  <c r="G73" i="23"/>
  <c r="B74" i="23" s="1"/>
  <c r="I3" i="22" s="1"/>
  <c r="O63" i="23"/>
  <c r="J64" i="23" s="1"/>
  <c r="M3" i="22" s="1"/>
  <c r="G63" i="23"/>
  <c r="B64" i="23" s="1"/>
  <c r="K3" i="22" s="1"/>
  <c r="F63" i="23"/>
  <c r="O68" i="23"/>
  <c r="J69" i="23" s="1"/>
  <c r="N3" i="22" s="1"/>
  <c r="G68" i="23"/>
  <c r="B69" i="23" s="1"/>
  <c r="L3" i="22" s="1"/>
  <c r="F68" i="23"/>
  <c r="B34" i="23"/>
  <c r="B41" i="23" s="1"/>
  <c r="E3" i="22" s="1"/>
  <c r="G78" i="23"/>
  <c r="B79" i="23" s="1"/>
  <c r="J3" i="22" s="1"/>
  <c r="F78" i="23"/>
  <c r="B26" i="23"/>
  <c r="D3" i="22" s="1"/>
  <c r="B6" i="6" l="1"/>
  <c r="E1" i="6"/>
  <c r="B41" i="22" l="1"/>
  <c r="B42" i="22" s="1"/>
  <c r="B24" i="22"/>
  <c r="F20" i="22"/>
  <c r="F28" i="22"/>
  <c r="F29" i="22" s="1"/>
  <c r="B16" i="23"/>
  <c r="B43" i="22" l="1"/>
  <c r="B44" i="22" s="1"/>
  <c r="F23" i="22"/>
  <c r="F21" i="22"/>
  <c r="F22" i="22"/>
  <c r="B25" i="22"/>
  <c r="B26" i="22"/>
  <c r="B44" i="23"/>
  <c r="B45" i="23" s="1"/>
  <c r="B55" i="23" s="1"/>
  <c r="G3" i="22" s="1"/>
  <c r="B49" i="23"/>
  <c r="B52" i="23" s="1"/>
  <c r="F3" i="22" s="1"/>
  <c r="B27" i="22" l="1"/>
  <c r="F37" i="22" l="1"/>
</calcChain>
</file>

<file path=xl/sharedStrings.xml><?xml version="1.0" encoding="utf-8"?>
<sst xmlns="http://schemas.openxmlformats.org/spreadsheetml/2006/main" count="267" uniqueCount="220">
  <si>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</si>
  <si>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</si>
  <si>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</si>
  <si>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</si>
  <si>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</si>
  <si>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</si>
  <si>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</si>
  <si>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</si>
  <si>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</si>
  <si>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</si>
  <si>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</si>
  <si>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</si>
  <si>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</si>
  <si>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</si>
  <si>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</si>
  <si>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</si>
  <si>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</si>
  <si>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</si>
  <si>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</si>
  <si>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</si>
  <si>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</si>
  <si>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</si>
  <si>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</si>
  <si>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</si>
  <si>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</si>
  <si>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</si>
  <si>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</si>
  <si>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</si>
  <si>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</si>
  <si>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</si>
  <si>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</si>
  <si>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</si>
  <si>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SIRCA PAINTS INDIA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</si>
  <si>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</si>
  <si>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</si>
  <si>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</si>
  <si>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</si>
  <si>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</si>
  <si>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</si>
  <si>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</si>
  <si>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</si>
  <si>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</si>
  <si>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</si>
  <si>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</si>
  <si>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</si>
  <si>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</si>
  <si>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</si>
  <si>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</si>
  <si>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</si>
  <si>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</si>
  <si>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</si>
  <si>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</si>
  <si>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</si>
  <si>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</si>
  <si>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Discount Rate</t>
  </si>
  <si>
    <t>Market Cap</t>
  </si>
  <si>
    <t>ROE</t>
  </si>
  <si>
    <t>ROCE</t>
  </si>
  <si>
    <t>TTM</t>
  </si>
  <si>
    <t>P/E</t>
  </si>
  <si>
    <t>Return ratios</t>
  </si>
  <si>
    <t>Valuation</t>
  </si>
  <si>
    <t>Sequential</t>
  </si>
  <si>
    <t>Qtr YoY</t>
  </si>
  <si>
    <t>Yearly growth</t>
  </si>
  <si>
    <t>Name</t>
  </si>
  <si>
    <t>CMP Rs.</t>
  </si>
  <si>
    <t>Mar Cap Rs.Cr.</t>
  </si>
  <si>
    <t>ROE %</t>
  </si>
  <si>
    <t>ROCE %</t>
  </si>
  <si>
    <t>CMP / BV</t>
  </si>
  <si>
    <t>CMP / Sales</t>
  </si>
  <si>
    <t>QoQ Profits %</t>
  </si>
  <si>
    <t>QoQ Sales %</t>
  </si>
  <si>
    <t>Qtr Profit Var %</t>
  </si>
  <si>
    <t>Qtr Sales Var %</t>
  </si>
  <si>
    <t>Annual Profit growth %</t>
  </si>
  <si>
    <t>Annual Sales growth %</t>
  </si>
  <si>
    <t>Annualised</t>
  </si>
  <si>
    <t>Previous Qtr YoY</t>
  </si>
  <si>
    <t>Current Year Networth = Current Year Share Capital + Reserves</t>
  </si>
  <si>
    <t>Prev Year Networth = Prev Year Share Capital + Reserves</t>
  </si>
  <si>
    <t>Avg Networth = AVG(Networth This FY &amp; Networth of Last FY)</t>
  </si>
  <si>
    <t>ROE= Net Profit Latest FY/Avg Networth</t>
  </si>
  <si>
    <t>Current Capital Employed = Networth Latest FY + Latest Short Term Borrowings + Latest Long Term Borrowings</t>
  </si>
  <si>
    <t>Prev Yr Capital Employed = (Networth Last FY + Last Short Term Borrowings + Last Long Term Borrowings)</t>
  </si>
  <si>
    <t>Avg Capital Employed = (Current Capital Employed + Prev Yr Capital Employed)/2</t>
  </si>
  <si>
    <t>ROCE = EBIT Latest FY Yr/Avg Capital Employed</t>
  </si>
  <si>
    <t>Networth = Share Cap + Res</t>
  </si>
  <si>
    <t>Avg. Book Value = Avg Networth/No of Shares</t>
  </si>
  <si>
    <t>Latest Price</t>
  </si>
  <si>
    <t>Number of Shares</t>
  </si>
  <si>
    <t>Calculation For ROE</t>
  </si>
  <si>
    <t>Networth Calculation</t>
  </si>
  <si>
    <t>CY Networth</t>
  </si>
  <si>
    <t>PY Networth</t>
  </si>
  <si>
    <t>Average Networth</t>
  </si>
  <si>
    <t>Net Profit Calculation</t>
  </si>
  <si>
    <t>Net Profit Latest FY</t>
  </si>
  <si>
    <t>Calculation For Capital Employed &amp; EBIT</t>
  </si>
  <si>
    <t>Capital Employed Calculation</t>
  </si>
  <si>
    <t>Borrowings CY</t>
  </si>
  <si>
    <t>Borrowings PY</t>
  </si>
  <si>
    <t>CY Capital Employed</t>
  </si>
  <si>
    <t>PY Capital Employed</t>
  </si>
  <si>
    <t>Average Capital Employed</t>
  </si>
  <si>
    <t>EBIT Calculation</t>
  </si>
  <si>
    <t>Sales CY</t>
  </si>
  <si>
    <t>Operating Exp CY</t>
  </si>
  <si>
    <t>Dep CY</t>
  </si>
  <si>
    <t>EBIT CY</t>
  </si>
  <si>
    <t>Calculation For ROCE</t>
  </si>
  <si>
    <t>Calculation For Book Value</t>
  </si>
  <si>
    <t>Book Value</t>
  </si>
  <si>
    <t>Calculation For TTM EPS</t>
  </si>
  <si>
    <t>TTM Net Profit</t>
  </si>
  <si>
    <t>TTM EPS</t>
  </si>
  <si>
    <t>Calculation For TTM PE</t>
  </si>
  <si>
    <t>TTM PE</t>
  </si>
  <si>
    <t>Calculation For Avg Price To Book</t>
  </si>
  <si>
    <t>Price To Book</t>
  </si>
  <si>
    <t>Calculation For TTM Mcap to Sales</t>
  </si>
  <si>
    <t>Sales TTM</t>
  </si>
  <si>
    <t>MCAP To Sales</t>
  </si>
  <si>
    <t>Calculation For YoY Profit Growth</t>
  </si>
  <si>
    <t>CONDITIONAL IF</t>
  </si>
  <si>
    <t>Calculation For Prev  YoY Profit Growth</t>
  </si>
  <si>
    <t>Latest Quarter Profit</t>
  </si>
  <si>
    <t>Last Year Quarter Profit</t>
  </si>
  <si>
    <t>YoY Profit Growth</t>
  </si>
  <si>
    <t>Calculation For YoY Sales Growth</t>
  </si>
  <si>
    <t>Calculation ForPrev  YoY Sales Growth</t>
  </si>
  <si>
    <t>Latest Quarter Sales</t>
  </si>
  <si>
    <t>Last Year Quarter Sales</t>
  </si>
  <si>
    <t>YoY Sales Growth</t>
  </si>
  <si>
    <t>Calculation For QoQ Profit Growth</t>
  </si>
  <si>
    <t>Preceeding Quarter Profit</t>
  </si>
  <si>
    <t>QoQ Profit Growth</t>
  </si>
  <si>
    <t>Calculation For QoQ Sales Growth</t>
  </si>
  <si>
    <t>Preceeding Quarter Sales</t>
  </si>
  <si>
    <t>QoQ Sales Growth</t>
  </si>
  <si>
    <t>Calculation For Annual Sales Growth</t>
  </si>
  <si>
    <t>Latest FY Sales</t>
  </si>
  <si>
    <t>Last FY Sales</t>
  </si>
  <si>
    <t>Annual Sales Growth</t>
  </si>
  <si>
    <t>Calculation For Annual Profit Growth</t>
  </si>
  <si>
    <t>Latest FY Profit</t>
  </si>
  <si>
    <t>Last FY Profit</t>
  </si>
  <si>
    <t>Annual Profit Growth</t>
  </si>
  <si>
    <t>Market Capitalisation</t>
  </si>
  <si>
    <t>Cash Flow Growth</t>
  </si>
  <si>
    <t>Annual Cashflow growth %</t>
  </si>
  <si>
    <t>3 Year Cashflow growth %</t>
  </si>
  <si>
    <t>5 Year Cashflow growth %</t>
  </si>
  <si>
    <t>Total Dividend Paid</t>
  </si>
  <si>
    <t>Dividend Per Share</t>
  </si>
  <si>
    <t>Operating Income</t>
  </si>
  <si>
    <t>Retained Earnings</t>
  </si>
  <si>
    <t>Retained Earning Growth</t>
  </si>
  <si>
    <t>Annual Re growth %</t>
  </si>
  <si>
    <t>3 Year Re growth %</t>
  </si>
  <si>
    <t>5 Year Re growth %</t>
  </si>
  <si>
    <t>1 yr</t>
  </si>
  <si>
    <t>3 yr</t>
  </si>
  <si>
    <t>5 yr</t>
  </si>
  <si>
    <t>Retained Earnings per share</t>
  </si>
  <si>
    <t>Historical Retained Earnings</t>
  </si>
  <si>
    <t>Retained Earnings per share 3yrs</t>
  </si>
  <si>
    <t>Retained Earnings per share 5yrs</t>
  </si>
  <si>
    <t>Mi_Margin of Safety (I Am A Retail Investor So I Look At Things Differently)</t>
  </si>
  <si>
    <t>Historical Dividend</t>
  </si>
  <si>
    <t>Dividend Per Share 3 yrs</t>
  </si>
  <si>
    <t>Dividend Per Share 5 yrs</t>
  </si>
  <si>
    <t>Margin of Safety (Revenue)</t>
  </si>
  <si>
    <t>Hope you enjoyed the screener templae folks.</t>
  </si>
  <si>
    <t>This is my tribute to Pratyush and Ayush Mittal Sir.</t>
  </si>
  <si>
    <t>Do leave me a comment on my Twitter Handle</t>
  </si>
  <si>
    <t>https://twitter.com/iMicrocap</t>
  </si>
  <si>
    <t xml:space="preserve">Or you can write to me on </t>
  </si>
  <si>
    <t>themicrocapinvestor@gmail.com</t>
  </si>
  <si>
    <t xml:space="preserve">Busy with my dream project Arjuna, a powerful python code. It will also be opernsource. </t>
  </si>
  <si>
    <t>Will share on my Git once done.</t>
  </si>
  <si>
    <t>Rgds,</t>
  </si>
  <si>
    <t>Mi</t>
  </si>
  <si>
    <t>The Microcap Investor</t>
  </si>
  <si>
    <t>Expected Growth Rate 5 Years</t>
  </si>
  <si>
    <t>Present Value Today Of Total FV</t>
  </si>
  <si>
    <t>Upper Limit</t>
  </si>
  <si>
    <t>Lower Limit</t>
  </si>
  <si>
    <t>Calculation of Free cash Flow</t>
  </si>
  <si>
    <t>Operating Costs</t>
  </si>
  <si>
    <t>Taxes</t>
  </si>
  <si>
    <t>Change in Operating Costs</t>
  </si>
  <si>
    <t>Free Cash Flow</t>
  </si>
  <si>
    <t>MEDIAN</t>
  </si>
  <si>
    <t xml:space="preserve">Guesstimate on Margin of Safety </t>
  </si>
  <si>
    <t>Enter Cashflow/Revenue/Free Cashflow</t>
  </si>
  <si>
    <t>Current Multiple</t>
  </si>
  <si>
    <t>50% of Current Multiple</t>
  </si>
  <si>
    <t>75% of Current Multiple</t>
  </si>
  <si>
    <t>60% of Current Multiple</t>
  </si>
  <si>
    <t>30% of Current Multiple</t>
  </si>
  <si>
    <t>Terminal Value</t>
  </si>
  <si>
    <t>Gross Future Value + Terminal Value At End of Yr 6</t>
  </si>
  <si>
    <t xml:space="preserve">These can be entered as per estimate in Tijori 5 Year Multiple </t>
  </si>
  <si>
    <t>Reverse DCF Calculation For Tijori</t>
  </si>
  <si>
    <t>Terminal Growth Rate</t>
  </si>
  <si>
    <t>Calculation 1: Do This Using Revenue</t>
  </si>
  <si>
    <t>Current Multiple (Mcap/ Sales)</t>
  </si>
  <si>
    <t>Future Value of Sales At End of Year 5</t>
  </si>
  <si>
    <t>Guestimate NPV of Sales per share</t>
  </si>
  <si>
    <t>Current Sales per share</t>
  </si>
  <si>
    <t>Margin of Safety (Sales)</t>
  </si>
  <si>
    <t>Calculation 1: Do This Using Free Cash Flow</t>
  </si>
  <si>
    <t>Free Cash Flow (FCF)</t>
  </si>
  <si>
    <t>Future Value of (FCF) At End of Year 5</t>
  </si>
  <si>
    <t>Current Multiple (Mcap/ FCF)</t>
  </si>
  <si>
    <t>Guestimate NPV of (FCF) per share</t>
  </si>
  <si>
    <t>Current (FCF) per share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</si>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</sst>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rgb="FF20212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5" fillId="0" borderId="0" xfId="1" applyFont="1" applyBorder="1" applyProtection="1"/>
    <xf numFmtId="164" fontId="6" fillId="0" borderId="0" xfId="1" applyFont="1" applyBorder="1" applyProtection="1"/>
    <xf numFmtId="0" fontId="6" fillId="0" borderId="0" xfId="0" applyFont="1"/>
    <xf numFmtId="165" fontId="7" fillId="3" borderId="0" xfId="1" applyNumberFormat="1" applyFont="1" applyFill="1" applyBorder="1" applyProtection="1"/>
    <xf numFmtId="165" fontId="7" fillId="3" borderId="0" xfId="0" applyNumberFormat="1" applyFont="1" applyFill="1" applyAlignment="1">
      <alignment horizontal="center"/>
    </xf>
    <xf numFmtId="165" fontId="8" fillId="0" borderId="0" xfId="1" applyNumberFormat="1" applyFont="1" applyFill="1" applyBorder="1" applyProtection="1"/>
    <xf numFmtId="43" fontId="6" fillId="0" borderId="0" xfId="1" applyNumberFormat="1" applyFont="1" applyBorder="1" applyProtection="1"/>
    <xf numFmtId="0" fontId="0" fillId="6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0" borderId="0" xfId="4" applyNumberFormat="1" applyFont="1" applyProtection="1"/>
    <xf numFmtId="0" fontId="10" fillId="0" borderId="0" xfId="0" applyFont="1"/>
    <xf numFmtId="9" fontId="0" fillId="0" borderId="0" xfId="4" applyFont="1" applyProtection="1"/>
    <xf numFmtId="9" fontId="0" fillId="0" borderId="0" xfId="4" applyFont="1"/>
    <xf numFmtId="9" fontId="4" fillId="15" borderId="11" xfId="0" applyNumberFormat="1" applyFont="1" applyFill="1" applyBorder="1" applyAlignment="1" applyProtection="1">
      <alignment vertical="center"/>
      <protection locked="0"/>
    </xf>
    <xf numFmtId="0" fontId="3" fillId="0" borderId="0" xfId="2" applyAlignment="1" applyProtection="1">
      <protection locked="0"/>
    </xf>
    <xf numFmtId="0" fontId="16" fillId="0" borderId="0" xfId="0" applyFont="1"/>
    <xf numFmtId="9" fontId="4" fillId="18" borderId="1" xfId="4" applyFont="1" applyFill="1" applyBorder="1" applyAlignment="1" applyProtection="1">
      <alignment vertical="center"/>
    </xf>
    <xf numFmtId="0" fontId="6" fillId="0" borderId="0" xfId="0" applyFont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9" fontId="4" fillId="11" borderId="3" xfId="0" applyNumberFormat="1" applyFont="1" applyFill="1" applyBorder="1" applyAlignment="1">
      <alignment horizontal="center" wrapText="1"/>
    </xf>
    <xf numFmtId="9" fontId="4" fillId="11" borderId="5" xfId="0" applyNumberFormat="1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4" fillId="11" borderId="5" xfId="0" applyFont="1" applyFill="1" applyBorder="1" applyAlignment="1">
      <alignment horizontal="center" wrapText="1"/>
    </xf>
    <xf numFmtId="10" fontId="4" fillId="11" borderId="3" xfId="0" applyNumberFormat="1" applyFont="1" applyFill="1" applyBorder="1" applyAlignment="1">
      <alignment horizontal="center" wrapText="1"/>
    </xf>
    <xf numFmtId="10" fontId="4" fillId="11" borderId="5" xfId="0" applyNumberFormat="1" applyFont="1" applyFill="1" applyBorder="1" applyAlignment="1">
      <alignment horizontal="center" wrapText="1"/>
    </xf>
    <xf numFmtId="9" fontId="4" fillId="11" borderId="14" xfId="0" applyNumberFormat="1" applyFont="1" applyFill="1" applyBorder="1" applyAlignment="1">
      <alignment horizontal="center" wrapText="1"/>
    </xf>
    <xf numFmtId="9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13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8" fontId="0" fillId="0" borderId="0" xfId="0" applyNumberFormat="1"/>
    <xf numFmtId="10" fontId="4" fillId="14" borderId="11" xfId="0" applyNumberFormat="1" applyFont="1" applyFill="1" applyBorder="1" applyAlignment="1">
      <alignment vertical="center"/>
    </xf>
    <xf numFmtId="0" fontId="15" fillId="17" borderId="1" xfId="0" applyFont="1" applyFill="1" applyBorder="1" applyAlignment="1">
      <alignment vertical="center"/>
    </xf>
    <xf numFmtId="0" fontId="4" fillId="13" borderId="0" xfId="0" applyFont="1" applyFill="1" applyAlignment="1">
      <alignment vertical="center"/>
    </xf>
    <xf numFmtId="0" fontId="4" fillId="13" borderId="12" xfId="0" applyFont="1" applyFill="1" applyBorder="1" applyAlignment="1">
      <alignment vertical="center"/>
    </xf>
    <xf numFmtId="0" fontId="15" fillId="17" borderId="0" xfId="0" applyFont="1" applyFill="1" applyAlignment="1">
      <alignment vertical="center"/>
    </xf>
    <xf numFmtId="0" fontId="4" fillId="18" borderId="13" xfId="0" applyFont="1" applyFill="1" applyBorder="1" applyAlignment="1">
      <alignment vertical="center"/>
    </xf>
    <xf numFmtId="0" fontId="4" fillId="19" borderId="1" xfId="0" applyFont="1" applyFill="1" applyBorder="1" applyAlignment="1" applyProtection="1">
      <alignment vertical="center"/>
      <protection locked="0"/>
    </xf>
    <xf numFmtId="0" fontId="4" fillId="14" borderId="2" xfId="0" applyFont="1" applyFill="1" applyBorder="1" applyAlignment="1">
      <alignment vertical="center"/>
    </xf>
    <xf numFmtId="164" fontId="9" fillId="0" borderId="0" xfId="2" applyNumberFormat="1" applyFont="1" applyBorder="1" applyAlignment="1" applyProtection="1">
      <alignment horizontal="center"/>
    </xf>
    <xf numFmtId="164" fontId="7" fillId="2" borderId="0" xfId="3" applyNumberFormat="1" applyFont="1" applyBorder="1" applyAlignment="1" applyProtection="1">
      <alignment horizontal="center"/>
    </xf>
    <xf numFmtId="0" fontId="1" fillId="9" borderId="15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wrapText="1"/>
    </xf>
    <xf numFmtId="0" fontId="14" fillId="6" borderId="0" xfId="0" applyFont="1" applyFill="1" applyAlignment="1">
      <alignment horizontal="center" vertical="center"/>
    </xf>
    <xf numFmtId="0" fontId="11" fillId="10" borderId="6" xfId="0" applyFont="1" applyFill="1" applyBorder="1" applyAlignment="1">
      <alignment horizontal="center" wrapText="1"/>
    </xf>
    <xf numFmtId="0" fontId="11" fillId="10" borderId="7" xfId="0" applyFont="1" applyFill="1" applyBorder="1" applyAlignment="1">
      <alignment horizontal="center" wrapText="1"/>
    </xf>
    <xf numFmtId="0" fontId="11" fillId="9" borderId="6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8" borderId="6" xfId="0" applyFont="1" applyFill="1" applyBorder="1" applyAlignment="1">
      <alignment horizontal="center" wrapText="1"/>
    </xf>
    <xf numFmtId="0" fontId="11" fillId="8" borderId="8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Accent6" xfId="3" builtinId="49"/>
    <cellStyle name="Comma" xfId="1" builtinId="3"/>
    <cellStyle name="Comma 2" xfId="5" xr:uid="{C7483E18-F5BB-C144-8BAC-E36012B745CC}"/>
    <cellStyle name="Hyperlink" xfId="2" builtinId="8"/>
    <cellStyle name="Hyperlink 2" xfId="6" xr:uid="{F065FC37-2FCE-0141-A5C9-847CC9DDBFE1}"/>
    <cellStyle name="Normal" xfId="0" builtinId="0"/>
    <cellStyle name="Per 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iMicrocap" TargetMode="External"/><Relationship Id="rId1" Type="http://schemas.openxmlformats.org/officeDocument/2006/relationships/hyperlink" Target="mailto:themicrocapinve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3"/>
  <sheetViews>
    <sheetView workbookViewId="0">
      <pane xSplit="1" ySplit="1" topLeftCell="C3" activePane="bottomRight" state="frozen"/>
      <selection activeCell="M9" sqref="M9"/>
      <selection pane="topRight" activeCell="M9" sqref="M9"/>
      <selection pane="bottomLeft" activeCell="M9" sqref="M9"/>
      <selection pane="bottomRight" activeCell="C74" sqref="C74"/>
    </sheetView>
  </sheetViews>
  <sheetFormatPr baseColWidth="10" defaultColWidth="9.1640625" defaultRowHeight="13" x14ac:dyDescent="0.15"/>
  <cols>
    <col min="1" max="1" width="25.1640625" style="3" bestFit="1" customWidth="1"/>
    <col min="2" max="2" width="13.83203125" style="3" bestFit="1" customWidth="1"/>
    <col min="3" max="8" width="9.83203125" style="3" bestFit="1" customWidth="1"/>
    <col min="9" max="11" width="10.83203125" style="3" bestFit="1" customWidth="1"/>
    <col min="12" max="16384" width="9.1640625" style="3"/>
  </cols>
  <sheetData>
    <row r="1" spans="1:11" s="2" customFormat="1" x14ac:dyDescent="0.15">
      <c r="A1" s="2" t="s">
        <v>0</v>
      </c>
      <c r="B1" s="2" t="s">
        <v>32</v>
      </c>
      <c r="E1" s="50" t="str">
        <f>IF(B2&lt;&gt;B3, "A NEW VERSION OF THE WORKSHEET IS AVAILABLE", "")</f>
        <v/>
      </c>
      <c r="F1" s="50"/>
      <c r="G1" s="50"/>
      <c r="H1" s="50"/>
      <c r="I1" s="50"/>
      <c r="J1" s="50"/>
      <c r="K1" s="50"/>
    </row>
    <row r="2" spans="1:11" x14ac:dyDescent="0.15">
      <c r="A2" s="2" t="s">
        <v>30</v>
      </c>
      <c r="B2" s="3">
        <v>2.1</v>
      </c>
      <c r="E2" s="51" t="s">
        <v>21</v>
      </c>
      <c r="F2" s="51"/>
      <c r="G2" s="51"/>
      <c r="H2" s="51"/>
      <c r="I2" s="51"/>
      <c r="J2" s="51"/>
      <c r="K2" s="51"/>
    </row>
    <row r="3" spans="1:11" x14ac:dyDescent="0.15">
      <c r="A3" s="2" t="s">
        <v>31</v>
      </c>
      <c r="B3" s="3">
        <v>2.1</v>
      </c>
    </row>
    <row r="4" spans="1:11" x14ac:dyDescent="0.15">
      <c r="A4" s="2"/>
    </row>
    <row r="5" spans="1:11" x14ac:dyDescent="0.15">
      <c r="A5" s="2" t="s">
        <v>33</v>
      </c>
    </row>
    <row r="6" spans="1:11" x14ac:dyDescent="0.15">
      <c r="A6" s="3" t="s">
        <v>27</v>
      </c>
      <c r="B6" s="3">
        <f>IF(B9&gt;0, B9/B8, 0)</f>
        <v>2.7404363517060366</v>
      </c>
    </row>
    <row r="7" spans="1:11" x14ac:dyDescent="0.15">
      <c r="A7" s="3" t="s">
        <v>16</v>
      </c>
      <c r="B7" s="4">
        <v>10</v>
      </c>
    </row>
    <row r="8" spans="1:11" x14ac:dyDescent="0.15">
      <c r="A8" s="3" t="s">
        <v>28</v>
      </c>
      <c r="B8" s="4">
        <v>609.6</v>
      </c>
    </row>
    <row r="9" spans="1:11" x14ac:dyDescent="0.15">
      <c r="A9" s="3" t="s">
        <v>43</v>
      </c>
      <c r="B9" s="4">
        <v>1670.57</v>
      </c>
    </row>
    <row r="15" spans="1:11" x14ac:dyDescent="0.15">
      <c r="A15" s="2" t="s">
        <v>22</v>
      </c>
    </row>
    <row r="16" spans="1:11" s="7" customFormat="1" x14ac:dyDescent="0.15">
      <c r="A16" s="5" t="s">
        <v>23</v>
      </c>
      <c r="B16" s="6">
        <v>40633</v>
      </c>
      <c r="C16" s="6">
        <v>40999</v>
      </c>
      <c r="D16" s="6">
        <v>42094</v>
      </c>
      <c r="E16" s="6">
        <v>42460</v>
      </c>
      <c r="F16" s="6">
        <v>42825</v>
      </c>
      <c r="G16" s="6">
        <v>43190</v>
      </c>
      <c r="H16" s="6">
        <v>43555</v>
      </c>
      <c r="I16" s="6">
        <v>43921</v>
      </c>
      <c r="J16" s="6">
        <v>44286</v>
      </c>
      <c r="K16" s="6">
        <v>44651</v>
      </c>
    </row>
    <row r="17" spans="1:11" x14ac:dyDescent="0.15">
      <c r="A17" s="3" t="s">
        <v>1</v>
      </c>
      <c r="B17" s="4">
        <v>22.12</v>
      </c>
      <c r="C17" s="4">
        <v>29.22</v>
      </c>
      <c r="D17" s="4">
        <v>65.25</v>
      </c>
      <c r="E17" s="4">
        <v>70.55</v>
      </c>
      <c r="F17" s="4">
        <v>82.51</v>
      </c>
      <c r="G17" s="4">
        <v>89.22</v>
      </c>
      <c r="H17" s="4">
        <v>116.17</v>
      </c>
      <c r="I17" s="4">
        <v>134.16999999999999</v>
      </c>
      <c r="J17" s="4">
        <v>140.55000000000001</v>
      </c>
      <c r="K17" s="4">
        <v>195.89</v>
      </c>
    </row>
    <row r="18" spans="1:11" ht="15" x14ac:dyDescent="0.2">
      <c r="A18" s="3" t="s">
        <v>44</v>
      </c>
      <c r="B18"/>
      <c r="C18"/>
      <c r="D18">
        <v>48.44</v>
      </c>
      <c r="E18">
        <v>51.78</v>
      </c>
      <c r="F18">
        <v>53.02</v>
      </c>
      <c r="G18">
        <v>49.84</v>
      </c>
      <c r="H18">
        <v>79.599999999999994</v>
      </c>
      <c r="I18">
        <v>91.8</v>
      </c>
      <c r="J18">
        <v>93.44</v>
      </c>
      <c r="K18">
        <v>122.37</v>
      </c>
    </row>
    <row r="19" spans="1:11" ht="15" x14ac:dyDescent="0.2">
      <c r="A19" s="3" t="s">
        <v>45</v>
      </c>
      <c r="B19"/>
      <c r="C19"/>
      <c r="D19">
        <v>-1.54</v>
      </c>
      <c r="E19">
        <v>2.5099999999999998</v>
      </c>
      <c r="F19">
        <v>4.09</v>
      </c>
      <c r="G19">
        <v>4.71</v>
      </c>
      <c r="H19">
        <v>11.92</v>
      </c>
      <c r="I19">
        <v>20.99</v>
      </c>
      <c r="J19">
        <v>9.24</v>
      </c>
      <c r="K19">
        <v>5.0599999999999996</v>
      </c>
    </row>
    <row r="20" spans="1:11" x14ac:dyDescent="0.15">
      <c r="A20" s="3" t="s">
        <v>46</v>
      </c>
      <c r="B20" s="4"/>
      <c r="C20" s="4"/>
      <c r="D20" s="4">
        <v>7.0000000000000007E-2</v>
      </c>
      <c r="E20" s="4">
        <v>0.09</v>
      </c>
      <c r="F20" s="4">
        <v>0.11</v>
      </c>
      <c r="G20" s="4">
        <v>0.2</v>
      </c>
      <c r="H20" s="4">
        <v>0.23</v>
      </c>
      <c r="I20" s="4">
        <v>0.39</v>
      </c>
      <c r="J20" s="4">
        <v>0.46</v>
      </c>
      <c r="K20" s="4">
        <v>0.56999999999999995</v>
      </c>
    </row>
    <row r="21" spans="1:11" x14ac:dyDescent="0.15">
      <c r="A21" s="3" t="s">
        <v>47</v>
      </c>
      <c r="B21" s="4"/>
      <c r="C21" s="4"/>
      <c r="D21" s="4">
        <v>0.31</v>
      </c>
      <c r="E21" s="4">
        <v>0.38</v>
      </c>
      <c r="F21" s="4">
        <v>0.87</v>
      </c>
      <c r="G21" s="4">
        <v>1.71</v>
      </c>
      <c r="H21" s="4">
        <v>0.8</v>
      </c>
      <c r="I21" s="4">
        <v>1.1499999999999999</v>
      </c>
      <c r="J21" s="4">
        <v>1.31</v>
      </c>
      <c r="K21" s="4">
        <v>1.67</v>
      </c>
    </row>
    <row r="22" spans="1:11" x14ac:dyDescent="0.15">
      <c r="A22" s="3" t="s">
        <v>48</v>
      </c>
      <c r="B22" s="4"/>
      <c r="C22" s="4"/>
      <c r="D22" s="4">
        <v>1.97</v>
      </c>
      <c r="E22" s="4">
        <v>2.62</v>
      </c>
      <c r="F22" s="4">
        <v>3.76</v>
      </c>
      <c r="G22" s="4">
        <v>5.72</v>
      </c>
      <c r="H22" s="4">
        <v>8.89</v>
      </c>
      <c r="I22" s="4">
        <v>13.86</v>
      </c>
      <c r="J22" s="4">
        <v>15.95</v>
      </c>
      <c r="K22" s="4">
        <v>19.12</v>
      </c>
    </row>
    <row r="23" spans="1:11" x14ac:dyDescent="0.15">
      <c r="A23" s="3" t="s">
        <v>49</v>
      </c>
      <c r="B23" s="4"/>
      <c r="C23" s="4"/>
      <c r="D23" s="4">
        <v>6.59</v>
      </c>
      <c r="E23" s="4">
        <v>8.16</v>
      </c>
      <c r="F23" s="4">
        <v>7.89</v>
      </c>
      <c r="G23" s="4">
        <v>9.91</v>
      </c>
      <c r="H23" s="4">
        <v>6.12</v>
      </c>
      <c r="I23" s="4">
        <v>15.16</v>
      </c>
      <c r="J23" s="4">
        <v>16.14</v>
      </c>
      <c r="K23" s="4">
        <v>21.64</v>
      </c>
    </row>
    <row r="24" spans="1:11" x14ac:dyDescent="0.15">
      <c r="A24" s="3" t="s">
        <v>50</v>
      </c>
      <c r="B24" s="4">
        <v>20.37</v>
      </c>
      <c r="C24" s="4">
        <v>27.23</v>
      </c>
      <c r="D24" s="4">
        <v>0.64</v>
      </c>
      <c r="E24" s="4">
        <v>0.37</v>
      </c>
      <c r="F24" s="4">
        <v>0.7</v>
      </c>
      <c r="G24" s="4">
        <v>0.57999999999999996</v>
      </c>
      <c r="H24" s="4">
        <v>0.59</v>
      </c>
      <c r="I24" s="4">
        <v>1.73</v>
      </c>
      <c r="J24" s="4">
        <v>10.24</v>
      </c>
      <c r="K24" s="4">
        <v>-2.65</v>
      </c>
    </row>
    <row r="25" spans="1:11" x14ac:dyDescent="0.15">
      <c r="A25" s="3" t="s">
        <v>4</v>
      </c>
      <c r="B25" s="4"/>
      <c r="C25" s="4"/>
      <c r="D25" s="4">
        <v>4.46</v>
      </c>
      <c r="E25" s="4">
        <v>2.12</v>
      </c>
      <c r="F25" s="4">
        <v>1.83</v>
      </c>
      <c r="G25" s="4">
        <v>4.3499999999999996</v>
      </c>
      <c r="H25" s="4">
        <v>6.18</v>
      </c>
      <c r="I25" s="4">
        <v>5.61</v>
      </c>
      <c r="J25" s="4">
        <v>14.15</v>
      </c>
      <c r="K25" s="4">
        <v>3.95</v>
      </c>
    </row>
    <row r="26" spans="1:11" x14ac:dyDescent="0.15">
      <c r="A26" s="3" t="s">
        <v>5</v>
      </c>
      <c r="B26" s="4"/>
      <c r="C26" s="4"/>
      <c r="D26" s="4">
        <v>0.46</v>
      </c>
      <c r="E26" s="4">
        <v>0.51</v>
      </c>
      <c r="F26" s="4">
        <v>0.4</v>
      </c>
      <c r="G26" s="4">
        <v>0.6</v>
      </c>
      <c r="H26" s="4">
        <v>0.93</v>
      </c>
      <c r="I26" s="4">
        <v>2.4</v>
      </c>
      <c r="J26" s="4">
        <v>3.64</v>
      </c>
      <c r="K26" s="4">
        <v>4.13</v>
      </c>
    </row>
    <row r="27" spans="1:11" ht="15" x14ac:dyDescent="0.2">
      <c r="A27" s="3" t="s">
        <v>6</v>
      </c>
      <c r="B27" s="4"/>
      <c r="C27" s="4"/>
      <c r="D27" s="4">
        <v>0.23</v>
      </c>
      <c r="E27" s="4">
        <v>0.13</v>
      </c>
      <c r="F27" s="4">
        <v>0.13</v>
      </c>
      <c r="G27" s="4">
        <v>0.18</v>
      </c>
      <c r="H27" s="4">
        <v>0.12</v>
      </c>
      <c r="I27" s="4">
        <v>0.1</v>
      </c>
      <c r="J27">
        <v>0.18</v>
      </c>
      <c r="K27">
        <v>0.1</v>
      </c>
    </row>
    <row r="28" spans="1:11" x14ac:dyDescent="0.15">
      <c r="A28" s="3" t="s">
        <v>7</v>
      </c>
      <c r="B28" s="4">
        <v>1.75</v>
      </c>
      <c r="C28" s="4">
        <v>1.99</v>
      </c>
      <c r="D28" s="4">
        <v>9.4600000000000009</v>
      </c>
      <c r="E28" s="4">
        <v>11.14</v>
      </c>
      <c r="F28" s="4">
        <v>21.55</v>
      </c>
      <c r="G28" s="4">
        <v>29.54</v>
      </c>
      <c r="H28" s="4">
        <v>36.99</v>
      </c>
      <c r="I28" s="4">
        <v>34.18</v>
      </c>
      <c r="J28" s="4">
        <v>22.58</v>
      </c>
      <c r="K28" s="4">
        <v>37.950000000000003</v>
      </c>
    </row>
    <row r="29" spans="1:11" x14ac:dyDescent="0.15">
      <c r="A29" s="3" t="s">
        <v>8</v>
      </c>
      <c r="B29" s="4">
        <v>0.63</v>
      </c>
      <c r="C29" s="4">
        <v>0.64</v>
      </c>
      <c r="D29" s="4">
        <v>3.28</v>
      </c>
      <c r="E29" s="4">
        <v>3.86</v>
      </c>
      <c r="F29" s="4">
        <v>7.85</v>
      </c>
      <c r="G29" s="4">
        <v>10.15</v>
      </c>
      <c r="H29" s="4">
        <v>11.09</v>
      </c>
      <c r="I29" s="4">
        <v>9.02</v>
      </c>
      <c r="J29" s="4">
        <v>5.99</v>
      </c>
      <c r="K29" s="4">
        <v>10.23</v>
      </c>
    </row>
    <row r="30" spans="1:11" x14ac:dyDescent="0.15">
      <c r="A30" s="3" t="s">
        <v>9</v>
      </c>
      <c r="B30" s="4">
        <v>1.1200000000000001</v>
      </c>
      <c r="C30" s="4">
        <v>1.35</v>
      </c>
      <c r="D30" s="4">
        <v>6.18</v>
      </c>
      <c r="E30" s="4">
        <v>7.28</v>
      </c>
      <c r="F30" s="4">
        <v>13.7</v>
      </c>
      <c r="G30" s="4">
        <v>19.39</v>
      </c>
      <c r="H30" s="4">
        <v>25.9</v>
      </c>
      <c r="I30" s="4">
        <v>25.16</v>
      </c>
      <c r="J30" s="4">
        <v>16.61</v>
      </c>
      <c r="K30" s="4">
        <v>27.73</v>
      </c>
    </row>
    <row r="31" spans="1:11" x14ac:dyDescent="0.15">
      <c r="A31" s="3" t="s">
        <v>34</v>
      </c>
      <c r="B31" s="4"/>
      <c r="C31" s="4"/>
      <c r="D31" s="4"/>
      <c r="E31" s="4"/>
      <c r="F31" s="4"/>
      <c r="G31" s="4"/>
      <c r="H31" s="4">
        <v>1.83</v>
      </c>
      <c r="I31" s="4">
        <v>4.1100000000000003</v>
      </c>
      <c r="J31" s="4">
        <v>4.1100000000000003</v>
      </c>
      <c r="K31" s="4">
        <v>5.48</v>
      </c>
    </row>
    <row r="40" spans="1:11" x14ac:dyDescent="0.15">
      <c r="A40" s="2" t="s">
        <v>24</v>
      </c>
    </row>
    <row r="41" spans="1:11" s="7" customFormat="1" x14ac:dyDescent="0.15">
      <c r="A41" s="5" t="s">
        <v>23</v>
      </c>
      <c r="B41" s="6">
        <v>44104</v>
      </c>
      <c r="C41" s="6">
        <v>44196</v>
      </c>
      <c r="D41" s="6">
        <v>44286</v>
      </c>
      <c r="E41" s="6">
        <v>44377</v>
      </c>
      <c r="F41" s="6">
        <v>44469</v>
      </c>
      <c r="G41" s="6">
        <v>44561</v>
      </c>
      <c r="H41" s="6">
        <v>44651</v>
      </c>
      <c r="I41" s="6">
        <v>44742</v>
      </c>
      <c r="J41" s="6">
        <v>44834</v>
      </c>
      <c r="K41" s="6">
        <v>44926</v>
      </c>
    </row>
    <row r="42" spans="1:11" x14ac:dyDescent="0.15">
      <c r="A42" s="3" t="s">
        <v>1</v>
      </c>
      <c r="B42" s="4">
        <v>38.1</v>
      </c>
      <c r="C42" s="4">
        <v>45.81</v>
      </c>
      <c r="D42" s="4">
        <v>47.58</v>
      </c>
      <c r="E42" s="4">
        <v>32.130000000000003</v>
      </c>
      <c r="F42" s="4">
        <v>60.6</v>
      </c>
      <c r="G42" s="4">
        <v>53.2</v>
      </c>
      <c r="H42" s="4">
        <v>54.1</v>
      </c>
      <c r="I42" s="4">
        <v>61.35</v>
      </c>
      <c r="J42" s="4">
        <v>72.92</v>
      </c>
      <c r="K42" s="4">
        <v>65.22</v>
      </c>
    </row>
    <row r="43" spans="1:11" x14ac:dyDescent="0.15">
      <c r="A43" s="3" t="s">
        <v>2</v>
      </c>
      <c r="B43" s="4">
        <v>43.56</v>
      </c>
      <c r="C43" s="4">
        <v>37.229999999999997</v>
      </c>
      <c r="D43" s="4">
        <v>38.270000000000003</v>
      </c>
      <c r="E43" s="4">
        <v>29.26</v>
      </c>
      <c r="F43" s="4">
        <v>47.18</v>
      </c>
      <c r="G43" s="4">
        <v>41.15</v>
      </c>
      <c r="H43" s="4">
        <v>44.69</v>
      </c>
      <c r="I43" s="4">
        <v>46</v>
      </c>
      <c r="J43" s="4">
        <v>53.75</v>
      </c>
      <c r="K43" s="4">
        <v>51.16</v>
      </c>
    </row>
    <row r="44" spans="1:11" x14ac:dyDescent="0.15">
      <c r="A44" s="3" t="s">
        <v>4</v>
      </c>
      <c r="B44" s="4">
        <v>0.68</v>
      </c>
      <c r="C44" s="4">
        <v>0.86</v>
      </c>
      <c r="D44" s="4">
        <v>12.07</v>
      </c>
      <c r="E44" s="4">
        <v>0.9</v>
      </c>
      <c r="F44" s="4">
        <v>1.32</v>
      </c>
      <c r="G44" s="4">
        <v>1.36</v>
      </c>
      <c r="H44" s="4">
        <v>0.82</v>
      </c>
      <c r="I44" s="4">
        <v>1.22</v>
      </c>
      <c r="J44" s="4">
        <v>1.53</v>
      </c>
      <c r="K44" s="4">
        <v>0.97</v>
      </c>
    </row>
    <row r="45" spans="1:11" x14ac:dyDescent="0.15">
      <c r="A45" s="3" t="s">
        <v>5</v>
      </c>
      <c r="B45" s="4">
        <v>0.83</v>
      </c>
      <c r="C45" s="4">
        <v>0.83</v>
      </c>
      <c r="D45" s="4">
        <v>0.79</v>
      </c>
      <c r="E45" s="4">
        <v>0.78</v>
      </c>
      <c r="F45" s="4">
        <v>1</v>
      </c>
      <c r="G45" s="4">
        <v>1.19</v>
      </c>
      <c r="H45" s="4">
        <v>1.1599999999999999</v>
      </c>
      <c r="I45" s="4">
        <v>1.1399999999999999</v>
      </c>
      <c r="J45" s="4">
        <v>1.1499999999999999</v>
      </c>
      <c r="K45" s="4">
        <v>0.87</v>
      </c>
    </row>
    <row r="46" spans="1:11" ht="15" x14ac:dyDescent="0.2">
      <c r="A46" s="3" t="s">
        <v>6</v>
      </c>
      <c r="B46">
        <v>0.04</v>
      </c>
      <c r="C46">
        <v>0.03</v>
      </c>
      <c r="D46">
        <v>0.01</v>
      </c>
      <c r="E46">
        <v>0.02</v>
      </c>
      <c r="F46">
        <v>0.02</v>
      </c>
      <c r="G46">
        <v>0.02</v>
      </c>
      <c r="H46">
        <v>0.01</v>
      </c>
      <c r="I46">
        <v>0.01</v>
      </c>
      <c r="J46">
        <v>0.01</v>
      </c>
      <c r="K46">
        <v>0.01</v>
      </c>
    </row>
    <row r="47" spans="1:11" x14ac:dyDescent="0.15">
      <c r="A47" s="3" t="s">
        <v>7</v>
      </c>
      <c r="B47" s="4">
        <v>-5.65</v>
      </c>
      <c r="C47" s="4">
        <v>8.58</v>
      </c>
      <c r="D47" s="4">
        <v>20.58</v>
      </c>
      <c r="E47" s="4">
        <v>2.97</v>
      </c>
      <c r="F47" s="4">
        <v>13.72</v>
      </c>
      <c r="G47" s="4">
        <v>12.2</v>
      </c>
      <c r="H47" s="4">
        <v>9.06</v>
      </c>
      <c r="I47" s="4">
        <v>15.42</v>
      </c>
      <c r="J47" s="4">
        <v>19.54</v>
      </c>
      <c r="K47" s="4">
        <v>14.15</v>
      </c>
    </row>
    <row r="48" spans="1:11" x14ac:dyDescent="0.15">
      <c r="A48" s="3" t="s">
        <v>8</v>
      </c>
      <c r="B48" s="4">
        <v>-1.36</v>
      </c>
      <c r="C48" s="4">
        <v>2.2000000000000002</v>
      </c>
      <c r="D48" s="4">
        <v>5.37</v>
      </c>
      <c r="E48" s="4">
        <v>0.77</v>
      </c>
      <c r="F48" s="4">
        <v>3.55</v>
      </c>
      <c r="G48" s="4">
        <v>3.03</v>
      </c>
      <c r="H48" s="4">
        <v>2.88</v>
      </c>
      <c r="I48" s="4">
        <v>3.75</v>
      </c>
      <c r="J48" s="4">
        <v>5.13</v>
      </c>
      <c r="K48" s="4">
        <v>3.63</v>
      </c>
    </row>
    <row r="49" spans="1:11" x14ac:dyDescent="0.15">
      <c r="A49" s="3" t="s">
        <v>9</v>
      </c>
      <c r="B49" s="4">
        <v>-4.29</v>
      </c>
      <c r="C49" s="4">
        <v>6.38</v>
      </c>
      <c r="D49" s="4">
        <v>15.21</v>
      </c>
      <c r="E49" s="4">
        <v>2.21</v>
      </c>
      <c r="F49" s="4">
        <v>10.16</v>
      </c>
      <c r="G49" s="4">
        <v>9.17</v>
      </c>
      <c r="H49" s="4">
        <v>6.19</v>
      </c>
      <c r="I49" s="4">
        <v>11.67</v>
      </c>
      <c r="J49" s="4">
        <v>14.42</v>
      </c>
      <c r="K49" s="4">
        <v>10.53</v>
      </c>
    </row>
    <row r="50" spans="1:11" x14ac:dyDescent="0.15">
      <c r="A50" s="3" t="s">
        <v>3</v>
      </c>
      <c r="B50" s="4">
        <v>-5.46</v>
      </c>
      <c r="C50" s="4">
        <v>8.58</v>
      </c>
      <c r="D50" s="4">
        <v>9.31</v>
      </c>
      <c r="E50" s="4">
        <v>2.87</v>
      </c>
      <c r="F50" s="4">
        <v>13.42</v>
      </c>
      <c r="G50" s="4">
        <v>12.05</v>
      </c>
      <c r="H50" s="4">
        <v>9.41</v>
      </c>
      <c r="I50" s="4">
        <v>15.35</v>
      </c>
      <c r="J50" s="4">
        <v>19.170000000000002</v>
      </c>
      <c r="K50" s="4">
        <v>14.06</v>
      </c>
    </row>
    <row r="55" spans="1:11" x14ac:dyDescent="0.15">
      <c r="A55" s="2" t="s">
        <v>25</v>
      </c>
    </row>
    <row r="56" spans="1:11" s="7" customFormat="1" x14ac:dyDescent="0.15">
      <c r="A56" s="5" t="s">
        <v>23</v>
      </c>
      <c r="B56" s="6">
        <v>40633</v>
      </c>
      <c r="C56" s="6">
        <v>40999</v>
      </c>
      <c r="D56" s="6">
        <v>42094</v>
      </c>
      <c r="E56" s="6">
        <v>42460</v>
      </c>
      <c r="F56" s="6">
        <v>42825</v>
      </c>
      <c r="G56" s="6">
        <v>43190</v>
      </c>
      <c r="H56" s="6">
        <v>43555</v>
      </c>
      <c r="I56" s="6">
        <v>43921</v>
      </c>
      <c r="J56" s="6">
        <v>44286</v>
      </c>
      <c r="K56" s="6">
        <v>44651</v>
      </c>
    </row>
    <row r="57" spans="1:11" x14ac:dyDescent="0.15">
      <c r="A57" s="3" t="s">
        <v>10</v>
      </c>
      <c r="B57" s="4">
        <v>0.1</v>
      </c>
      <c r="C57" s="4">
        <v>0.1</v>
      </c>
      <c r="D57" s="4">
        <v>0.1</v>
      </c>
      <c r="E57" s="4">
        <v>0.1</v>
      </c>
      <c r="F57" s="4">
        <v>0.1</v>
      </c>
      <c r="G57" s="4">
        <v>13.4</v>
      </c>
      <c r="H57" s="4">
        <v>18.27</v>
      </c>
      <c r="I57" s="4">
        <v>27.4</v>
      </c>
      <c r="J57" s="4">
        <v>27.4</v>
      </c>
      <c r="K57" s="4">
        <v>27.4</v>
      </c>
    </row>
    <row r="58" spans="1:11" x14ac:dyDescent="0.15">
      <c r="A58" s="3" t="s">
        <v>11</v>
      </c>
      <c r="B58" s="4">
        <v>3.11</v>
      </c>
      <c r="C58" s="4">
        <v>4.46</v>
      </c>
      <c r="D58" s="4">
        <v>13.05</v>
      </c>
      <c r="E58" s="4">
        <v>20.329999999999998</v>
      </c>
      <c r="F58" s="4">
        <v>34.03</v>
      </c>
      <c r="G58" s="4">
        <v>54.23</v>
      </c>
      <c r="H58" s="4">
        <v>149.58000000000001</v>
      </c>
      <c r="I58" s="4">
        <v>157.25</v>
      </c>
      <c r="J58" s="4">
        <v>174.19</v>
      </c>
      <c r="K58" s="4">
        <v>197.75</v>
      </c>
    </row>
    <row r="59" spans="1:11" ht="15" x14ac:dyDescent="0.2">
      <c r="A59" s="3" t="s">
        <v>35</v>
      </c>
      <c r="B59">
        <v>1.84</v>
      </c>
      <c r="C59">
        <v>9.01</v>
      </c>
      <c r="D59">
        <v>11.81</v>
      </c>
      <c r="E59">
        <v>10.68</v>
      </c>
      <c r="F59">
        <v>3.85</v>
      </c>
      <c r="G59">
        <v>5</v>
      </c>
      <c r="H59">
        <v>0.22</v>
      </c>
      <c r="I59">
        <v>0.08</v>
      </c>
      <c r="J59">
        <v>13.2</v>
      </c>
      <c r="K59"/>
    </row>
    <row r="60" spans="1:11" x14ac:dyDescent="0.15">
      <c r="A60" s="3" t="s">
        <v>36</v>
      </c>
      <c r="B60" s="4">
        <v>4.1500000000000004</v>
      </c>
      <c r="C60" s="4">
        <v>6.58</v>
      </c>
      <c r="D60" s="4">
        <v>8.4600000000000009</v>
      </c>
      <c r="E60" s="4">
        <v>13.96</v>
      </c>
      <c r="F60" s="4">
        <v>23.33</v>
      </c>
      <c r="G60" s="4">
        <v>21.93</v>
      </c>
      <c r="H60" s="4">
        <v>22.72</v>
      </c>
      <c r="I60" s="4">
        <v>25.1</v>
      </c>
      <c r="J60" s="4">
        <v>39.96</v>
      </c>
      <c r="K60" s="4">
        <v>37.22</v>
      </c>
    </row>
    <row r="61" spans="1:11" s="2" customFormat="1" x14ac:dyDescent="0.15">
      <c r="A61" s="2" t="s">
        <v>12</v>
      </c>
      <c r="B61" s="4">
        <v>9.1999999999999993</v>
      </c>
      <c r="C61" s="4">
        <v>20.149999999999999</v>
      </c>
      <c r="D61" s="4">
        <v>33.42</v>
      </c>
      <c r="E61" s="4">
        <v>45.07</v>
      </c>
      <c r="F61" s="4">
        <v>61.31</v>
      </c>
      <c r="G61" s="4">
        <v>94.56</v>
      </c>
      <c r="H61" s="4">
        <v>190.79</v>
      </c>
      <c r="I61" s="4">
        <v>209.83</v>
      </c>
      <c r="J61" s="4">
        <v>254.75</v>
      </c>
      <c r="K61" s="4">
        <v>262.37</v>
      </c>
    </row>
    <row r="62" spans="1:11" x14ac:dyDescent="0.15">
      <c r="A62" s="3" t="s">
        <v>13</v>
      </c>
      <c r="B62" s="4">
        <v>0.95</v>
      </c>
      <c r="C62" s="4">
        <v>2.41</v>
      </c>
      <c r="D62" s="4">
        <v>2.14</v>
      </c>
      <c r="E62" s="4">
        <v>2.23</v>
      </c>
      <c r="F62" s="4">
        <v>7.72</v>
      </c>
      <c r="G62" s="4">
        <v>20</v>
      </c>
      <c r="H62" s="4">
        <v>25.18</v>
      </c>
      <c r="I62" s="4">
        <v>50.31</v>
      </c>
      <c r="J62" s="4">
        <v>40.67</v>
      </c>
      <c r="K62" s="4">
        <v>53.13</v>
      </c>
    </row>
    <row r="63" spans="1:11" x14ac:dyDescent="0.15">
      <c r="A63" s="3" t="s">
        <v>14</v>
      </c>
      <c r="B63" s="4"/>
      <c r="C63" s="4"/>
      <c r="D63" s="4"/>
      <c r="E63" s="4"/>
      <c r="F63" s="4"/>
      <c r="G63" s="4"/>
      <c r="H63" s="4">
        <v>8.6999999999999993</v>
      </c>
      <c r="I63" s="4"/>
      <c r="J63" s="4">
        <v>1.86</v>
      </c>
      <c r="K63" s="4">
        <v>1.24</v>
      </c>
    </row>
    <row r="64" spans="1:11" ht="15" x14ac:dyDescent="0.2">
      <c r="A64" s="3" t="s">
        <v>15</v>
      </c>
      <c r="B64" s="4">
        <v>0.01</v>
      </c>
      <c r="C64">
        <v>2.4700000000000002</v>
      </c>
      <c r="D64" s="4">
        <v>2.14</v>
      </c>
      <c r="E64" s="4">
        <v>2.65</v>
      </c>
      <c r="F64" s="4">
        <v>2.14</v>
      </c>
      <c r="G64" s="4"/>
      <c r="H64" s="4"/>
      <c r="I64" s="4"/>
      <c r="J64" s="4"/>
      <c r="K64" s="4"/>
    </row>
    <row r="65" spans="1:11" x14ac:dyDescent="0.15">
      <c r="A65" s="3" t="s">
        <v>37</v>
      </c>
      <c r="B65" s="4">
        <v>8.24</v>
      </c>
      <c r="C65" s="4">
        <v>15.27</v>
      </c>
      <c r="D65" s="4">
        <v>29.14</v>
      </c>
      <c r="E65" s="4">
        <v>40.19</v>
      </c>
      <c r="F65" s="4">
        <v>51.45</v>
      </c>
      <c r="G65" s="4">
        <v>74.56</v>
      </c>
      <c r="H65" s="4">
        <v>156.91</v>
      </c>
      <c r="I65" s="4">
        <v>159.52000000000001</v>
      </c>
      <c r="J65" s="4">
        <v>212.22</v>
      </c>
      <c r="K65" s="4">
        <v>208</v>
      </c>
    </row>
    <row r="66" spans="1:11" s="2" customFormat="1" x14ac:dyDescent="0.15">
      <c r="A66" s="2" t="s">
        <v>12</v>
      </c>
      <c r="B66" s="4">
        <v>9.1999999999999993</v>
      </c>
      <c r="C66" s="4">
        <v>20.149999999999999</v>
      </c>
      <c r="D66" s="4">
        <v>33.42</v>
      </c>
      <c r="E66" s="4">
        <v>45.07</v>
      </c>
      <c r="F66" s="4">
        <v>61.31</v>
      </c>
      <c r="G66" s="4">
        <v>94.56</v>
      </c>
      <c r="H66" s="4">
        <v>190.79</v>
      </c>
      <c r="I66" s="4">
        <v>209.83</v>
      </c>
      <c r="J66" s="4">
        <v>254.75</v>
      </c>
      <c r="K66" s="4">
        <v>262.37</v>
      </c>
    </row>
    <row r="67" spans="1:11" x14ac:dyDescent="0.15">
      <c r="A67" s="3" t="s">
        <v>42</v>
      </c>
      <c r="B67" s="4">
        <v>5.41</v>
      </c>
      <c r="C67" s="4">
        <v>8.89</v>
      </c>
      <c r="D67" s="4">
        <v>11.15</v>
      </c>
      <c r="E67" s="4">
        <v>15.98</v>
      </c>
      <c r="F67" s="4">
        <v>24</v>
      </c>
      <c r="G67" s="4">
        <v>33.53</v>
      </c>
      <c r="H67" s="4">
        <v>39.71</v>
      </c>
      <c r="I67" s="4">
        <v>45.59</v>
      </c>
      <c r="J67" s="4">
        <v>43.05</v>
      </c>
      <c r="K67" s="4">
        <v>45.63</v>
      </c>
    </row>
    <row r="68" spans="1:11" ht="15" x14ac:dyDescent="0.2">
      <c r="A68" s="3" t="s">
        <v>29</v>
      </c>
      <c r="B68">
        <v>1</v>
      </c>
      <c r="C68">
        <v>2.79</v>
      </c>
      <c r="D68">
        <v>3.54</v>
      </c>
      <c r="E68">
        <v>6.04</v>
      </c>
      <c r="F68">
        <v>10.15</v>
      </c>
      <c r="G68">
        <v>14.85</v>
      </c>
      <c r="H68">
        <v>26.77</v>
      </c>
      <c r="I68">
        <v>51.45</v>
      </c>
      <c r="J68">
        <v>64.95</v>
      </c>
      <c r="K68">
        <v>69.69</v>
      </c>
    </row>
    <row r="69" spans="1:11" x14ac:dyDescent="0.15">
      <c r="A69" s="3" t="s">
        <v>51</v>
      </c>
      <c r="B69" s="4">
        <v>0.34</v>
      </c>
      <c r="C69" s="4">
        <v>1.41</v>
      </c>
      <c r="D69" s="4">
        <v>12.73</v>
      </c>
      <c r="E69" s="4">
        <v>14.93</v>
      </c>
      <c r="F69" s="4">
        <v>13.33</v>
      </c>
      <c r="G69" s="4">
        <v>14.65</v>
      </c>
      <c r="H69" s="4">
        <v>81.540000000000006</v>
      </c>
      <c r="I69" s="4">
        <v>49.86</v>
      </c>
      <c r="J69" s="4">
        <v>78.81</v>
      </c>
      <c r="K69" s="4">
        <v>82.54</v>
      </c>
    </row>
    <row r="70" spans="1:11" x14ac:dyDescent="0.15">
      <c r="A70" s="3" t="s">
        <v>38</v>
      </c>
      <c r="B70" s="4">
        <v>100000</v>
      </c>
      <c r="C70" s="4">
        <v>100000</v>
      </c>
      <c r="D70" s="4">
        <v>100000</v>
      </c>
      <c r="E70" s="4">
        <v>100000</v>
      </c>
      <c r="F70" s="4">
        <v>100000</v>
      </c>
      <c r="G70" s="4">
        <v>13400000</v>
      </c>
      <c r="H70" s="4">
        <v>18269600</v>
      </c>
      <c r="I70" s="4">
        <v>27404400</v>
      </c>
      <c r="J70" s="4">
        <v>27404400</v>
      </c>
      <c r="K70" s="4">
        <v>27404400</v>
      </c>
    </row>
    <row r="71" spans="1:11" ht="15" x14ac:dyDescent="0.2">
      <c r="A71" s="3" t="s">
        <v>39</v>
      </c>
      <c r="E71"/>
      <c r="F71"/>
    </row>
    <row r="72" spans="1:11" x14ac:dyDescent="0.15">
      <c r="A72" s="3" t="s">
        <v>52</v>
      </c>
      <c r="B72" s="4">
        <v>10</v>
      </c>
      <c r="C72" s="4">
        <v>10</v>
      </c>
      <c r="D72" s="4">
        <v>10</v>
      </c>
      <c r="E72" s="4">
        <v>10</v>
      </c>
      <c r="F72" s="4">
        <v>10</v>
      </c>
      <c r="G72" s="4">
        <v>10</v>
      </c>
      <c r="H72" s="4">
        <v>10</v>
      </c>
      <c r="I72" s="4">
        <v>10</v>
      </c>
      <c r="J72" s="4">
        <v>10</v>
      </c>
      <c r="K72" s="4">
        <v>10</v>
      </c>
    </row>
    <row r="80" spans="1:11" x14ac:dyDescent="0.15">
      <c r="A80" s="2" t="s">
        <v>26</v>
      </c>
    </row>
    <row r="81" spans="1:12" s="7" customFormat="1" x14ac:dyDescent="0.15">
      <c r="A81" s="5" t="s">
        <v>23</v>
      </c>
      <c r="B81" s="6">
        <v>40633</v>
      </c>
      <c r="C81" s="6">
        <v>40999</v>
      </c>
      <c r="D81" s="6">
        <v>42094</v>
      </c>
      <c r="E81" s="6">
        <v>42460</v>
      </c>
      <c r="F81" s="6">
        <v>42825</v>
      </c>
      <c r="G81" s="6">
        <v>43190</v>
      </c>
      <c r="H81" s="6">
        <v>43555</v>
      </c>
      <c r="I81" s="6">
        <v>43921</v>
      </c>
      <c r="J81" s="6">
        <v>44286</v>
      </c>
      <c r="K81" s="6">
        <v>44651</v>
      </c>
      <c r="L81" s="6"/>
    </row>
    <row r="82" spans="1:12" s="2" customFormat="1" x14ac:dyDescent="0.15">
      <c r="A82" s="3" t="s">
        <v>17</v>
      </c>
      <c r="B82" s="4"/>
      <c r="C82" s="4"/>
      <c r="D82" s="4"/>
      <c r="E82" s="4">
        <v>4.55</v>
      </c>
      <c r="F82" s="4">
        <v>10.72</v>
      </c>
      <c r="G82" s="4">
        <v>-1.31</v>
      </c>
      <c r="H82" s="4">
        <v>12.34</v>
      </c>
      <c r="I82" s="4">
        <v>-7.56</v>
      </c>
      <c r="J82" s="4">
        <v>19.239999999999998</v>
      </c>
      <c r="K82" s="4">
        <v>35.159999999999997</v>
      </c>
    </row>
    <row r="83" spans="1:12" x14ac:dyDescent="0.15">
      <c r="A83" s="3" t="s">
        <v>18</v>
      </c>
      <c r="B83" s="4"/>
      <c r="C83" s="4"/>
      <c r="D83" s="4"/>
      <c r="E83" s="4">
        <v>-1.1100000000000001</v>
      </c>
      <c r="F83" s="4">
        <v>-5.38</v>
      </c>
      <c r="G83" s="4">
        <v>-12.88</v>
      </c>
      <c r="H83" s="4">
        <v>-71.290000000000006</v>
      </c>
      <c r="I83" s="4">
        <v>4.8099999999999996</v>
      </c>
      <c r="J83" s="4">
        <v>14.74</v>
      </c>
      <c r="K83" s="4">
        <v>-11.06</v>
      </c>
    </row>
    <row r="84" spans="1:12" x14ac:dyDescent="0.15">
      <c r="A84" s="3" t="s">
        <v>19</v>
      </c>
      <c r="B84" s="4"/>
      <c r="C84" s="4"/>
      <c r="D84" s="4"/>
      <c r="E84" s="4">
        <v>-1.23</v>
      </c>
      <c r="F84" s="4">
        <v>-6.93</v>
      </c>
      <c r="G84" s="4">
        <v>15.5</v>
      </c>
      <c r="H84" s="4">
        <v>68.37</v>
      </c>
      <c r="I84" s="4">
        <v>-8.4600000000000009</v>
      </c>
      <c r="J84" s="4">
        <v>-0.1</v>
      </c>
      <c r="K84" s="4">
        <v>-17.38</v>
      </c>
    </row>
    <row r="85" spans="1:12" s="2" customFormat="1" x14ac:dyDescent="0.15">
      <c r="A85" s="3" t="s">
        <v>20</v>
      </c>
      <c r="B85" s="4"/>
      <c r="C85" s="4"/>
      <c r="D85" s="4"/>
      <c r="E85" s="4">
        <v>2.21</v>
      </c>
      <c r="F85" s="4">
        <v>-1.6</v>
      </c>
      <c r="G85" s="4">
        <v>1.32</v>
      </c>
      <c r="H85" s="4">
        <v>9.42</v>
      </c>
      <c r="I85" s="4">
        <v>-11.21</v>
      </c>
      <c r="J85" s="4">
        <v>33.869999999999997</v>
      </c>
      <c r="K85" s="4">
        <v>6.73</v>
      </c>
    </row>
    <row r="90" spans="1:12" s="2" customFormat="1" x14ac:dyDescent="0.15">
      <c r="A90" s="2" t="s">
        <v>41</v>
      </c>
      <c r="B90" s="4"/>
      <c r="C90" s="4"/>
      <c r="D90" s="4"/>
      <c r="E90" s="4"/>
      <c r="F90" s="4"/>
      <c r="G90" s="4"/>
      <c r="H90" s="4">
        <v>165.93</v>
      </c>
      <c r="I90" s="4">
        <v>185.05</v>
      </c>
      <c r="J90" s="4">
        <v>315.89999999999998</v>
      </c>
      <c r="K90" s="4">
        <v>464.85</v>
      </c>
    </row>
    <row r="92" spans="1:12" s="2" customFormat="1" x14ac:dyDescent="0.15">
      <c r="A92" s="2" t="s">
        <v>40</v>
      </c>
    </row>
    <row r="93" spans="1:12" x14ac:dyDescent="0.15">
      <c r="A93" s="3" t="s">
        <v>53</v>
      </c>
      <c r="B93" s="8">
        <v>0.02</v>
      </c>
      <c r="C93" s="8">
        <v>0.02</v>
      </c>
      <c r="D93" s="8">
        <v>0.02</v>
      </c>
      <c r="E93" s="8">
        <v>0.02</v>
      </c>
      <c r="F93" s="8">
        <v>0.02</v>
      </c>
      <c r="G93" s="8">
        <v>2.0099999999999998</v>
      </c>
      <c r="H93" s="8">
        <v>2.74</v>
      </c>
      <c r="I93" s="8">
        <v>2.74</v>
      </c>
      <c r="J93" s="8">
        <v>2.74</v>
      </c>
      <c r="K93" s="8">
        <v>2.74</v>
      </c>
    </row>
  </sheetData>
  <sheetProtection algorithmName="SHA-512" hashValue="kaMHoNibb+6gQe7AX29LJXrSMtdyBO9DQkTyaqcDvInX66i2DB+VBlo0zfXW4snwAbe3yKiyzXbw0sMNnVTlbw==" saltValue="c9he7xT6KayfSIzN8VfecA==" spinCount="100000" sheet="1" objects="1" scenarios="1"/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8305-B1F6-4107-9F92-38CDE62A048E}">
  <dimension ref="A1:V45"/>
  <sheetViews>
    <sheetView topLeftCell="A7" zoomScale="75" zoomScaleNormal="75" workbookViewId="0">
      <selection activeCell="I20" sqref="I20"/>
    </sheetView>
  </sheetViews>
  <sheetFormatPr baseColWidth="10" defaultColWidth="11.5" defaultRowHeight="15" x14ac:dyDescent="0.2"/>
  <cols>
    <col min="1" max="1" width="40.1640625" bestFit="1" customWidth="1"/>
    <col min="2" max="2" width="12.1640625" bestFit="1" customWidth="1"/>
    <col min="4" max="4" width="9.5" customWidth="1"/>
    <col min="5" max="5" width="25.5" bestFit="1" customWidth="1"/>
    <col min="6" max="6" width="12.6640625" customWidth="1"/>
    <col min="7" max="7" width="11.6640625" bestFit="1" customWidth="1"/>
    <col min="8" max="8" width="38.83203125" bestFit="1" customWidth="1"/>
    <col min="9" max="9" width="20.5" customWidth="1"/>
    <col min="10" max="10" width="12.83203125" customWidth="1"/>
    <col min="11" max="11" width="7" bestFit="1" customWidth="1"/>
    <col min="12" max="12" width="6.6640625" bestFit="1" customWidth="1"/>
    <col min="13" max="14" width="6.6640625" customWidth="1"/>
    <col min="15" max="15" width="10.1640625" customWidth="1"/>
    <col min="16" max="16" width="11.5" customWidth="1"/>
    <col min="17" max="17" width="13.6640625" customWidth="1"/>
  </cols>
  <sheetData>
    <row r="1" spans="1:22" ht="15" customHeight="1" x14ac:dyDescent="0.2">
      <c r="A1" s="20"/>
      <c r="B1" s="20"/>
      <c r="C1" s="20"/>
      <c r="D1" s="59" t="s">
        <v>60</v>
      </c>
      <c r="E1" s="60"/>
      <c r="F1" s="61" t="s">
        <v>61</v>
      </c>
      <c r="G1" s="62"/>
      <c r="H1" s="63"/>
      <c r="I1" s="64" t="s">
        <v>62</v>
      </c>
      <c r="J1" s="65"/>
      <c r="K1" s="57" t="s">
        <v>63</v>
      </c>
      <c r="L1" s="58"/>
      <c r="M1" s="57" t="s">
        <v>79</v>
      </c>
      <c r="N1" s="58"/>
      <c r="O1" s="55" t="s">
        <v>64</v>
      </c>
      <c r="P1" s="56"/>
      <c r="Q1" s="53" t="s">
        <v>150</v>
      </c>
      <c r="R1" s="53"/>
      <c r="S1" s="53"/>
      <c r="T1" s="53" t="s">
        <v>158</v>
      </c>
      <c r="U1" s="53"/>
      <c r="V1" s="53"/>
    </row>
    <row r="2" spans="1:22" ht="45" customHeight="1" x14ac:dyDescent="0.2">
      <c r="A2" s="21" t="s">
        <v>65</v>
      </c>
      <c r="B2" s="21" t="s">
        <v>66</v>
      </c>
      <c r="C2" s="21" t="s">
        <v>67</v>
      </c>
      <c r="D2" s="22" t="s">
        <v>68</v>
      </c>
      <c r="E2" s="23" t="s">
        <v>69</v>
      </c>
      <c r="F2" s="22" t="s">
        <v>59</v>
      </c>
      <c r="G2" s="21" t="s">
        <v>70</v>
      </c>
      <c r="H2" s="23" t="s">
        <v>71</v>
      </c>
      <c r="I2" s="22" t="s">
        <v>72</v>
      </c>
      <c r="J2" s="23" t="s">
        <v>73</v>
      </c>
      <c r="K2" s="22" t="s">
        <v>74</v>
      </c>
      <c r="L2" s="23" t="s">
        <v>75</v>
      </c>
      <c r="M2" s="22" t="s">
        <v>74</v>
      </c>
      <c r="N2" s="23" t="s">
        <v>75</v>
      </c>
      <c r="O2" s="22" t="s">
        <v>76</v>
      </c>
      <c r="P2" s="24" t="s">
        <v>77</v>
      </c>
      <c r="Q2" s="21" t="s">
        <v>151</v>
      </c>
      <c r="R2" s="21" t="s">
        <v>152</v>
      </c>
      <c r="S2" s="21" t="s">
        <v>153</v>
      </c>
      <c r="T2" s="21" t="s">
        <v>159</v>
      </c>
      <c r="U2" s="21" t="s">
        <v>160</v>
      </c>
      <c r="V2" s="21" t="s">
        <v>161</v>
      </c>
    </row>
    <row r="3" spans="1:22" ht="17" thickBot="1" x14ac:dyDescent="0.25">
      <c r="A3" s="25" t="s">
        <v>32</v>
      </c>
      <c r="B3" s="25">
        <f>'Calculation Sheet'!B15</f>
        <v>609.6</v>
      </c>
      <c r="C3" s="25">
        <f>'Calculation Sheet'!B17</f>
        <v>1670.57</v>
      </c>
      <c r="D3" s="26">
        <f>'Calculation Sheet'!B26</f>
        <v>0.12996203777475746</v>
      </c>
      <c r="E3" s="27">
        <f>'Calculation Sheet'!B41</f>
        <v>0.10901486566349951</v>
      </c>
      <c r="F3" s="28">
        <f>'Calculation Sheet'!B52</f>
        <v>39.022891847699135</v>
      </c>
      <c r="G3" s="29">
        <f>'Calculation Sheet'!B55</f>
        <v>7.8294511880770488</v>
      </c>
      <c r="H3" s="30">
        <f>'Calculation Sheet'!B59</f>
        <v>6.587680902243779</v>
      </c>
      <c r="I3" s="31">
        <f>'Calculation Sheet'!B74</f>
        <v>-0.26976421636615816</v>
      </c>
      <c r="J3" s="32">
        <f>'Calculation Sheet'!B79</f>
        <v>-0.10559517279210097</v>
      </c>
      <c r="K3" s="26">
        <f>'Calculation Sheet'!B64</f>
        <v>0.14830970556161391</v>
      </c>
      <c r="L3" s="27">
        <f>'Calculation Sheet'!B69</f>
        <v>0.22593984962406005</v>
      </c>
      <c r="M3" s="26">
        <f>'Calculation Sheet'!J64</f>
        <v>0.41929133858267714</v>
      </c>
      <c r="N3" s="27">
        <f>'Calculation Sheet'!J69</f>
        <v>0.2033003300330033</v>
      </c>
      <c r="O3" s="26">
        <f>'Calculation Sheet'!B89</f>
        <v>0.66947621914509337</v>
      </c>
      <c r="P3" s="33">
        <f>'Calculation Sheet'!B84</f>
        <v>0.39373888295980058</v>
      </c>
      <c r="Q3" s="34">
        <f>'Calculation Sheet'!K96</f>
        <v>0.98317307692307521</v>
      </c>
      <c r="R3" s="34">
        <f>'Calculation Sheet'!L96</f>
        <v>0.52495378927911163</v>
      </c>
      <c r="S3" s="34">
        <f>'Calculation Sheet'!J96</f>
        <v>0.57382678367035467</v>
      </c>
      <c r="T3" s="34">
        <f>'Calculation Sheet'!F105</f>
        <v>14.921874999999872</v>
      </c>
      <c r="U3" s="34">
        <f>'Calculation Sheet'!G105</f>
        <v>-2.2634841909485415</v>
      </c>
      <c r="V3" s="34">
        <f>'Calculation Sheet'!H105</f>
        <v>0.82452999104744806</v>
      </c>
    </row>
    <row r="4" spans="1:22" ht="16" x14ac:dyDescent="0.2">
      <c r="A4" s="35"/>
      <c r="B4" s="35"/>
      <c r="C4" s="35"/>
      <c r="D4" s="36" t="s">
        <v>78</v>
      </c>
      <c r="E4" s="36" t="s">
        <v>78</v>
      </c>
      <c r="F4" s="36" t="s">
        <v>58</v>
      </c>
      <c r="G4" s="36" t="s">
        <v>78</v>
      </c>
      <c r="H4" s="36" t="s">
        <v>58</v>
      </c>
      <c r="I4" s="37"/>
      <c r="J4" s="37"/>
      <c r="K4" s="37"/>
      <c r="L4" s="37"/>
      <c r="M4" s="37"/>
      <c r="N4" s="37"/>
      <c r="O4" s="37"/>
      <c r="P4" s="37"/>
    </row>
    <row r="5" spans="1:22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O5" s="35"/>
      <c r="P5" s="35"/>
    </row>
    <row r="6" spans="1:22" x14ac:dyDescent="0.2">
      <c r="A6" s="38"/>
      <c r="B6" s="1"/>
      <c r="C6" s="35"/>
      <c r="D6" s="35"/>
      <c r="E6" s="35"/>
      <c r="G6" s="35"/>
      <c r="H6" s="35"/>
      <c r="I6" s="35"/>
      <c r="J6" s="35"/>
      <c r="O6" s="35"/>
      <c r="P6" s="35"/>
    </row>
    <row r="9" spans="1:22" x14ac:dyDescent="0.2">
      <c r="O9" s="35"/>
    </row>
    <row r="10" spans="1:22" x14ac:dyDescent="0.2">
      <c r="A10" s="54" t="s">
        <v>169</v>
      </c>
      <c r="B10" s="54"/>
      <c r="C10" s="54"/>
      <c r="D10" s="54"/>
      <c r="E10" s="54"/>
      <c r="F10" s="54"/>
      <c r="G10" s="54"/>
      <c r="H10" s="54"/>
      <c r="I10" s="54"/>
    </row>
    <row r="11" spans="1:22" x14ac:dyDescent="0.2">
      <c r="A11" s="54"/>
      <c r="B11" s="54"/>
      <c r="C11" s="54"/>
      <c r="D11" s="54"/>
      <c r="E11" s="54"/>
      <c r="F11" s="54"/>
      <c r="G11" s="54"/>
      <c r="H11" s="54"/>
      <c r="I11" s="54"/>
    </row>
    <row r="12" spans="1:22" x14ac:dyDescent="0.2">
      <c r="A12" s="54"/>
      <c r="B12" s="54"/>
      <c r="C12" s="54"/>
      <c r="D12" s="54"/>
      <c r="E12" s="54"/>
      <c r="F12" s="54"/>
      <c r="G12" s="54"/>
      <c r="H12" s="54"/>
      <c r="I12" s="54"/>
    </row>
    <row r="13" spans="1:22" x14ac:dyDescent="0.2">
      <c r="A13" s="52" t="s">
        <v>207</v>
      </c>
      <c r="B13" s="52"/>
    </row>
    <row r="14" spans="1:22" x14ac:dyDescent="0.2">
      <c r="A14" s="39" t="s">
        <v>149</v>
      </c>
      <c r="B14" s="40">
        <f>C3</f>
        <v>1670.57</v>
      </c>
    </row>
    <row r="15" spans="1:22" x14ac:dyDescent="0.2">
      <c r="A15" s="39" t="s">
        <v>1</v>
      </c>
      <c r="B15" s="48">
        <f>'Data Sheet'!K17</f>
        <v>195.89</v>
      </c>
    </row>
    <row r="16" spans="1:22" x14ac:dyDescent="0.2">
      <c r="A16" s="39" t="s">
        <v>208</v>
      </c>
      <c r="B16" s="40">
        <f>B14/B15</f>
        <v>8.5281025065087555</v>
      </c>
      <c r="G16" s="41"/>
    </row>
    <row r="17" spans="1:11" x14ac:dyDescent="0.2">
      <c r="A17" s="39" t="s">
        <v>206</v>
      </c>
      <c r="B17" s="42">
        <v>0.04</v>
      </c>
      <c r="G17" s="41"/>
    </row>
    <row r="18" spans="1:11" x14ac:dyDescent="0.2">
      <c r="A18" s="39" t="s">
        <v>54</v>
      </c>
      <c r="B18" s="16">
        <v>0.18</v>
      </c>
      <c r="E18" s="52" t="s">
        <v>166</v>
      </c>
      <c r="F18" s="52"/>
      <c r="H18" s="52" t="s">
        <v>205</v>
      </c>
      <c r="I18" s="52"/>
    </row>
    <row r="19" spans="1:11" x14ac:dyDescent="0.2">
      <c r="A19" s="39" t="s">
        <v>185</v>
      </c>
      <c r="B19" s="16">
        <v>0.28499999999999998</v>
      </c>
      <c r="C19" s="1"/>
      <c r="E19" s="43" t="s">
        <v>157</v>
      </c>
      <c r="F19" s="40">
        <f>'Calculation Sheet'!H100-'Data Sheet'!K31</f>
        <v>20.379999999999981</v>
      </c>
      <c r="H19" s="43" t="s">
        <v>149</v>
      </c>
      <c r="I19" s="40">
        <f>C3</f>
        <v>1670.57</v>
      </c>
    </row>
    <row r="20" spans="1:11" x14ac:dyDescent="0.2">
      <c r="A20" s="44" t="s">
        <v>209</v>
      </c>
      <c r="B20" s="40">
        <f>FV(B19,5,0,B15,)*-1</f>
        <v>686.32197500292386</v>
      </c>
      <c r="C20" s="1"/>
      <c r="E20" s="45" t="s">
        <v>91</v>
      </c>
      <c r="F20" s="40">
        <f>'Data Sheet'!B6</f>
        <v>2.7404363517060366</v>
      </c>
      <c r="H20" s="43" t="s">
        <v>196</v>
      </c>
      <c r="I20" s="48">
        <v>19.25</v>
      </c>
    </row>
    <row r="21" spans="1:11" ht="15" customHeight="1" thickBot="1" x14ac:dyDescent="0.25">
      <c r="A21" s="44" t="s">
        <v>202</v>
      </c>
      <c r="B21" s="40">
        <f>B20*B17</f>
        <v>27.452879000116955</v>
      </c>
      <c r="C21" s="1"/>
      <c r="E21" s="45" t="s">
        <v>165</v>
      </c>
      <c r="F21" s="40">
        <f>F19/F20</f>
        <v>7.4367718802564333</v>
      </c>
      <c r="H21" s="43" t="s">
        <v>197</v>
      </c>
      <c r="I21" s="40">
        <f>I19/I20</f>
        <v>86.782857142857139</v>
      </c>
    </row>
    <row r="22" spans="1:11" ht="15" customHeight="1" x14ac:dyDescent="0.2">
      <c r="A22" s="44" t="s">
        <v>203</v>
      </c>
      <c r="B22" s="40">
        <f>B20+B21</f>
        <v>713.77485400304079</v>
      </c>
      <c r="C22" s="1"/>
      <c r="E22" s="45" t="s">
        <v>167</v>
      </c>
      <c r="F22" s="40">
        <f>'Calculation Sheet'!F101/Screen!F20</f>
        <v>-5.8859239660714628</v>
      </c>
      <c r="H22" s="46" t="s">
        <v>201</v>
      </c>
      <c r="I22" s="49">
        <f>I21*0.3</f>
        <v>26.034857142857142</v>
      </c>
      <c r="J22" s="66" t="s">
        <v>204</v>
      </c>
      <c r="K22" s="67"/>
    </row>
    <row r="23" spans="1:11" x14ac:dyDescent="0.2">
      <c r="A23" s="44" t="s">
        <v>186</v>
      </c>
      <c r="B23" s="40">
        <f>PV(B18,6,0,B22,)*-1</f>
        <v>264.4047177951519</v>
      </c>
      <c r="E23" s="45" t="s">
        <v>168</v>
      </c>
      <c r="F23" s="40">
        <f>'Calculation Sheet'!D101/Screen!F20</f>
        <v>4.0759932238696948</v>
      </c>
      <c r="H23" s="46" t="s">
        <v>198</v>
      </c>
      <c r="I23" s="49">
        <f>I21*0.5</f>
        <v>43.39142857142857</v>
      </c>
      <c r="J23" s="68"/>
      <c r="K23" s="69"/>
    </row>
    <row r="24" spans="1:11" x14ac:dyDescent="0.2">
      <c r="A24" s="45" t="s">
        <v>91</v>
      </c>
      <c r="B24" s="40">
        <f>'Data Sheet'!B6</f>
        <v>2.7404363517060366</v>
      </c>
      <c r="H24" s="46" t="s">
        <v>200</v>
      </c>
      <c r="I24" s="49">
        <f>I21*0.6</f>
        <v>52.069714285714284</v>
      </c>
      <c r="J24" s="68"/>
      <c r="K24" s="69"/>
    </row>
    <row r="25" spans="1:11" ht="22" customHeight="1" thickBot="1" x14ac:dyDescent="0.25">
      <c r="A25" s="45" t="s">
        <v>210</v>
      </c>
      <c r="B25" s="40">
        <f>B23/B24</f>
        <v>96.48270708077159</v>
      </c>
      <c r="H25" s="46" t="s">
        <v>199</v>
      </c>
      <c r="I25" s="49">
        <f>I21*0.75</f>
        <v>65.087142857142851</v>
      </c>
      <c r="J25" s="70"/>
      <c r="K25" s="71"/>
    </row>
    <row r="26" spans="1:11" x14ac:dyDescent="0.2">
      <c r="A26" s="45" t="s">
        <v>211</v>
      </c>
      <c r="B26" s="40">
        <f>B15/B24</f>
        <v>71.48131715522247</v>
      </c>
      <c r="E26" s="52" t="s">
        <v>170</v>
      </c>
      <c r="F26" s="52"/>
    </row>
    <row r="27" spans="1:11" x14ac:dyDescent="0.2">
      <c r="A27" s="47" t="s">
        <v>212</v>
      </c>
      <c r="B27" s="19">
        <f>(B25-B26)/B26</f>
        <v>0.34976118125045635</v>
      </c>
      <c r="E27" s="43" t="s">
        <v>154</v>
      </c>
      <c r="F27" s="40">
        <f>'Data Sheet'!K31</f>
        <v>5.48</v>
      </c>
    </row>
    <row r="28" spans="1:11" x14ac:dyDescent="0.2">
      <c r="E28" s="45" t="s">
        <v>91</v>
      </c>
      <c r="F28" s="40">
        <f>'Data Sheet'!B6</f>
        <v>2.7404363517060366</v>
      </c>
    </row>
    <row r="29" spans="1:11" x14ac:dyDescent="0.2">
      <c r="E29" s="45" t="s">
        <v>155</v>
      </c>
      <c r="F29" s="40">
        <f>F27/F28</f>
        <v>1.9996815458196906</v>
      </c>
    </row>
    <row r="30" spans="1:11" x14ac:dyDescent="0.2">
      <c r="A30" s="52" t="s">
        <v>213</v>
      </c>
      <c r="B30" s="52"/>
      <c r="E30" s="45" t="s">
        <v>171</v>
      </c>
      <c r="F30" s="40">
        <f>'Data Sheet'!I31/'Data Sheet'!I57</f>
        <v>0.15000000000000002</v>
      </c>
    </row>
    <row r="31" spans="1:11" x14ac:dyDescent="0.2">
      <c r="A31" s="39" t="s">
        <v>149</v>
      </c>
      <c r="B31" s="40">
        <f>C3</f>
        <v>1670.57</v>
      </c>
      <c r="E31" s="45" t="s">
        <v>172</v>
      </c>
      <c r="F31" s="40">
        <f>'Data Sheet'!G31/'Data Sheet'!G57</f>
        <v>0</v>
      </c>
    </row>
    <row r="32" spans="1:11" x14ac:dyDescent="0.2">
      <c r="A32" s="39" t="s">
        <v>214</v>
      </c>
      <c r="B32" s="48">
        <f>'Calculation Sheet'!B114</f>
        <v>7.02</v>
      </c>
    </row>
    <row r="33" spans="1:6" x14ac:dyDescent="0.2">
      <c r="A33" s="39" t="s">
        <v>216</v>
      </c>
      <c r="B33" s="40">
        <f>B31/B32</f>
        <v>237.97293447293447</v>
      </c>
    </row>
    <row r="34" spans="1:6" x14ac:dyDescent="0.2">
      <c r="A34" s="39" t="s">
        <v>206</v>
      </c>
      <c r="B34" s="42">
        <v>0.04</v>
      </c>
      <c r="E34" s="52" t="s">
        <v>195</v>
      </c>
      <c r="F34" s="52"/>
    </row>
    <row r="35" spans="1:6" x14ac:dyDescent="0.2">
      <c r="A35" s="39" t="s">
        <v>54</v>
      </c>
      <c r="B35" s="16">
        <v>0.18</v>
      </c>
      <c r="E35" s="44" t="s">
        <v>188</v>
      </c>
      <c r="F35" s="19">
        <f>MIN(B27,B44,)</f>
        <v>0</v>
      </c>
    </row>
    <row r="36" spans="1:6" x14ac:dyDescent="0.2">
      <c r="A36" s="39" t="s">
        <v>185</v>
      </c>
      <c r="B36" s="16">
        <v>0.28499999999999998</v>
      </c>
      <c r="E36" s="44" t="s">
        <v>187</v>
      </c>
      <c r="F36" s="19">
        <f>MAX(B27,B44,)</f>
        <v>0.34976118125045669</v>
      </c>
    </row>
    <row r="37" spans="1:6" x14ac:dyDescent="0.2">
      <c r="A37" s="44" t="s">
        <v>215</v>
      </c>
      <c r="B37" s="40">
        <f>FV(B36,5,0,B32,)*-1</f>
        <v>24.59533546643793</v>
      </c>
      <c r="E37" s="44" t="s">
        <v>194</v>
      </c>
      <c r="F37" s="19">
        <f>MEDIAN((F35,F36))</f>
        <v>0.17488059062522834</v>
      </c>
    </row>
    <row r="38" spans="1:6" x14ac:dyDescent="0.2">
      <c r="A38" s="44" t="s">
        <v>202</v>
      </c>
      <c r="B38" s="40">
        <f>B37*B34</f>
        <v>0.98381341865751726</v>
      </c>
    </row>
    <row r="39" spans="1:6" x14ac:dyDescent="0.2">
      <c r="A39" s="44" t="s">
        <v>203</v>
      </c>
      <c r="B39" s="40">
        <f>B37+B38</f>
        <v>25.579148885095449</v>
      </c>
    </row>
    <row r="40" spans="1:6" x14ac:dyDescent="0.2">
      <c r="A40" s="44" t="s">
        <v>186</v>
      </c>
      <c r="B40" s="40">
        <f>PV(B35,6,0,B39,)*-1</f>
        <v>9.4753234923782053</v>
      </c>
    </row>
    <row r="41" spans="1:6" x14ac:dyDescent="0.2">
      <c r="A41" s="45" t="s">
        <v>91</v>
      </c>
      <c r="B41" s="40">
        <f>'Data Sheet'!B6</f>
        <v>2.7404363517060366</v>
      </c>
    </row>
    <row r="42" spans="1:6" x14ac:dyDescent="0.2">
      <c r="A42" s="45" t="s">
        <v>217</v>
      </c>
      <c r="B42" s="40">
        <f>B40/B41</f>
        <v>3.4575966292665106</v>
      </c>
    </row>
    <row r="43" spans="1:6" x14ac:dyDescent="0.2">
      <c r="A43" s="45" t="s">
        <v>218</v>
      </c>
      <c r="B43" s="40">
        <f>B32/B41</f>
        <v>2.5616358488420121</v>
      </c>
    </row>
    <row r="44" spans="1:6" x14ac:dyDescent="0.2">
      <c r="A44" s="47" t="s">
        <v>173</v>
      </c>
      <c r="B44" s="19">
        <f>(B42-B43)/B43</f>
        <v>0.34976118125045669</v>
      </c>
    </row>
    <row r="45" spans="1:6" x14ac:dyDescent="0.2">
      <c r="C45" s="1"/>
    </row>
  </sheetData>
  <sheetProtection algorithmName="SHA-512" hashValue="jwt3FdoMJ7EIKZNOESZ6tXBt9S0cn4IHhHguUSzqagWrpy5wkYeib78l9nmAqaGtIME4DUWRlBnLphul5qxtvg==" saltValue="47wqTvXS6NjGhmesSlxY8Q==" spinCount="100000" sheet="1" objects="1" scenarios="1" selectLockedCells="1"/>
  <mergeCells count="16">
    <mergeCell ref="E34:F34"/>
    <mergeCell ref="A30:B30"/>
    <mergeCell ref="E18:F18"/>
    <mergeCell ref="T1:V1"/>
    <mergeCell ref="A13:B13"/>
    <mergeCell ref="E26:F26"/>
    <mergeCell ref="Q1:S1"/>
    <mergeCell ref="A10:I12"/>
    <mergeCell ref="O1:P1"/>
    <mergeCell ref="M1:N1"/>
    <mergeCell ref="D1:E1"/>
    <mergeCell ref="F1:H1"/>
    <mergeCell ref="I1:J1"/>
    <mergeCell ref="K1:L1"/>
    <mergeCell ref="H18:I18"/>
    <mergeCell ref="J22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246-0605-A944-B5E5-B235B0D6079A}">
  <dimension ref="A1:B17"/>
  <sheetViews>
    <sheetView tabSelected="1" zoomScale="125" workbookViewId="0">
      <selection activeCell="A5" sqref="A5"/>
    </sheetView>
  </sheetViews>
  <sheetFormatPr baseColWidth="10" defaultRowHeight="15" x14ac:dyDescent="0.2"/>
  <cols>
    <col min="1" max="1" width="73" bestFit="1" customWidth="1"/>
  </cols>
  <sheetData>
    <row r="1" spans="1:1" x14ac:dyDescent="0.2">
      <c r="A1" s="1" t="s">
        <v>174</v>
      </c>
    </row>
    <row r="2" spans="1:1" x14ac:dyDescent="0.2">
      <c r="A2" s="1" t="s">
        <v>175</v>
      </c>
    </row>
    <row r="4" spans="1:1" x14ac:dyDescent="0.2">
      <c r="A4" s="1" t="s">
        <v>176</v>
      </c>
    </row>
    <row r="5" spans="1:1" x14ac:dyDescent="0.2">
      <c r="A5" s="17" t="s">
        <v>177</v>
      </c>
    </row>
    <row r="6" spans="1:1" x14ac:dyDescent="0.2">
      <c r="A6" s="1" t="s">
        <v>178</v>
      </c>
    </row>
    <row r="7" spans="1:1" x14ac:dyDescent="0.2">
      <c r="A7" s="17" t="s">
        <v>179</v>
      </c>
    </row>
    <row r="10" spans="1:1" x14ac:dyDescent="0.2">
      <c r="A10" s="1" t="s">
        <v>180</v>
      </c>
    </row>
    <row r="11" spans="1:1" x14ac:dyDescent="0.2">
      <c r="A11" s="1" t="s">
        <v>181</v>
      </c>
    </row>
    <row r="13" spans="1:1" x14ac:dyDescent="0.2">
      <c r="A13" s="1" t="s">
        <v>182</v>
      </c>
    </row>
    <row r="14" spans="1:1" x14ac:dyDescent="0.2">
      <c r="A14" t="s">
        <v>183</v>
      </c>
    </row>
    <row r="15" spans="1:1" x14ac:dyDescent="0.2">
      <c r="A15" t="s">
        <v>184</v>
      </c>
    </row>
    <row r="17" spans="1:2" x14ac:dyDescent="0.2">
      <c r="A17" s="1" t="s">
        <v>219</v>
      </c>
      <c r="B17">
        <v>1.07</v>
      </c>
    </row>
  </sheetData>
  <sheetProtection algorithmName="SHA-512" hashValue="hH/1O0svQ+gc6SAL8btVDwq2AeTQeQoMe0g3T3euS7yHyYsYQatOA2yUB3UIoYAe7QTkCUdwnh/QO/kRWquKzg==" saltValue="3RBiYcXnLXe7cYJCe2fqqA==" spinCount="100000" sheet="1" objects="1" scenarios="1" selectLockedCells="1"/>
  <hyperlinks>
    <hyperlink ref="A7" r:id="rId1" xr:uid="{4399169A-9B2A-894C-BDAC-7BEA19D78C99}"/>
    <hyperlink ref="A5" r:id="rId2" xr:uid="{18ABF1B6-7490-8E4F-94AE-A486AD9DD5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0C80-2B10-48E3-997C-D8457656B167}">
  <dimension ref="A1:O114"/>
  <sheetViews>
    <sheetView topLeftCell="A104" workbookViewId="0">
      <selection activeCell="B114" sqref="B114"/>
    </sheetView>
  </sheetViews>
  <sheetFormatPr baseColWidth="10" defaultColWidth="11.5" defaultRowHeight="15" x14ac:dyDescent="0.2"/>
  <cols>
    <col min="1" max="1" width="25.5" customWidth="1"/>
    <col min="9" max="9" width="30.1640625" customWidth="1"/>
    <col min="10" max="10" width="24.33203125" customWidth="1"/>
  </cols>
  <sheetData>
    <row r="1" spans="1:2" x14ac:dyDescent="0.2">
      <c r="A1" s="4" t="s">
        <v>80</v>
      </c>
    </row>
    <row r="2" spans="1:2" x14ac:dyDescent="0.2">
      <c r="A2" s="4" t="s">
        <v>81</v>
      </c>
    </row>
    <row r="3" spans="1:2" x14ac:dyDescent="0.2">
      <c r="A3" s="4" t="s">
        <v>82</v>
      </c>
    </row>
    <row r="4" spans="1:2" x14ac:dyDescent="0.2">
      <c r="A4" s="4" t="s">
        <v>83</v>
      </c>
    </row>
    <row r="5" spans="1:2" x14ac:dyDescent="0.2">
      <c r="A5" s="4" t="s">
        <v>84</v>
      </c>
    </row>
    <row r="6" spans="1:2" x14ac:dyDescent="0.2">
      <c r="A6" s="4" t="s">
        <v>85</v>
      </c>
    </row>
    <row r="7" spans="1:2" x14ac:dyDescent="0.2">
      <c r="A7" s="4" t="s">
        <v>86</v>
      </c>
    </row>
    <row r="8" spans="1:2" x14ac:dyDescent="0.2">
      <c r="A8" s="4" t="s">
        <v>87</v>
      </c>
    </row>
    <row r="9" spans="1:2" x14ac:dyDescent="0.2">
      <c r="A9" s="4" t="s">
        <v>88</v>
      </c>
    </row>
    <row r="10" spans="1:2" x14ac:dyDescent="0.2">
      <c r="A10" s="4" t="s">
        <v>89</v>
      </c>
    </row>
    <row r="15" spans="1:2" x14ac:dyDescent="0.2">
      <c r="A15" s="9" t="s">
        <v>90</v>
      </c>
      <c r="B15">
        <f>'Data Sheet'!B8</f>
        <v>609.6</v>
      </c>
    </row>
    <row r="16" spans="1:2" x14ac:dyDescent="0.2">
      <c r="A16" s="9" t="s">
        <v>91</v>
      </c>
      <c r="B16">
        <f>'Data Sheet'!B6</f>
        <v>2.7404363517060366</v>
      </c>
    </row>
    <row r="17" spans="1:2" x14ac:dyDescent="0.2">
      <c r="A17" s="9" t="s">
        <v>55</v>
      </c>
      <c r="B17">
        <f>'Data Sheet'!B9</f>
        <v>1670.57</v>
      </c>
    </row>
    <row r="19" spans="1:2" x14ac:dyDescent="0.2">
      <c r="A19" s="72" t="s">
        <v>92</v>
      </c>
      <c r="B19" s="72"/>
    </row>
    <row r="20" spans="1:2" x14ac:dyDescent="0.2">
      <c r="A20" s="73" t="s">
        <v>93</v>
      </c>
      <c r="B20" s="73"/>
    </row>
    <row r="21" spans="1:2" x14ac:dyDescent="0.2">
      <c r="A21" s="4" t="s">
        <v>94</v>
      </c>
      <c r="B21">
        <f>'Data Sheet'!K57+'Data Sheet'!K58</f>
        <v>225.15</v>
      </c>
    </row>
    <row r="22" spans="1:2" x14ac:dyDescent="0.2">
      <c r="A22" s="4" t="s">
        <v>95</v>
      </c>
      <c r="B22">
        <f>'Data Sheet'!J57+'Data Sheet'!J58</f>
        <v>201.59</v>
      </c>
    </row>
    <row r="23" spans="1:2" x14ac:dyDescent="0.2">
      <c r="A23" s="10" t="s">
        <v>96</v>
      </c>
      <c r="B23">
        <f>AVERAGE(B21:B22)</f>
        <v>213.37</v>
      </c>
    </row>
    <row r="24" spans="1:2" x14ac:dyDescent="0.2">
      <c r="A24" s="73" t="s">
        <v>97</v>
      </c>
      <c r="B24" s="73"/>
    </row>
    <row r="25" spans="1:2" x14ac:dyDescent="0.2">
      <c r="A25" s="4" t="s">
        <v>98</v>
      </c>
      <c r="B25">
        <f>'Data Sheet'!K30</f>
        <v>27.73</v>
      </c>
    </row>
    <row r="26" spans="1:2" x14ac:dyDescent="0.2">
      <c r="A26" s="11" t="s">
        <v>56</v>
      </c>
      <c r="B26" s="12">
        <f>B25/B23</f>
        <v>0.12996203777475746</v>
      </c>
    </row>
    <row r="28" spans="1:2" x14ac:dyDescent="0.2">
      <c r="A28" s="72" t="s">
        <v>99</v>
      </c>
      <c r="B28" s="72"/>
    </row>
    <row r="29" spans="1:2" x14ac:dyDescent="0.2">
      <c r="A29" s="73" t="s">
        <v>100</v>
      </c>
      <c r="B29" s="73"/>
    </row>
    <row r="30" spans="1:2" x14ac:dyDescent="0.2">
      <c r="A30" t="s">
        <v>101</v>
      </c>
      <c r="B30">
        <f>'Data Sheet'!K59</f>
        <v>0</v>
      </c>
    </row>
    <row r="31" spans="1:2" x14ac:dyDescent="0.2">
      <c r="A31" t="s">
        <v>102</v>
      </c>
      <c r="B31">
        <f>'Data Sheet'!J59</f>
        <v>13.2</v>
      </c>
    </row>
    <row r="32" spans="1:2" x14ac:dyDescent="0.2">
      <c r="A32" s="4" t="s">
        <v>103</v>
      </c>
      <c r="B32">
        <f>B21+B30</f>
        <v>225.15</v>
      </c>
    </row>
    <row r="33" spans="1:2" x14ac:dyDescent="0.2">
      <c r="A33" s="4" t="s">
        <v>104</v>
      </c>
      <c r="B33">
        <f>B22+B31</f>
        <v>214.79</v>
      </c>
    </row>
    <row r="34" spans="1:2" x14ac:dyDescent="0.2">
      <c r="A34" s="10" t="s">
        <v>105</v>
      </c>
      <c r="B34">
        <f>AVERAGE(B32:B33)</f>
        <v>219.97</v>
      </c>
    </row>
    <row r="35" spans="1:2" x14ac:dyDescent="0.2">
      <c r="A35" s="73" t="s">
        <v>106</v>
      </c>
      <c r="B35" s="73"/>
    </row>
    <row r="36" spans="1:2" x14ac:dyDescent="0.2">
      <c r="A36" t="s">
        <v>107</v>
      </c>
      <c r="B36">
        <f>'Data Sheet'!K17</f>
        <v>195.89</v>
      </c>
    </row>
    <row r="37" spans="1:2" x14ac:dyDescent="0.2">
      <c r="A37" t="s">
        <v>108</v>
      </c>
      <c r="B37">
        <f>SUM('Data Sheet'!K18:K24)</f>
        <v>167.78</v>
      </c>
    </row>
    <row r="38" spans="1:2" x14ac:dyDescent="0.2">
      <c r="A38" t="s">
        <v>109</v>
      </c>
      <c r="B38">
        <f>'Data Sheet'!K26</f>
        <v>4.13</v>
      </c>
    </row>
    <row r="39" spans="1:2" x14ac:dyDescent="0.2">
      <c r="A39" s="11" t="s">
        <v>110</v>
      </c>
      <c r="B39">
        <f>B36-B37-B38</f>
        <v>23.979999999999986</v>
      </c>
    </row>
    <row r="40" spans="1:2" x14ac:dyDescent="0.2">
      <c r="A40" s="72" t="s">
        <v>111</v>
      </c>
      <c r="B40" s="72"/>
    </row>
    <row r="41" spans="1:2" x14ac:dyDescent="0.2">
      <c r="A41" s="11" t="s">
        <v>57</v>
      </c>
      <c r="B41" s="12">
        <f>B39/B34</f>
        <v>0.10901486566349951</v>
      </c>
    </row>
    <row r="43" spans="1:2" x14ac:dyDescent="0.2">
      <c r="A43" s="72" t="s">
        <v>112</v>
      </c>
      <c r="B43" s="72"/>
    </row>
    <row r="44" spans="1:2" x14ac:dyDescent="0.2">
      <c r="A44" t="s">
        <v>91</v>
      </c>
      <c r="B44">
        <f>B16</f>
        <v>2.7404363517060366</v>
      </c>
    </row>
    <row r="45" spans="1:2" x14ac:dyDescent="0.2">
      <c r="A45" s="11" t="s">
        <v>113</v>
      </c>
      <c r="B45">
        <f>B23/B44</f>
        <v>77.859863399917401</v>
      </c>
    </row>
    <row r="47" spans="1:2" x14ac:dyDescent="0.2">
      <c r="A47" s="72" t="s">
        <v>114</v>
      </c>
      <c r="B47" s="72"/>
    </row>
    <row r="48" spans="1:2" x14ac:dyDescent="0.2">
      <c r="A48" t="s">
        <v>115</v>
      </c>
      <c r="B48">
        <f>SUM('Data Sheet'!H49:K49)</f>
        <v>42.81</v>
      </c>
    </row>
    <row r="49" spans="1:15" x14ac:dyDescent="0.2">
      <c r="A49" s="11" t="s">
        <v>116</v>
      </c>
      <c r="B49">
        <f>B48/B16</f>
        <v>15.621599813237399</v>
      </c>
    </row>
    <row r="51" spans="1:15" x14ac:dyDescent="0.2">
      <c r="A51" s="72" t="s">
        <v>117</v>
      </c>
      <c r="B51" s="72"/>
    </row>
    <row r="52" spans="1:15" x14ac:dyDescent="0.2">
      <c r="A52" s="11" t="s">
        <v>118</v>
      </c>
      <c r="B52">
        <f>B15/B49</f>
        <v>39.022891847699135</v>
      </c>
    </row>
    <row r="54" spans="1:15" x14ac:dyDescent="0.2">
      <c r="A54" s="72" t="s">
        <v>119</v>
      </c>
      <c r="B54" s="72"/>
    </row>
    <row r="55" spans="1:15" x14ac:dyDescent="0.2">
      <c r="A55" s="11" t="s">
        <v>120</v>
      </c>
      <c r="B55">
        <f>B15/B45</f>
        <v>7.8294511880770488</v>
      </c>
    </row>
    <row r="57" spans="1:15" x14ac:dyDescent="0.2">
      <c r="A57" s="72" t="s">
        <v>121</v>
      </c>
      <c r="B57" s="72"/>
    </row>
    <row r="58" spans="1:15" x14ac:dyDescent="0.2">
      <c r="A58" t="s">
        <v>122</v>
      </c>
      <c r="B58">
        <f>SUM('Data Sheet'!H42:K42)</f>
        <v>253.59</v>
      </c>
    </row>
    <row r="59" spans="1:15" x14ac:dyDescent="0.2">
      <c r="A59" s="11" t="s">
        <v>123</v>
      </c>
      <c r="B59">
        <f>B17/B58</f>
        <v>6.587680902243779</v>
      </c>
    </row>
    <row r="61" spans="1:15" x14ac:dyDescent="0.2">
      <c r="A61" s="72" t="s">
        <v>124</v>
      </c>
      <c r="B61" s="72"/>
      <c r="D61" s="1" t="s">
        <v>125</v>
      </c>
      <c r="I61" s="72" t="s">
        <v>126</v>
      </c>
      <c r="J61" s="72"/>
      <c r="L61" s="1" t="s">
        <v>125</v>
      </c>
    </row>
    <row r="62" spans="1:15" x14ac:dyDescent="0.2">
      <c r="A62" s="4" t="s">
        <v>127</v>
      </c>
      <c r="B62">
        <f>'Data Sheet'!K49</f>
        <v>10.53</v>
      </c>
      <c r="D62">
        <f>B62-(B63)</f>
        <v>1.3599999999999994</v>
      </c>
      <c r="I62" s="4" t="s">
        <v>127</v>
      </c>
      <c r="J62">
        <f>'Data Sheet'!J49</f>
        <v>14.42</v>
      </c>
      <c r="L62">
        <f>J62-(J63)</f>
        <v>4.26</v>
      </c>
    </row>
    <row r="63" spans="1:15" x14ac:dyDescent="0.2">
      <c r="A63" s="4" t="s">
        <v>128</v>
      </c>
      <c r="B63">
        <f>'Data Sheet'!G49</f>
        <v>9.17</v>
      </c>
      <c r="D63">
        <f>ABS(ABS(B63)-1)</f>
        <v>8.17</v>
      </c>
      <c r="E63">
        <f>B63</f>
        <v>9.17</v>
      </c>
      <c r="F63" s="12">
        <f>D62/D63</f>
        <v>0.16646266829865355</v>
      </c>
      <c r="G63" s="12">
        <f>D62/E63</f>
        <v>0.14830970556161391</v>
      </c>
      <c r="I63" s="4" t="s">
        <v>128</v>
      </c>
      <c r="J63">
        <f>'Data Sheet'!F49</f>
        <v>10.16</v>
      </c>
      <c r="L63">
        <f>ABS(ABS(J63)-1)</f>
        <v>9.16</v>
      </c>
      <c r="M63">
        <f>J63</f>
        <v>10.16</v>
      </c>
      <c r="N63" s="12">
        <f>L62/L63</f>
        <v>0.46506550218340609</v>
      </c>
      <c r="O63" s="12">
        <f>L62/M63</f>
        <v>0.41929133858267714</v>
      </c>
    </row>
    <row r="64" spans="1:15" x14ac:dyDescent="0.2">
      <c r="A64" s="11" t="s">
        <v>129</v>
      </c>
      <c r="B64" s="12">
        <f>IF(B63&lt;0,F63,G63)</f>
        <v>0.14830970556161391</v>
      </c>
      <c r="C64" s="13"/>
      <c r="I64" s="11" t="s">
        <v>129</v>
      </c>
      <c r="J64" s="12">
        <f>IF(J63&lt;0,N63,O63)</f>
        <v>0.41929133858267714</v>
      </c>
      <c r="K64" s="13"/>
    </row>
    <row r="66" spans="1:15" x14ac:dyDescent="0.2">
      <c r="A66" s="72" t="s">
        <v>130</v>
      </c>
      <c r="B66" s="72"/>
      <c r="D66" s="1" t="s">
        <v>125</v>
      </c>
      <c r="I66" s="72" t="s">
        <v>131</v>
      </c>
      <c r="J66" s="72"/>
      <c r="L66" s="1" t="s">
        <v>125</v>
      </c>
    </row>
    <row r="67" spans="1:15" x14ac:dyDescent="0.2">
      <c r="A67" s="4" t="s">
        <v>132</v>
      </c>
      <c r="B67">
        <f>'Data Sheet'!K42</f>
        <v>65.22</v>
      </c>
      <c r="D67">
        <f>(B67-(B68))</f>
        <v>12.019999999999996</v>
      </c>
      <c r="I67" s="4" t="s">
        <v>132</v>
      </c>
      <c r="J67">
        <f>'Data Sheet'!J42</f>
        <v>72.92</v>
      </c>
      <c r="L67">
        <f>(J67-(J68))</f>
        <v>12.32</v>
      </c>
    </row>
    <row r="68" spans="1:15" x14ac:dyDescent="0.2">
      <c r="A68" s="4" t="s">
        <v>133</v>
      </c>
      <c r="B68">
        <f>'Data Sheet'!G42</f>
        <v>53.2</v>
      </c>
      <c r="D68">
        <f>ABS(ABS(B68)-1)</f>
        <v>52.2</v>
      </c>
      <c r="E68">
        <f>B68</f>
        <v>53.2</v>
      </c>
      <c r="F68" s="12">
        <f>D67/D68</f>
        <v>0.23026819923371639</v>
      </c>
      <c r="G68" s="12">
        <f>D67/E68</f>
        <v>0.22593984962406005</v>
      </c>
      <c r="I68" s="4" t="s">
        <v>133</v>
      </c>
      <c r="J68">
        <f>'Data Sheet'!F42</f>
        <v>60.6</v>
      </c>
      <c r="L68">
        <f>ABS(ABS(J68)-1)</f>
        <v>59.6</v>
      </c>
      <c r="M68">
        <f>J68</f>
        <v>60.6</v>
      </c>
      <c r="N68" s="12">
        <f>L67/L68</f>
        <v>0.20671140939597316</v>
      </c>
      <c r="O68" s="12">
        <f>L67/M68</f>
        <v>0.2033003300330033</v>
      </c>
    </row>
    <row r="69" spans="1:15" x14ac:dyDescent="0.2">
      <c r="A69" s="11" t="s">
        <v>134</v>
      </c>
      <c r="B69" s="12">
        <f>IF(B68&lt;0,F68,G68)</f>
        <v>0.22593984962406005</v>
      </c>
      <c r="I69" s="11" t="s">
        <v>134</v>
      </c>
      <c r="J69" s="12">
        <f>IF(J68&lt;0,N68,O68)</f>
        <v>0.2033003300330033</v>
      </c>
    </row>
    <row r="71" spans="1:15" x14ac:dyDescent="0.2">
      <c r="A71" s="72" t="s">
        <v>135</v>
      </c>
      <c r="B71" s="72"/>
      <c r="D71" s="1" t="s">
        <v>125</v>
      </c>
    </row>
    <row r="72" spans="1:15" x14ac:dyDescent="0.2">
      <c r="A72" t="s">
        <v>127</v>
      </c>
      <c r="B72">
        <f>'Data Sheet'!K49</f>
        <v>10.53</v>
      </c>
      <c r="D72">
        <f>B72-(B73)</f>
        <v>-3.8900000000000006</v>
      </c>
    </row>
    <row r="73" spans="1:15" x14ac:dyDescent="0.2">
      <c r="A73" s="4" t="s">
        <v>136</v>
      </c>
      <c r="B73">
        <f>'Data Sheet'!J49</f>
        <v>14.42</v>
      </c>
      <c r="D73">
        <f>ABS(ABS(B73)-1)</f>
        <v>13.42</v>
      </c>
      <c r="E73">
        <f>B73</f>
        <v>14.42</v>
      </c>
      <c r="F73" s="12">
        <f>D72/D73</f>
        <v>-0.28986587183308499</v>
      </c>
      <c r="G73" s="12">
        <f>D72/E73</f>
        <v>-0.26976421636615816</v>
      </c>
      <c r="I73">
        <f>'Data Sheet'!J17-'Data Sheet'!J18-'Data Sheet'!J20-'Data Sheet'!J21-'Data Sheet'!J22-'Data Sheet'!J23-'Data Sheet'!J24+'Data Sheet'!J25+'Data Sheet'!J26</f>
        <v>20.800000000000011</v>
      </c>
      <c r="J73">
        <f>'Data Sheet'!K17-'Data Sheet'!K18-'Data Sheet'!K20-'Data Sheet'!K21-'Data Sheet'!K22-'Data Sheet'!K23-'Data Sheet'!K24+'Data Sheet'!K25+'Data Sheet'!K26</f>
        <v>41.249999999999986</v>
      </c>
    </row>
    <row r="74" spans="1:15" x14ac:dyDescent="0.2">
      <c r="A74" s="11" t="s">
        <v>137</v>
      </c>
      <c r="B74" s="14">
        <f>IF(B73&lt;0,F73,G73)</f>
        <v>-0.26976421636615816</v>
      </c>
    </row>
    <row r="76" spans="1:15" x14ac:dyDescent="0.2">
      <c r="A76" s="72" t="s">
        <v>138</v>
      </c>
      <c r="B76" s="72"/>
      <c r="D76" s="1" t="s">
        <v>125</v>
      </c>
    </row>
    <row r="77" spans="1:15" ht="20" x14ac:dyDescent="0.2">
      <c r="A77" t="s">
        <v>132</v>
      </c>
      <c r="B77">
        <f>'Data Sheet'!K42</f>
        <v>65.22</v>
      </c>
      <c r="D77">
        <f>B77-(B78)</f>
        <v>-7.7000000000000028</v>
      </c>
      <c r="J77" s="18"/>
    </row>
    <row r="78" spans="1:15" x14ac:dyDescent="0.2">
      <c r="A78" s="4" t="s">
        <v>139</v>
      </c>
      <c r="B78">
        <f>'Data Sheet'!J42</f>
        <v>72.92</v>
      </c>
      <c r="D78">
        <f>ABS(ABS(B78)-1)</f>
        <v>71.92</v>
      </c>
      <c r="E78">
        <f>B78</f>
        <v>72.92</v>
      </c>
      <c r="F78" s="12">
        <f>D77/D78</f>
        <v>-0.10706340378198001</v>
      </c>
      <c r="G78" s="12">
        <f>D77/E78</f>
        <v>-0.10559517279210097</v>
      </c>
    </row>
    <row r="79" spans="1:15" x14ac:dyDescent="0.2">
      <c r="A79" s="11" t="s">
        <v>140</v>
      </c>
      <c r="B79" s="14">
        <f>IF(B78&lt;0,F78,G78)</f>
        <v>-0.10559517279210097</v>
      </c>
    </row>
    <row r="81" spans="1:12" x14ac:dyDescent="0.2">
      <c r="A81" s="72" t="s">
        <v>141</v>
      </c>
      <c r="B81" s="72"/>
      <c r="D81" s="1" t="s">
        <v>125</v>
      </c>
    </row>
    <row r="82" spans="1:12" x14ac:dyDescent="0.2">
      <c r="A82" s="4" t="s">
        <v>142</v>
      </c>
      <c r="B82">
        <f>'Data Sheet'!K17</f>
        <v>195.89</v>
      </c>
      <c r="D82">
        <f>(B82-(B83))</f>
        <v>55.339999999999975</v>
      </c>
    </row>
    <row r="83" spans="1:12" x14ac:dyDescent="0.2">
      <c r="A83" s="4" t="s">
        <v>143</v>
      </c>
      <c r="B83">
        <f>'Data Sheet'!J17</f>
        <v>140.55000000000001</v>
      </c>
      <c r="D83">
        <f>ABS(ABS(B83)-1)</f>
        <v>139.55000000000001</v>
      </c>
      <c r="E83">
        <f>B83</f>
        <v>140.55000000000001</v>
      </c>
      <c r="F83" s="12">
        <f>D82/D83</f>
        <v>0.39656037262629862</v>
      </c>
      <c r="G83" s="12">
        <f>D82/E83</f>
        <v>0.39373888295980058</v>
      </c>
    </row>
    <row r="84" spans="1:12" x14ac:dyDescent="0.2">
      <c r="A84" s="11" t="s">
        <v>144</v>
      </c>
      <c r="B84" s="12">
        <f>IF(B83&lt;0,F83,G83)</f>
        <v>0.39373888295980058</v>
      </c>
    </row>
    <row r="86" spans="1:12" x14ac:dyDescent="0.2">
      <c r="A86" s="72" t="s">
        <v>145</v>
      </c>
      <c r="B86" s="72"/>
      <c r="D86" s="1" t="s">
        <v>125</v>
      </c>
    </row>
    <row r="87" spans="1:12" x14ac:dyDescent="0.2">
      <c r="A87" s="4" t="s">
        <v>146</v>
      </c>
      <c r="B87">
        <f>'Data Sheet'!K30</f>
        <v>27.73</v>
      </c>
      <c r="D87">
        <f>(B87-(B88))</f>
        <v>11.120000000000001</v>
      </c>
    </row>
    <row r="88" spans="1:12" x14ac:dyDescent="0.2">
      <c r="A88" s="4" t="s">
        <v>147</v>
      </c>
      <c r="B88">
        <f>'Data Sheet'!J30</f>
        <v>16.61</v>
      </c>
      <c r="D88">
        <f>ABS(ABS(B88)-1)</f>
        <v>15.61</v>
      </c>
      <c r="E88">
        <f>B88</f>
        <v>16.61</v>
      </c>
      <c r="F88" s="12">
        <f>D87/D88</f>
        <v>0.7123638693145421</v>
      </c>
      <c r="G88" s="12">
        <f>D87/E88</f>
        <v>0.66947621914509337</v>
      </c>
    </row>
    <row r="89" spans="1:12" x14ac:dyDescent="0.2">
      <c r="A89" s="11" t="s">
        <v>148</v>
      </c>
      <c r="B89" s="12">
        <f>IF(B88&lt;0,F88,G88)</f>
        <v>0.66947621914509337</v>
      </c>
    </row>
    <row r="95" spans="1:12" x14ac:dyDescent="0.2">
      <c r="J95" s="1">
        <v>5</v>
      </c>
      <c r="K95" s="1">
        <v>1</v>
      </c>
      <c r="L95" s="1">
        <v>3</v>
      </c>
    </row>
    <row r="96" spans="1:12" x14ac:dyDescent="0.2">
      <c r="A96">
        <f>'Data Sheet'!C17-'Data Sheet'!C18-'Data Sheet'!C20-'Data Sheet'!C21-'Data Sheet'!C22-'Data Sheet'!C23-'Data Sheet'!C24+'Data Sheet'!C25+'Data Sheet'!C26</f>
        <v>1.9899999999999984</v>
      </c>
      <c r="B96">
        <f>'Data Sheet'!D17-'Data Sheet'!D18-'Data Sheet'!D20-'Data Sheet'!D21-'Data Sheet'!D22-'Data Sheet'!D23-'Data Sheet'!D24+'Data Sheet'!D25+'Data Sheet'!D26</f>
        <v>12.150000000000004</v>
      </c>
      <c r="C96">
        <f>'Data Sheet'!E17-'Data Sheet'!E18-'Data Sheet'!E20-'Data Sheet'!E21-'Data Sheet'!E22-'Data Sheet'!E23-'Data Sheet'!E24+'Data Sheet'!E25+'Data Sheet'!E26</f>
        <v>9.7799999999999958</v>
      </c>
      <c r="D96">
        <f>'Data Sheet'!F17-'Data Sheet'!F18-'Data Sheet'!F20-'Data Sheet'!F21-'Data Sheet'!F22-'Data Sheet'!F23-'Data Sheet'!F24+'Data Sheet'!F25+'Data Sheet'!F26</f>
        <v>18.39</v>
      </c>
      <c r="E96">
        <f>'Data Sheet'!G17-'Data Sheet'!G18-'Data Sheet'!G20-'Data Sheet'!G21-'Data Sheet'!G22-'Data Sheet'!G23-'Data Sheet'!G24+'Data Sheet'!G25+'Data Sheet'!G26</f>
        <v>26.209999999999994</v>
      </c>
      <c r="F96">
        <f>'Data Sheet'!H17-'Data Sheet'!H18-'Data Sheet'!H20-'Data Sheet'!H21-'Data Sheet'!H22-'Data Sheet'!H23-'Data Sheet'!H24+'Data Sheet'!H25+'Data Sheet'!H26</f>
        <v>27.050000000000011</v>
      </c>
      <c r="G96">
        <f>'Data Sheet'!I17-'Data Sheet'!I18-'Data Sheet'!I20-'Data Sheet'!I21-'Data Sheet'!I22-'Data Sheet'!I23-'Data Sheet'!I24+'Data Sheet'!I25+'Data Sheet'!I26</f>
        <v>18.089999999999989</v>
      </c>
      <c r="H96">
        <f>'Data Sheet'!J17-'Data Sheet'!J18-'Data Sheet'!J20-'Data Sheet'!J21-'Data Sheet'!J22-'Data Sheet'!J23-'Data Sheet'!J24+'Data Sheet'!J25+'Data Sheet'!J26</f>
        <v>20.800000000000011</v>
      </c>
      <c r="I96">
        <f>'Data Sheet'!K17-'Data Sheet'!K18-'Data Sheet'!K20-'Data Sheet'!K21-'Data Sheet'!K22-'Data Sheet'!K23-'Data Sheet'!K24+'Data Sheet'!K25+'Data Sheet'!K26</f>
        <v>41.249999999999986</v>
      </c>
      <c r="J96">
        <f>(I96-E96)/E96</f>
        <v>0.57382678367035467</v>
      </c>
      <c r="K96">
        <f>(I96-H96)/H96</f>
        <v>0.98317307692307521</v>
      </c>
      <c r="L96">
        <f>(I96-F96)/F96</f>
        <v>0.52495378927911163</v>
      </c>
    </row>
    <row r="100" spans="1:8" x14ac:dyDescent="0.2">
      <c r="A100" t="s">
        <v>156</v>
      </c>
      <c r="B100">
        <f>'Data Sheet'!E17-'Data Sheet'!E18-'Data Sheet'!E19-'Data Sheet'!E20-'Data Sheet'!E21-'Data Sheet'!E22-'Data Sheet'!E23-'Data Sheet'!E24+'Data Sheet'!E25+'Data Sheet'!E26-'Data Sheet'!E27-'Data Sheet'!E29</f>
        <v>3.279999999999998</v>
      </c>
      <c r="C100">
        <f>'Data Sheet'!F17-'Data Sheet'!F18-'Data Sheet'!F19-'Data Sheet'!F20-'Data Sheet'!F21-'Data Sheet'!F22-'Data Sheet'!F23-'Data Sheet'!F24+'Data Sheet'!F25+'Data Sheet'!F26-'Data Sheet'!F27-'Data Sheet'!F29</f>
        <v>6.3200000000000038</v>
      </c>
      <c r="D100">
        <f>'Data Sheet'!G17-'Data Sheet'!G18-'Data Sheet'!G19-'Data Sheet'!G20-'Data Sheet'!G21-'Data Sheet'!G22-'Data Sheet'!G23-'Data Sheet'!G24+'Data Sheet'!G25+'Data Sheet'!G26-'Data Sheet'!G27-'Data Sheet'!G29</f>
        <v>11.169999999999993</v>
      </c>
      <c r="E100">
        <f>'Data Sheet'!H17-'Data Sheet'!H18-'Data Sheet'!H19-'Data Sheet'!H20-'Data Sheet'!H21-'Data Sheet'!H22-'Data Sheet'!H23-'Data Sheet'!H24+'Data Sheet'!H25+'Data Sheet'!H26-'Data Sheet'!H27-'Data Sheet'!H29</f>
        <v>3.9200000000000035</v>
      </c>
      <c r="F100">
        <f>'Data Sheet'!I17-'Data Sheet'!I18-'Data Sheet'!I19-'Data Sheet'!I20-'Data Sheet'!I21-'Data Sheet'!I22-'Data Sheet'!I23-'Data Sheet'!I24+'Data Sheet'!I25+'Data Sheet'!I26-'Data Sheet'!I27-'Data Sheet'!I29</f>
        <v>-12.020000000000007</v>
      </c>
      <c r="G100">
        <f>'Data Sheet'!J17-'Data Sheet'!J18-'Data Sheet'!J19-'Data Sheet'!J20-'Data Sheet'!J21-'Data Sheet'!J22-'Data Sheet'!J23-'Data Sheet'!J24+'Data Sheet'!J25+'Data Sheet'!J26-'Data Sheet'!J27-'Data Sheet'!J29</f>
        <v>5.3900000000000095</v>
      </c>
      <c r="H100">
        <f>'Data Sheet'!K17-'Data Sheet'!K18-'Data Sheet'!K19-'Data Sheet'!K20-'Data Sheet'!K21-'Data Sheet'!K22-'Data Sheet'!K23-'Data Sheet'!K24+'Data Sheet'!K25+'Data Sheet'!K26-'Data Sheet'!K27-'Data Sheet'!K29</f>
        <v>25.859999999999982</v>
      </c>
    </row>
    <row r="101" spans="1:8" x14ac:dyDescent="0.2">
      <c r="B101">
        <f>B100-'Data Sheet'!E31</f>
        <v>3.279999999999998</v>
      </c>
      <c r="C101">
        <f>C100-'Data Sheet'!F31</f>
        <v>6.3200000000000038</v>
      </c>
      <c r="D101">
        <f>D100-'Data Sheet'!G31</f>
        <v>11.169999999999993</v>
      </c>
      <c r="E101">
        <f>E100-'Data Sheet'!H31</f>
        <v>2.0900000000000034</v>
      </c>
      <c r="F101">
        <f>F100-'Data Sheet'!I31</f>
        <v>-16.130000000000006</v>
      </c>
      <c r="G101">
        <f>G100-'Data Sheet'!J31</f>
        <v>1.2800000000000091</v>
      </c>
      <c r="H101">
        <f>H100-'Data Sheet'!K31</f>
        <v>20.379999999999981</v>
      </c>
    </row>
    <row r="104" spans="1:8" x14ac:dyDescent="0.2">
      <c r="F104" t="s">
        <v>162</v>
      </c>
      <c r="G104" t="s">
        <v>163</v>
      </c>
      <c r="H104" t="s">
        <v>164</v>
      </c>
    </row>
    <row r="105" spans="1:8" x14ac:dyDescent="0.2">
      <c r="F105" s="15">
        <f>(H101-G101)/G101</f>
        <v>14.921874999999872</v>
      </c>
      <c r="G105" s="15">
        <f>(H101-F101)/F101</f>
        <v>-2.2634841909485415</v>
      </c>
      <c r="H105" s="15">
        <f>(H101-D101)/D101</f>
        <v>0.82452999104744806</v>
      </c>
    </row>
    <row r="109" spans="1:8" x14ac:dyDescent="0.2">
      <c r="A109" s="1" t="s">
        <v>189</v>
      </c>
    </row>
    <row r="110" spans="1:8" x14ac:dyDescent="0.2">
      <c r="A110" t="s">
        <v>1</v>
      </c>
      <c r="B110">
        <f>'Data Sheet'!K17</f>
        <v>195.89</v>
      </c>
    </row>
    <row r="111" spans="1:8" x14ac:dyDescent="0.2">
      <c r="A111" t="s">
        <v>190</v>
      </c>
      <c r="B111">
        <f>'Data Sheet'!K18+'Data Sheet'!K20+'Data Sheet'!K21+'Data Sheet'!K22+'Data Sheet'!K23+'Data Sheet'!K24</f>
        <v>162.72</v>
      </c>
    </row>
    <row r="112" spans="1:8" x14ac:dyDescent="0.2">
      <c r="A112" t="s">
        <v>191</v>
      </c>
      <c r="B112">
        <f>'Data Sheet'!K29</f>
        <v>10.23</v>
      </c>
    </row>
    <row r="113" spans="1:2" x14ac:dyDescent="0.2">
      <c r="A113" t="s">
        <v>192</v>
      </c>
      <c r="B113">
        <f>'Data Sheet'!K82-'Data Sheet'!J82</f>
        <v>15.919999999999998</v>
      </c>
    </row>
    <row r="114" spans="1:2" x14ac:dyDescent="0.2">
      <c r="A114" t="s">
        <v>193</v>
      </c>
      <c r="B114">
        <f>B110-(B111+B112)-B113</f>
        <v>7.02</v>
      </c>
    </row>
  </sheetData>
  <sheetProtection algorithmName="SHA-512" hashValue="qHb6S3Pw6AADFgE6YFZzpL/EE75PICFmV8JgqxR89EuLHWMJH2OKz+kiuGNRAln9AJx9gq+2foD3oF0BzU5aPA==" saltValue="gSutHV2sW3TjARhj656ANQ==" spinCount="100000" sheet="1" objects="1" scenarios="1" selectLockedCells="1" selectUnlockedCells="1"/>
  <mergeCells count="20">
    <mergeCell ref="A81:B81"/>
    <mergeCell ref="A86:B86"/>
    <mergeCell ref="A61:B61"/>
    <mergeCell ref="I61:J61"/>
    <mergeCell ref="A66:B66"/>
    <mergeCell ref="I66:J66"/>
    <mergeCell ref="A71:B71"/>
    <mergeCell ref="A76:B76"/>
    <mergeCell ref="A57:B57"/>
    <mergeCell ref="A19:B19"/>
    <mergeCell ref="A20:B20"/>
    <mergeCell ref="A24:B24"/>
    <mergeCell ref="A28:B28"/>
    <mergeCell ref="A29:B29"/>
    <mergeCell ref="A35:B35"/>
    <mergeCell ref="A40:B40"/>
    <mergeCell ref="A43:B43"/>
    <mergeCell ref="A47:B47"/>
    <mergeCell ref="A51:B51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Sheet</vt:lpstr>
      <vt:lpstr>Screen</vt:lpstr>
      <vt:lpstr>ABOUT</vt:lpstr>
      <vt:lpstr>Calculation Sheet</vt:lpstr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Mi_Screener_Template</dc:title>
  <dc:subject/>
  <dc:creator>The Microcap Investor (Mi)</dc:creator>
  <cp:keywords/>
  <dc:description/>
  <cp:lastModifiedBy>Ayush Agrawal</cp:lastModifiedBy>
  <cp:lastPrinted>2012-12-06T18:14:13Z</cp:lastPrinted>
  <dcterms:created xsi:type="dcterms:W3CDTF">2012-08-17T09:55:37Z</dcterms:created>
  <dcterms:modified xsi:type="dcterms:W3CDTF">2023-03-15T12:28:55Z</dcterms:modified>
  <cp:category/>
</cp:coreProperties>
</file>