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 Flores\Desktop\Biostatistics\Completed\"/>
    </mc:Choice>
  </mc:AlternateContent>
  <xr:revisionPtr revIDLastSave="0" documentId="13_ncr:1_{FD0BA61E-865E-4AC6-A187-10248BC5F549}" xr6:coauthVersionLast="47" xr6:coauthVersionMax="47" xr10:uidLastSave="{00000000-0000-0000-0000-000000000000}"/>
  <bookViews>
    <workbookView xWindow="-30828" yWindow="-108" windowWidth="30936" windowHeight="16776" xr2:uid="{7C963D72-1AC9-49B5-B1FC-74811742CE56}"/>
  </bookViews>
  <sheets>
    <sheet name="Sheet1" sheetId="1" r:id="rId1"/>
    <sheet name="Qui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C60" i="1"/>
  <c r="E60" i="1"/>
  <c r="B17" i="2"/>
  <c r="D17" i="2" s="1"/>
  <c r="D19" i="2" s="1"/>
  <c r="B18" i="2"/>
  <c r="B15" i="2"/>
  <c r="B23" i="1"/>
  <c r="B24" i="1" s="1"/>
  <c r="C23" i="1"/>
  <c r="C24" i="1" s="1"/>
  <c r="D23" i="1"/>
  <c r="E23" i="1"/>
  <c r="F23" i="1"/>
  <c r="G23" i="1"/>
  <c r="G24" i="1" s="1"/>
  <c r="H23" i="1"/>
  <c r="H24" i="1" s="1"/>
  <c r="I23" i="1"/>
  <c r="I24" i="1" s="1"/>
  <c r="J23" i="1"/>
  <c r="J24" i="1" s="1"/>
  <c r="K23" i="1"/>
  <c r="K24" i="1" s="1"/>
  <c r="D24" i="1"/>
  <c r="E24" i="1"/>
  <c r="F24" i="1"/>
  <c r="N69" i="1"/>
  <c r="N77" i="1"/>
  <c r="N38" i="1"/>
  <c r="N5" i="1"/>
  <c r="N21" i="1"/>
  <c r="N53" i="1"/>
  <c r="E59" i="1"/>
  <c r="D59" i="1"/>
  <c r="C59" i="1"/>
  <c r="E58" i="1"/>
  <c r="D58" i="1"/>
  <c r="C58" i="1"/>
  <c r="K52" i="1"/>
  <c r="K51" i="1"/>
  <c r="H41" i="1"/>
  <c r="H72" i="1"/>
  <c r="J72" i="1" s="1"/>
  <c r="F78" i="1" s="1"/>
  <c r="H71" i="1"/>
  <c r="N67" i="1" s="1"/>
  <c r="I53" i="1"/>
  <c r="H53" i="1"/>
  <c r="G53" i="1"/>
  <c r="F53" i="1"/>
  <c r="E53" i="1"/>
  <c r="D53" i="1"/>
  <c r="C53" i="1"/>
  <c r="B53" i="1"/>
  <c r="E17" i="2" l="1"/>
  <c r="E19" i="2" s="1"/>
  <c r="N54" i="1"/>
  <c r="J71" i="1"/>
  <c r="C78" i="1" s="1"/>
  <c r="D78" i="1" s="1"/>
  <c r="C79" i="1" s="1"/>
  <c r="N70" i="1"/>
  <c r="P69" i="1" s="1"/>
  <c r="G78" i="1"/>
  <c r="F79" i="1" s="1"/>
  <c r="J76" i="1"/>
  <c r="N75" i="1"/>
  <c r="K53" i="1"/>
  <c r="N51" i="1"/>
  <c r="E61" i="1"/>
  <c r="Q69" i="1" l="1"/>
  <c r="C80" i="1"/>
  <c r="N78" i="1" s="1"/>
  <c r="Q77" i="1" s="1"/>
  <c r="Q53" i="1"/>
  <c r="P53" i="1"/>
  <c r="P77" i="1" l="1"/>
  <c r="N37" i="1" l="1"/>
  <c r="N6" i="1"/>
  <c r="N3" i="1"/>
  <c r="Q5" i="1" l="1"/>
  <c r="Q37" i="1"/>
  <c r="P37" i="1"/>
  <c r="N22" i="1"/>
  <c r="N19" i="1"/>
  <c r="P5" i="1"/>
  <c r="P21" i="1" l="1"/>
  <c r="Q21" i="1"/>
</calcChain>
</file>

<file path=xl/sharedStrings.xml><?xml version="1.0" encoding="utf-8"?>
<sst xmlns="http://schemas.openxmlformats.org/spreadsheetml/2006/main" count="159" uniqueCount="70">
  <si>
    <t>A study is run to estimate the mean total cholesterol level in children 2-6 years of age. A sample of nine participants is selected and their total cholesterol levels are measured as follows.</t>
  </si>
  <si>
    <t>Generate a 95% confidence interval for the true mean total cholesterol level in children.</t>
  </si>
  <si>
    <t>A clinical trial is planned to compare an experimental medication designed to lower blood pressure to a placebo. Before starting the trial, a pilot study is conducted involving 10 participants. The objective of the study is to assess how SBP changes over time untreated. SBPs are measured at baseline and again 4 weeks later. Compute a 95% confidence interval for the difference in blood pressures over 4 weeks.</t>
  </si>
  <si>
    <t>Baseline</t>
  </si>
  <si>
    <t>4 Weeks</t>
  </si>
  <si>
    <t>Table 6.7</t>
  </si>
  <si>
    <t>Data for Practice Problem 3</t>
  </si>
  <si>
    <t>% Hypertensive</t>
  </si>
  <si>
    <t>Experimental (n=100)</t>
  </si>
  <si>
    <t>Placebo (n=100)</t>
  </si>
  <si>
    <t>The following data were collected as part of a study on coffee consumption among male and female undergraduate students. The following reflect cups consumed per day:</t>
  </si>
  <si>
    <t>Male</t>
  </si>
  <si>
    <t>Female</t>
  </si>
  <si>
    <t>Generate a 95% confidence interval for the difference in mean number of cups of coffee consumed per day between males and females.</t>
  </si>
  <si>
    <t>Table 6.8</t>
  </si>
  <si>
    <r>
      <t xml:space="preserve">After the pilot study described in Problem 2, the main trial is conducted and involves a total of 200 patients. Patients are enrolled and randomized to receive either the experimental medication or the placebo. The data shown in </t>
    </r>
    <r>
      <rPr>
        <b/>
        <sz val="11"/>
        <color theme="1"/>
        <rFont val="Calibri"/>
        <family val="2"/>
        <scheme val="minor"/>
      </rPr>
      <t>Table 6.7</t>
    </r>
    <r>
      <rPr>
        <sz val="11"/>
        <color theme="1"/>
        <rFont val="Calibri"/>
        <family val="2"/>
        <scheme val="minor"/>
      </rPr>
      <t xml:space="preserve"> are collected at the end of the study after 6 weeks on the assigned treatment and represent the percentages of patients in each treatment group who develop hypertension. Generate a 95% confidence interval for the difference in proportions of patients with hypertension between groups.</t>
    </r>
  </si>
  <si>
    <r>
      <t xml:space="preserve">A clinical trial is conducted comparing a new pain reliever for arthritis to a placebo. Participants are randomly assigned to receive the new medication or a placebo. The outcome is pain relief within 30 minutes. The data are shown in </t>
    </r>
    <r>
      <rPr>
        <b/>
        <sz val="11"/>
        <color theme="1"/>
        <rFont val="Calibri"/>
        <family val="2"/>
        <scheme val="minor"/>
      </rPr>
      <t>Table 6.8</t>
    </r>
    <r>
      <rPr>
        <sz val="11"/>
        <color theme="1"/>
        <rFont val="Calibri"/>
        <family val="2"/>
        <scheme val="minor"/>
      </rPr>
      <t>.</t>
    </r>
  </si>
  <si>
    <t>Data for Practice Problem 5</t>
  </si>
  <si>
    <t>New medication</t>
  </si>
  <si>
    <t>Placebo</t>
  </si>
  <si>
    <t>Pain Relief</t>
  </si>
  <si>
    <t>No Pain Relief</t>
  </si>
  <si>
    <t>a.</t>
  </si>
  <si>
    <t>Generate a 95% confidence interval for the proportion of patients on the new medication who report pain relief.</t>
  </si>
  <si>
    <t>b.</t>
  </si>
  <si>
    <t>Generate a 95% confidence interval for the difference in proportions of patients who report pain relief.</t>
  </si>
  <si>
    <t>z</t>
  </si>
  <si>
    <t>t</t>
  </si>
  <si>
    <t>s</t>
  </si>
  <si>
    <t>n</t>
  </si>
  <si>
    <t>CI</t>
  </si>
  <si>
    <t>Samples:</t>
  </si>
  <si>
    <t>Type:</t>
  </si>
  <si>
    <t>Continuous</t>
  </si>
  <si>
    <t>LB</t>
  </si>
  <si>
    <t>UB</t>
  </si>
  <si>
    <t>Matched</t>
  </si>
  <si>
    <t>Difference</t>
  </si>
  <si>
    <t>Dichotomous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</si>
  <si>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</si>
  <si>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</si>
  <si>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</si>
  <si>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</si>
  <si>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</si>
  <si>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</si>
  <si>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</si>
  <si>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</si>
  <si>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</si>
  <si>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</si>
  <si>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</si>
  <si>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</si>
  <si>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</si>
  <si>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</si>
  <si>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Row1</t>
  </si>
  <si>
    <t>Total</t>
  </si>
  <si>
    <t>Men</t>
  </si>
  <si>
    <t>Stdev</t>
  </si>
  <si>
    <t>Women</t>
  </si>
  <si>
    <t>Ratio of sample variances</t>
  </si>
  <si>
    <t>which is between .5 and 2</t>
  </si>
  <si>
    <t>Difference^2</t>
  </si>
  <si>
    <t>p̂</t>
  </si>
  <si>
    <t>p̂_1</t>
  </si>
  <si>
    <t>1-p̂_1</t>
  </si>
  <si>
    <t>p̂_2</t>
  </si>
  <si>
    <t>1-p̂_2</t>
  </si>
  <si>
    <t>n_1</t>
  </si>
  <si>
    <t>n_2</t>
  </si>
  <si>
    <t>x̄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</si>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</sst>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0" fontId="0" fillId="0" borderId="1" xfId="0" applyBorder="1"/>
    <xf numFmtId="0" fontId="3" fillId="0" borderId="2" xfId="0" applyFont="1" applyBorder="1" applyAlignment="1">
      <alignment horizontal="centerContinuous"/>
    </xf>
    <xf numFmtId="9" fontId="0" fillId="0" borderId="0" xfId="0" applyNumberFormat="1"/>
    <xf numFmtId="2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6" fontId="0" fillId="0" borderId="0" xfId="0" applyNumberFormat="1"/>
    <xf numFmtId="0" fontId="0" fillId="0" borderId="0" xfId="0" applyAlignment="1"/>
    <xf numFmtId="0" fontId="4" fillId="3" borderId="0" xfId="0" applyFont="1" applyFill="1"/>
    <xf numFmtId="0" fontId="4" fillId="3" borderId="0" xfId="0" applyFont="1" applyFill="1" applyAlignment="1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9"/>
        </patternFill>
      </fill>
    </dxf>
    <dxf>
      <font>
        <strike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1EC9-7142-4290-95D8-07F8CCDD1367}">
  <dimension ref="A1:T80"/>
  <sheetViews>
    <sheetView tabSelected="1" workbookViewId="0">
      <selection activeCell="T52" sqref="T52"/>
    </sheetView>
  </sheetViews>
  <sheetFormatPr defaultRowHeight="14.4" x14ac:dyDescent="0.3"/>
  <cols>
    <col min="1" max="1" width="11.5546875" bestFit="1" customWidth="1"/>
    <col min="14" max="14" width="12" bestFit="1" customWidth="1"/>
    <col min="16" max="17" width="12.6640625" bestFit="1" customWidth="1"/>
    <col min="19" max="19" width="16.5546875" bestFit="1" customWidth="1"/>
  </cols>
  <sheetData>
    <row r="1" spans="1:20" ht="14.4" customHeight="1" x14ac:dyDescent="0.3">
      <c r="A1" s="6">
        <v>1</v>
      </c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M1" t="s">
        <v>31</v>
      </c>
      <c r="N1">
        <v>1</v>
      </c>
      <c r="S1" s="3" t="s">
        <v>39</v>
      </c>
      <c r="T1" s="3"/>
    </row>
    <row r="2" spans="1:20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M2" t="s">
        <v>32</v>
      </c>
      <c r="N2" t="s">
        <v>33</v>
      </c>
    </row>
    <row r="3" spans="1:20" x14ac:dyDescent="0.3">
      <c r="A3" s="6"/>
      <c r="B3" s="6">
        <v>185</v>
      </c>
      <c r="C3" s="6"/>
      <c r="D3" s="6"/>
      <c r="E3" s="6"/>
      <c r="F3" s="6"/>
      <c r="G3" s="6"/>
      <c r="H3" s="6"/>
      <c r="I3" s="6"/>
      <c r="J3" s="6"/>
      <c r="K3" s="6"/>
      <c r="M3" t="s">
        <v>68</v>
      </c>
      <c r="N3" s="12">
        <f>AVERAGE(B3:B11)</f>
        <v>196.11111111111111</v>
      </c>
      <c r="S3" t="s">
        <v>40</v>
      </c>
      <c r="T3" s="12">
        <v>196.11111111111111</v>
      </c>
    </row>
    <row r="4" spans="1:20" x14ac:dyDescent="0.3">
      <c r="A4" s="6"/>
      <c r="B4" s="6">
        <v>225</v>
      </c>
      <c r="C4" s="6"/>
      <c r="D4" s="6"/>
      <c r="E4" s="6"/>
      <c r="F4" s="6"/>
      <c r="G4" s="6"/>
      <c r="H4" s="6"/>
      <c r="I4" s="6"/>
      <c r="J4" s="6"/>
      <c r="K4" s="6"/>
      <c r="M4" t="s">
        <v>30</v>
      </c>
      <c r="N4">
        <v>0.95</v>
      </c>
      <c r="P4" t="s">
        <v>34</v>
      </c>
      <c r="Q4" t="s">
        <v>35</v>
      </c>
      <c r="S4" t="s">
        <v>41</v>
      </c>
      <c r="T4" s="12">
        <v>9.6673052151805265</v>
      </c>
    </row>
    <row r="5" spans="1:20" x14ac:dyDescent="0.3">
      <c r="A5" s="6"/>
      <c r="B5" s="6">
        <v>240</v>
      </c>
      <c r="C5" s="6"/>
      <c r="D5" s="6"/>
      <c r="E5" s="6"/>
      <c r="F5" s="6"/>
      <c r="G5" s="6"/>
      <c r="H5" s="6"/>
      <c r="I5" s="6"/>
      <c r="J5" s="6"/>
      <c r="K5" s="6"/>
      <c r="M5" t="s">
        <v>27</v>
      </c>
      <c r="N5" s="12">
        <f>TINV(1-N4,N7-N1)</f>
        <v>2.3060041352041662</v>
      </c>
      <c r="P5" s="12">
        <f>N3-N5*N6/(N7^0.5)</f>
        <v>173.81826530862401</v>
      </c>
      <c r="Q5" s="12">
        <f>N3+N5*N6/(N7^0.5)</f>
        <v>218.40395691359822</v>
      </c>
      <c r="S5" t="s">
        <v>42</v>
      </c>
      <c r="T5">
        <v>194</v>
      </c>
    </row>
    <row r="6" spans="1:20" x14ac:dyDescent="0.3">
      <c r="A6" s="6"/>
      <c r="B6" s="6">
        <v>196</v>
      </c>
      <c r="C6" s="6"/>
      <c r="D6" s="6"/>
      <c r="E6" s="6"/>
      <c r="F6" s="6"/>
      <c r="G6" s="6"/>
      <c r="H6" s="6"/>
      <c r="I6" s="6"/>
      <c r="J6" s="6"/>
      <c r="K6" s="6"/>
      <c r="M6" t="s">
        <v>28</v>
      </c>
      <c r="N6" s="12">
        <f>_xlfn.STDEV.S(B3:B11)</f>
        <v>29.00191564554158</v>
      </c>
      <c r="S6" t="s">
        <v>43</v>
      </c>
      <c r="T6" t="e">
        <v>#N/A</v>
      </c>
    </row>
    <row r="7" spans="1:20" x14ac:dyDescent="0.3">
      <c r="A7" s="6"/>
      <c r="B7" s="6">
        <v>175</v>
      </c>
      <c r="C7" s="6"/>
      <c r="D7" s="6"/>
      <c r="E7" s="6"/>
      <c r="F7" s="6"/>
      <c r="G7" s="6"/>
      <c r="H7" s="6"/>
      <c r="I7" s="6"/>
      <c r="J7" s="6"/>
      <c r="K7" s="6"/>
      <c r="M7" t="s">
        <v>29</v>
      </c>
      <c r="N7">
        <v>9</v>
      </c>
      <c r="S7" t="s">
        <v>44</v>
      </c>
      <c r="T7" s="12">
        <v>29.00191564554158</v>
      </c>
    </row>
    <row r="8" spans="1:20" x14ac:dyDescent="0.3">
      <c r="A8" s="6"/>
      <c r="B8" s="6">
        <v>180</v>
      </c>
      <c r="C8" s="6"/>
      <c r="D8" s="6"/>
      <c r="E8" s="6"/>
      <c r="F8" s="6"/>
      <c r="G8" s="6"/>
      <c r="H8" s="6"/>
      <c r="I8" s="6"/>
      <c r="J8" s="6"/>
      <c r="K8" s="6"/>
      <c r="S8" t="s">
        <v>45</v>
      </c>
      <c r="T8" s="12">
        <v>841.11111111110949</v>
      </c>
    </row>
    <row r="9" spans="1:20" x14ac:dyDescent="0.3">
      <c r="A9" s="6"/>
      <c r="B9" s="6">
        <v>194</v>
      </c>
      <c r="C9" s="6"/>
      <c r="D9" s="6"/>
      <c r="E9" s="6"/>
      <c r="F9" s="6"/>
      <c r="G9" s="6"/>
      <c r="H9" s="6"/>
      <c r="I9" s="6"/>
      <c r="J9" s="6"/>
      <c r="K9" s="6"/>
      <c r="S9" t="s">
        <v>46</v>
      </c>
      <c r="T9" s="12">
        <v>-0.39601286277438774</v>
      </c>
    </row>
    <row r="10" spans="1:20" x14ac:dyDescent="0.3">
      <c r="A10" s="6"/>
      <c r="B10" s="6">
        <v>147</v>
      </c>
      <c r="C10" s="6"/>
      <c r="D10" s="6"/>
      <c r="E10" s="6"/>
      <c r="F10" s="6"/>
      <c r="G10" s="6"/>
      <c r="H10" s="6"/>
      <c r="I10" s="6"/>
      <c r="J10" s="6"/>
      <c r="K10" s="6"/>
      <c r="S10" t="s">
        <v>47</v>
      </c>
      <c r="T10" s="12">
        <v>-3.5128738720852849E-2</v>
      </c>
    </row>
    <row r="11" spans="1:20" x14ac:dyDescent="0.3">
      <c r="A11" s="6"/>
      <c r="B11" s="6">
        <v>223</v>
      </c>
      <c r="C11" s="6"/>
      <c r="D11" s="6"/>
      <c r="E11" s="6"/>
      <c r="F11" s="6"/>
      <c r="G11" s="6"/>
      <c r="H11" s="6"/>
      <c r="I11" s="6"/>
      <c r="J11" s="6"/>
      <c r="K11" s="6"/>
      <c r="S11" t="s">
        <v>48</v>
      </c>
      <c r="T11">
        <v>93</v>
      </c>
    </row>
    <row r="12" spans="1:20" x14ac:dyDescent="0.3">
      <c r="A12" s="6"/>
      <c r="B12" s="8" t="s">
        <v>1</v>
      </c>
      <c r="C12" s="8"/>
      <c r="D12" s="8"/>
      <c r="E12" s="8"/>
      <c r="F12" s="8"/>
      <c r="G12" s="8"/>
      <c r="H12" s="8"/>
      <c r="I12" s="8"/>
      <c r="J12" s="8"/>
      <c r="K12" s="8"/>
      <c r="S12" t="s">
        <v>49</v>
      </c>
      <c r="T12">
        <v>147</v>
      </c>
    </row>
    <row r="13" spans="1:20" x14ac:dyDescent="0.3">
      <c r="S13" t="s">
        <v>50</v>
      </c>
      <c r="T13">
        <v>240</v>
      </c>
    </row>
    <row r="14" spans="1:20" x14ac:dyDescent="0.3">
      <c r="S14" t="s">
        <v>51</v>
      </c>
      <c r="T14">
        <v>1765</v>
      </c>
    </row>
    <row r="15" spans="1:20" ht="15" thickBot="1" x14ac:dyDescent="0.35">
      <c r="S15" s="2" t="s">
        <v>52</v>
      </c>
      <c r="T15" s="2">
        <v>9</v>
      </c>
    </row>
    <row r="16" spans="1:20" ht="15" thickBot="1" x14ac:dyDescent="0.35"/>
    <row r="17" spans="1:20" ht="14.4" customHeight="1" x14ac:dyDescent="0.3">
      <c r="A17" s="6">
        <v>2</v>
      </c>
      <c r="B17" s="7" t="s">
        <v>2</v>
      </c>
      <c r="C17" s="7"/>
      <c r="D17" s="7"/>
      <c r="E17" s="7"/>
      <c r="F17" s="7"/>
      <c r="G17" s="7"/>
      <c r="H17" s="7"/>
      <c r="I17" s="7"/>
      <c r="J17" s="7"/>
      <c r="K17" s="7"/>
      <c r="M17" t="s">
        <v>31</v>
      </c>
      <c r="N17">
        <v>2</v>
      </c>
      <c r="S17" s="3" t="s">
        <v>53</v>
      </c>
      <c r="T17" s="3"/>
    </row>
    <row r="18" spans="1:20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M18" t="s">
        <v>32</v>
      </c>
      <c r="N18" t="s">
        <v>33</v>
      </c>
      <c r="O18" t="s">
        <v>36</v>
      </c>
    </row>
    <row r="19" spans="1:20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M19" t="s">
        <v>68</v>
      </c>
      <c r="N19">
        <f>AVERAGE(B23:K23)</f>
        <v>0.9</v>
      </c>
      <c r="S19" t="s">
        <v>40</v>
      </c>
      <c r="T19">
        <v>-0.9</v>
      </c>
    </row>
    <row r="20" spans="1:20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M20" t="s">
        <v>30</v>
      </c>
      <c r="N20">
        <v>0.95</v>
      </c>
      <c r="P20" t="s">
        <v>34</v>
      </c>
      <c r="Q20" t="s">
        <v>35</v>
      </c>
      <c r="S20" t="s">
        <v>41</v>
      </c>
      <c r="T20" s="12">
        <v>1.394034911088432</v>
      </c>
    </row>
    <row r="21" spans="1:20" x14ac:dyDescent="0.3">
      <c r="A21" s="6" t="s">
        <v>3</v>
      </c>
      <c r="B21" s="6">
        <v>120</v>
      </c>
      <c r="C21" s="6">
        <v>145</v>
      </c>
      <c r="D21" s="6">
        <v>130</v>
      </c>
      <c r="E21" s="6">
        <v>160</v>
      </c>
      <c r="F21" s="6">
        <v>152</v>
      </c>
      <c r="G21" s="6">
        <v>143</v>
      </c>
      <c r="H21" s="6">
        <v>126</v>
      </c>
      <c r="I21" s="6">
        <v>121</v>
      </c>
      <c r="J21" s="6">
        <v>115</v>
      </c>
      <c r="K21" s="6">
        <v>135</v>
      </c>
      <c r="M21" t="s">
        <v>27</v>
      </c>
      <c r="N21" s="12">
        <f>TINV(1-N20,N23-N17)</f>
        <v>2.3060041352041662</v>
      </c>
      <c r="P21" s="12">
        <f>N19-N21*N22/(N23^0.5)</f>
        <v>-2.3146502695888969</v>
      </c>
      <c r="Q21" s="12">
        <f>N19+N21*N22/(N23^0.5)</f>
        <v>4.1146502695888971</v>
      </c>
      <c r="S21" t="s">
        <v>42</v>
      </c>
      <c r="T21">
        <v>-0.5</v>
      </c>
    </row>
    <row r="22" spans="1:20" x14ac:dyDescent="0.3">
      <c r="A22" s="6" t="s">
        <v>4</v>
      </c>
      <c r="B22" s="6">
        <v>122</v>
      </c>
      <c r="C22" s="6">
        <v>142</v>
      </c>
      <c r="D22" s="6">
        <v>135</v>
      </c>
      <c r="E22" s="6">
        <v>158</v>
      </c>
      <c r="F22" s="6">
        <v>155</v>
      </c>
      <c r="G22" s="6">
        <v>140</v>
      </c>
      <c r="H22" s="6">
        <v>130</v>
      </c>
      <c r="I22" s="6">
        <v>120</v>
      </c>
      <c r="J22" s="6">
        <v>124</v>
      </c>
      <c r="K22" s="6">
        <v>130</v>
      </c>
      <c r="M22" t="s">
        <v>28</v>
      </c>
      <c r="N22" s="12">
        <f>_xlfn.STDEV.S(B23:K23)</f>
        <v>4.4083254568297621</v>
      </c>
      <c r="S22" t="s">
        <v>43</v>
      </c>
      <c r="T22">
        <v>3</v>
      </c>
    </row>
    <row r="23" spans="1:20" x14ac:dyDescent="0.3">
      <c r="A23" s="6" t="s">
        <v>37</v>
      </c>
      <c r="B23" s="6">
        <f>B22-B21</f>
        <v>2</v>
      </c>
      <c r="C23" s="6">
        <f t="shared" ref="C23:K23" si="0">C22-C21</f>
        <v>-3</v>
      </c>
      <c r="D23" s="6">
        <f t="shared" si="0"/>
        <v>5</v>
      </c>
      <c r="E23" s="6">
        <f t="shared" si="0"/>
        <v>-2</v>
      </c>
      <c r="F23" s="6">
        <f t="shared" si="0"/>
        <v>3</v>
      </c>
      <c r="G23" s="6">
        <f t="shared" si="0"/>
        <v>-3</v>
      </c>
      <c r="H23" s="6">
        <f t="shared" si="0"/>
        <v>4</v>
      </c>
      <c r="I23" s="6">
        <f t="shared" si="0"/>
        <v>-1</v>
      </c>
      <c r="J23" s="6">
        <f t="shared" si="0"/>
        <v>9</v>
      </c>
      <c r="K23" s="6">
        <f t="shared" si="0"/>
        <v>-5</v>
      </c>
      <c r="M23" t="s">
        <v>29</v>
      </c>
      <c r="N23">
        <v>10</v>
      </c>
      <c r="S23" t="s">
        <v>44</v>
      </c>
      <c r="T23" s="12">
        <v>4.4083254568297621</v>
      </c>
    </row>
    <row r="24" spans="1:20" x14ac:dyDescent="0.3">
      <c r="A24" s="6" t="s">
        <v>60</v>
      </c>
      <c r="B24" s="6">
        <f>B23^2</f>
        <v>4</v>
      </c>
      <c r="C24" s="6">
        <f t="shared" ref="C24:K24" si="1">C23^2</f>
        <v>9</v>
      </c>
      <c r="D24" s="6">
        <f t="shared" si="1"/>
        <v>25</v>
      </c>
      <c r="E24" s="6">
        <f t="shared" si="1"/>
        <v>4</v>
      </c>
      <c r="F24" s="6">
        <f t="shared" si="1"/>
        <v>9</v>
      </c>
      <c r="G24" s="6">
        <f t="shared" si="1"/>
        <v>9</v>
      </c>
      <c r="H24" s="6">
        <f t="shared" si="1"/>
        <v>16</v>
      </c>
      <c r="I24" s="6">
        <f t="shared" si="1"/>
        <v>1</v>
      </c>
      <c r="J24" s="6">
        <f t="shared" si="1"/>
        <v>81</v>
      </c>
      <c r="K24" s="6">
        <f t="shared" si="1"/>
        <v>25</v>
      </c>
      <c r="S24" t="s">
        <v>45</v>
      </c>
      <c r="T24" s="12">
        <v>19.433333333333334</v>
      </c>
    </row>
    <row r="25" spans="1:20" x14ac:dyDescent="0.3">
      <c r="S25" t="s">
        <v>46</v>
      </c>
      <c r="T25" s="12">
        <v>-0.60667705381126469</v>
      </c>
    </row>
    <row r="26" spans="1:20" x14ac:dyDescent="0.3">
      <c r="S26" t="s">
        <v>47</v>
      </c>
      <c r="T26" s="12">
        <v>-0.46283078866032729</v>
      </c>
    </row>
    <row r="27" spans="1:20" x14ac:dyDescent="0.3">
      <c r="S27" t="s">
        <v>48</v>
      </c>
      <c r="T27">
        <v>14</v>
      </c>
    </row>
    <row r="28" spans="1:20" x14ac:dyDescent="0.3">
      <c r="S28" t="s">
        <v>49</v>
      </c>
      <c r="T28">
        <v>-9</v>
      </c>
    </row>
    <row r="29" spans="1:20" x14ac:dyDescent="0.3">
      <c r="S29" t="s">
        <v>50</v>
      </c>
      <c r="T29">
        <v>5</v>
      </c>
    </row>
    <row r="30" spans="1:20" x14ac:dyDescent="0.3">
      <c r="S30" t="s">
        <v>51</v>
      </c>
      <c r="T30">
        <v>-9</v>
      </c>
    </row>
    <row r="31" spans="1:20" ht="15" thickBot="1" x14ac:dyDescent="0.35">
      <c r="S31" s="2" t="s">
        <v>52</v>
      </c>
      <c r="T31" s="2">
        <v>10</v>
      </c>
    </row>
    <row r="33" spans="1:17" ht="14.4" customHeight="1" x14ac:dyDescent="0.3">
      <c r="A33" s="6">
        <v>3</v>
      </c>
      <c r="B33" s="7" t="s">
        <v>15</v>
      </c>
      <c r="C33" s="7"/>
      <c r="D33" s="7"/>
      <c r="E33" s="7"/>
      <c r="F33" s="7"/>
      <c r="G33" s="7"/>
      <c r="H33" s="7"/>
      <c r="I33" s="7"/>
      <c r="J33" s="7"/>
      <c r="K33" s="7"/>
      <c r="M33" t="s">
        <v>31</v>
      </c>
      <c r="N33">
        <v>1</v>
      </c>
    </row>
    <row r="34" spans="1:17" x14ac:dyDescent="0.3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M34" t="s">
        <v>32</v>
      </c>
      <c r="N34" t="s">
        <v>38</v>
      </c>
    </row>
    <row r="35" spans="1:17" x14ac:dyDescent="0.3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M35" t="s">
        <v>61</v>
      </c>
      <c r="N35" s="5">
        <v>-0.08</v>
      </c>
    </row>
    <row r="36" spans="1:17" x14ac:dyDescent="0.3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M36" t="s">
        <v>30</v>
      </c>
      <c r="N36">
        <v>0.95</v>
      </c>
      <c r="P36" t="s">
        <v>34</v>
      </c>
      <c r="Q36" t="s">
        <v>35</v>
      </c>
    </row>
    <row r="37" spans="1:17" x14ac:dyDescent="0.3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M37" t="s">
        <v>26</v>
      </c>
      <c r="N37" s="12">
        <f>_xlfn.NORM.INV((1+N36)/2,0,1)</f>
        <v>1.9599639845400536</v>
      </c>
      <c r="P37" s="12">
        <f>N35-N37*N38</f>
        <v>-0.18591062154678745</v>
      </c>
      <c r="Q37" s="12">
        <f>N35+N37*N38</f>
        <v>2.5910621546787457E-2</v>
      </c>
    </row>
    <row r="38" spans="1:17" x14ac:dyDescent="0.3">
      <c r="M38" t="s">
        <v>28</v>
      </c>
      <c r="N38" s="12">
        <f>(((D41*(1-D41))/E41)+((F41*(1-F41))/G41))^0.5</f>
        <v>5.4037024344425186E-2</v>
      </c>
    </row>
    <row r="39" spans="1:17" x14ac:dyDescent="0.3">
      <c r="B39" s="14" t="s">
        <v>5</v>
      </c>
      <c r="C39" s="15" t="s">
        <v>6</v>
      </c>
      <c r="D39" s="15"/>
      <c r="E39" s="15"/>
      <c r="F39" s="15"/>
      <c r="G39" s="15"/>
      <c r="H39" s="15"/>
      <c r="I39" s="15"/>
      <c r="J39" s="15"/>
      <c r="K39" s="15"/>
      <c r="M39" t="s">
        <v>29</v>
      </c>
      <c r="N39">
        <v>100</v>
      </c>
    </row>
    <row r="40" spans="1:17" x14ac:dyDescent="0.3">
      <c r="D40" s="9" t="s">
        <v>8</v>
      </c>
      <c r="E40" s="9"/>
      <c r="F40" s="9" t="s">
        <v>9</v>
      </c>
      <c r="G40" s="9"/>
      <c r="H40" s="9" t="s">
        <v>37</v>
      </c>
      <c r="I40" s="9"/>
    </row>
    <row r="41" spans="1:17" x14ac:dyDescent="0.3">
      <c r="B41" s="9" t="s">
        <v>7</v>
      </c>
      <c r="C41" s="9"/>
      <c r="D41" s="1">
        <v>0.14000000000000001</v>
      </c>
      <c r="E41">
        <v>100</v>
      </c>
      <c r="F41" s="1">
        <v>0.22</v>
      </c>
      <c r="G41">
        <v>100</v>
      </c>
      <c r="H41" s="4">
        <f>D41-F41</f>
        <v>-7.9999999999999988E-2</v>
      </c>
    </row>
    <row r="48" spans="1:17" ht="15" thickBot="1" x14ac:dyDescent="0.35"/>
    <row r="49" spans="1:20" x14ac:dyDescent="0.3">
      <c r="A49" s="6">
        <v>4</v>
      </c>
      <c r="B49" s="7" t="s">
        <v>10</v>
      </c>
      <c r="C49" s="7"/>
      <c r="D49" s="7"/>
      <c r="E49" s="7"/>
      <c r="F49" s="7"/>
      <c r="G49" s="7"/>
      <c r="H49" s="7"/>
      <c r="I49" s="7"/>
      <c r="J49" s="7"/>
      <c r="K49" s="7"/>
      <c r="M49" t="s">
        <v>31</v>
      </c>
      <c r="N49">
        <v>1</v>
      </c>
      <c r="S49" s="3" t="s">
        <v>53</v>
      </c>
      <c r="T49" s="3"/>
    </row>
    <row r="50" spans="1:20" x14ac:dyDescent="0.3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M50" t="s">
        <v>32</v>
      </c>
      <c r="N50" t="s">
        <v>33</v>
      </c>
    </row>
    <row r="51" spans="1:20" x14ac:dyDescent="0.3">
      <c r="A51" t="s">
        <v>11</v>
      </c>
      <c r="B51">
        <v>3</v>
      </c>
      <c r="C51">
        <v>4</v>
      </c>
      <c r="D51">
        <v>6</v>
      </c>
      <c r="E51">
        <v>3</v>
      </c>
      <c r="F51">
        <v>2</v>
      </c>
      <c r="G51">
        <v>1</v>
      </c>
      <c r="H51">
        <v>0</v>
      </c>
      <c r="I51">
        <v>2</v>
      </c>
      <c r="K51">
        <f>SUM(B51:I51)</f>
        <v>21</v>
      </c>
      <c r="M51" t="s">
        <v>68</v>
      </c>
      <c r="N51">
        <f>D58-D59</f>
        <v>0.25</v>
      </c>
      <c r="S51" t="s">
        <v>40</v>
      </c>
      <c r="T51">
        <v>0.25</v>
      </c>
    </row>
    <row r="52" spans="1:20" x14ac:dyDescent="0.3">
      <c r="A52" t="s">
        <v>12</v>
      </c>
      <c r="B52">
        <v>5</v>
      </c>
      <c r="C52">
        <v>3</v>
      </c>
      <c r="D52">
        <v>1</v>
      </c>
      <c r="E52">
        <v>2</v>
      </c>
      <c r="F52">
        <v>0</v>
      </c>
      <c r="G52">
        <v>4</v>
      </c>
      <c r="H52">
        <v>3</v>
      </c>
      <c r="I52">
        <v>1</v>
      </c>
      <c r="K52">
        <f>SUM(B52:I52)</f>
        <v>19</v>
      </c>
      <c r="M52" t="s">
        <v>30</v>
      </c>
      <c r="N52">
        <v>0.95</v>
      </c>
      <c r="P52" t="s">
        <v>34</v>
      </c>
      <c r="Q52" t="s">
        <v>35</v>
      </c>
      <c r="S52" t="s">
        <v>41</v>
      </c>
      <c r="T52" s="12">
        <v>0.97742372738600058</v>
      </c>
    </row>
    <row r="53" spans="1:20" x14ac:dyDescent="0.3">
      <c r="A53" t="s">
        <v>37</v>
      </c>
      <c r="B53">
        <f>B51-B52</f>
        <v>-2</v>
      </c>
      <c r="C53">
        <f t="shared" ref="C53:I53" si="2">C51-C52</f>
        <v>1</v>
      </c>
      <c r="D53">
        <f t="shared" si="2"/>
        <v>5</v>
      </c>
      <c r="E53">
        <f t="shared" si="2"/>
        <v>1</v>
      </c>
      <c r="F53">
        <f t="shared" si="2"/>
        <v>2</v>
      </c>
      <c r="G53">
        <f t="shared" si="2"/>
        <v>-3</v>
      </c>
      <c r="H53">
        <f t="shared" si="2"/>
        <v>-3</v>
      </c>
      <c r="I53">
        <f t="shared" si="2"/>
        <v>1</v>
      </c>
      <c r="K53">
        <f>SUM(B53:I53)</f>
        <v>2</v>
      </c>
      <c r="M53" t="s">
        <v>27</v>
      </c>
      <c r="N53" s="12">
        <f>TINV(1-N52,N55-N49)</f>
        <v>2.3646242515927849</v>
      </c>
      <c r="P53" s="12">
        <f>N51-N53*N54/(N55^0.5)</f>
        <v>-2.0612398498591515</v>
      </c>
      <c r="Q53" s="12">
        <f>N51+N53*N54/(N55^0.5)</f>
        <v>2.5612398498591515</v>
      </c>
      <c r="S53" t="s">
        <v>42</v>
      </c>
      <c r="T53">
        <v>1</v>
      </c>
    </row>
    <row r="54" spans="1:20" x14ac:dyDescent="0.3">
      <c r="A54" s="6"/>
      <c r="B54" s="7" t="s">
        <v>13</v>
      </c>
      <c r="C54" s="7"/>
      <c r="D54" s="7"/>
      <c r="E54" s="7"/>
      <c r="F54" s="7"/>
      <c r="G54" s="7"/>
      <c r="H54" s="7"/>
      <c r="I54" s="7"/>
      <c r="J54" s="7"/>
      <c r="K54" s="7"/>
      <c r="M54" t="s">
        <v>28</v>
      </c>
      <c r="N54" s="12">
        <f>_xlfn.STDEV.S(B53:I53)</f>
        <v>2.7645717829090897</v>
      </c>
      <c r="S54" t="s">
        <v>43</v>
      </c>
      <c r="T54">
        <v>1</v>
      </c>
    </row>
    <row r="55" spans="1:20" x14ac:dyDescent="0.3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M55" t="s">
        <v>29</v>
      </c>
      <c r="N55">
        <v>8</v>
      </c>
      <c r="S55" t="s">
        <v>44</v>
      </c>
      <c r="T55" s="12">
        <v>2.7645717829090897</v>
      </c>
    </row>
    <row r="56" spans="1:20" x14ac:dyDescent="0.3">
      <c r="S56" t="s">
        <v>45</v>
      </c>
      <c r="T56" s="12">
        <v>7.6428571428571432</v>
      </c>
    </row>
    <row r="57" spans="1:20" x14ac:dyDescent="0.3">
      <c r="C57" t="s">
        <v>29</v>
      </c>
      <c r="D57" t="s">
        <v>40</v>
      </c>
      <c r="E57" t="s">
        <v>56</v>
      </c>
      <c r="S57" t="s">
        <v>46</v>
      </c>
      <c r="T57" s="12">
        <v>-0.39130055026639887</v>
      </c>
    </row>
    <row r="58" spans="1:20" x14ac:dyDescent="0.3">
      <c r="B58" t="s">
        <v>55</v>
      </c>
      <c r="C58">
        <f>COUNT(B51:I51)</f>
        <v>8</v>
      </c>
      <c r="D58">
        <f>AVERAGE(B51:I51)</f>
        <v>2.625</v>
      </c>
      <c r="E58" s="12">
        <f>_xlfn.STDEV.S(B51:I51)</f>
        <v>1.8468119248354136</v>
      </c>
      <c r="S58" t="s">
        <v>47</v>
      </c>
      <c r="T58" s="12">
        <v>0.30425019184779939</v>
      </c>
    </row>
    <row r="59" spans="1:20" x14ac:dyDescent="0.3">
      <c r="B59" t="s">
        <v>57</v>
      </c>
      <c r="C59">
        <f>COUNT(B52:I52)</f>
        <v>8</v>
      </c>
      <c r="D59">
        <f>AVERAGE(B52:I52)</f>
        <v>2.375</v>
      </c>
      <c r="E59" s="12">
        <f>_xlfn.STDEV.S(B52:I52)</f>
        <v>1.685018016012207</v>
      </c>
      <c r="S59" t="s">
        <v>48</v>
      </c>
      <c r="T59">
        <v>8</v>
      </c>
    </row>
    <row r="60" spans="1:20" x14ac:dyDescent="0.3">
      <c r="B60" t="s">
        <v>37</v>
      </c>
      <c r="C60">
        <f>COUNT(B53:I53)</f>
        <v>8</v>
      </c>
      <c r="D60">
        <f>AVERAGE(B53:I53)</f>
        <v>0.25</v>
      </c>
      <c r="E60" s="12">
        <f>_xlfn.STDEV.S(B53:I53)</f>
        <v>2.7645717829090897</v>
      </c>
      <c r="S60" t="s">
        <v>49</v>
      </c>
      <c r="T60">
        <v>-3</v>
      </c>
    </row>
    <row r="61" spans="1:20" x14ac:dyDescent="0.3">
      <c r="B61" s="13" t="s">
        <v>58</v>
      </c>
      <c r="C61" s="13"/>
      <c r="D61" s="13"/>
      <c r="E61" s="12">
        <f>E58^2/E59^2</f>
        <v>1.2012578616352199</v>
      </c>
      <c r="F61" t="s">
        <v>59</v>
      </c>
      <c r="S61" t="s">
        <v>50</v>
      </c>
      <c r="T61">
        <v>5</v>
      </c>
    </row>
    <row r="62" spans="1:20" x14ac:dyDescent="0.3">
      <c r="S62" t="s">
        <v>51</v>
      </c>
      <c r="T62">
        <v>2</v>
      </c>
    </row>
    <row r="63" spans="1:20" ht="15" thickBot="1" x14ac:dyDescent="0.35">
      <c r="S63" s="2" t="s">
        <v>52</v>
      </c>
      <c r="T63" s="2">
        <v>8</v>
      </c>
    </row>
    <row r="65" spans="1:17" ht="14.4" customHeight="1" x14ac:dyDescent="0.3">
      <c r="A65" s="6">
        <v>5</v>
      </c>
      <c r="B65" s="7" t="s">
        <v>16</v>
      </c>
      <c r="C65" s="7"/>
      <c r="D65" s="7"/>
      <c r="E65" s="7"/>
      <c r="F65" s="7"/>
      <c r="G65" s="7"/>
      <c r="H65" s="7"/>
      <c r="I65" s="7"/>
      <c r="J65" s="7"/>
      <c r="K65" s="7"/>
      <c r="M65" t="s">
        <v>31</v>
      </c>
      <c r="N65">
        <v>1</v>
      </c>
    </row>
    <row r="66" spans="1:17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M66" t="s">
        <v>32</v>
      </c>
      <c r="N66" t="s">
        <v>38</v>
      </c>
    </row>
    <row r="67" spans="1:17" x14ac:dyDescent="0.3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M67" t="s">
        <v>61</v>
      </c>
      <c r="N67" s="12">
        <f>D71/H71</f>
        <v>0.36666666666666664</v>
      </c>
    </row>
    <row r="68" spans="1:17" x14ac:dyDescent="0.3">
      <c r="M68" t="s">
        <v>30</v>
      </c>
      <c r="N68">
        <v>0.95</v>
      </c>
      <c r="P68" t="s">
        <v>34</v>
      </c>
      <c r="Q68" t="s">
        <v>35</v>
      </c>
    </row>
    <row r="69" spans="1:17" x14ac:dyDescent="0.3">
      <c r="B69" s="14" t="s">
        <v>14</v>
      </c>
      <c r="C69" s="15" t="s">
        <v>17</v>
      </c>
      <c r="D69" s="15"/>
      <c r="E69" s="15"/>
      <c r="F69" s="15"/>
      <c r="G69" s="15"/>
      <c r="H69" s="15"/>
      <c r="I69" s="15"/>
      <c r="J69" s="15"/>
      <c r="K69" s="15"/>
      <c r="M69" t="s">
        <v>26</v>
      </c>
      <c r="N69" s="12">
        <f>_xlfn.NORM.INV((1+N68)/2,0,1)</f>
        <v>1.9599639845400536</v>
      </c>
      <c r="P69" s="12">
        <f>N67-N69*N70</f>
        <v>0.28044640107147017</v>
      </c>
      <c r="Q69" s="12">
        <f>N67+N69*N70</f>
        <v>0.45288693226186311</v>
      </c>
    </row>
    <row r="70" spans="1:17" x14ac:dyDescent="0.3">
      <c r="D70" t="s">
        <v>20</v>
      </c>
      <c r="F70" t="s">
        <v>21</v>
      </c>
      <c r="H70" t="s">
        <v>54</v>
      </c>
      <c r="J70" t="s">
        <v>61</v>
      </c>
      <c r="M70" t="s">
        <v>28</v>
      </c>
      <c r="N70" s="12">
        <f>((N67*(1-N67)/H71)^0.5)</f>
        <v>4.3990739766287007E-2</v>
      </c>
    </row>
    <row r="71" spans="1:17" x14ac:dyDescent="0.3">
      <c r="B71" t="s">
        <v>18</v>
      </c>
      <c r="D71">
        <v>44</v>
      </c>
      <c r="F71">
        <v>76</v>
      </c>
      <c r="H71">
        <f>D71+F71</f>
        <v>120</v>
      </c>
      <c r="J71">
        <f>D71/H71</f>
        <v>0.36666666666666664</v>
      </c>
      <c r="M71" t="s">
        <v>29</v>
      </c>
      <c r="N71">
        <v>120</v>
      </c>
    </row>
    <row r="72" spans="1:17" x14ac:dyDescent="0.3">
      <c r="B72" t="s">
        <v>19</v>
      </c>
      <c r="D72">
        <v>21</v>
      </c>
      <c r="F72">
        <v>99</v>
      </c>
      <c r="H72">
        <f>D72+F72</f>
        <v>120</v>
      </c>
      <c r="J72">
        <f>D72/H72</f>
        <v>0.17499999999999999</v>
      </c>
    </row>
    <row r="73" spans="1:17" ht="14.4" customHeight="1" x14ac:dyDescent="0.3">
      <c r="A73" s="6" t="s">
        <v>22</v>
      </c>
      <c r="B73" s="11" t="s">
        <v>23</v>
      </c>
      <c r="C73" s="11"/>
      <c r="D73" s="11"/>
      <c r="E73" s="11"/>
      <c r="F73" s="11"/>
      <c r="G73" s="11"/>
      <c r="H73" s="11"/>
      <c r="I73" s="11"/>
      <c r="J73" s="11"/>
      <c r="K73" s="11"/>
      <c r="M73" t="s">
        <v>31</v>
      </c>
      <c r="N73">
        <v>2</v>
      </c>
    </row>
    <row r="74" spans="1:17" x14ac:dyDescent="0.3">
      <c r="A74" s="6"/>
      <c r="B74" s="11"/>
      <c r="C74" s="11"/>
      <c r="D74" s="11"/>
      <c r="E74" s="11"/>
      <c r="F74" s="11"/>
      <c r="G74" s="11"/>
      <c r="H74" s="11"/>
      <c r="I74" s="11"/>
      <c r="J74" s="11"/>
      <c r="K74" s="11"/>
      <c r="M74" t="s">
        <v>32</v>
      </c>
      <c r="N74" t="s">
        <v>38</v>
      </c>
    </row>
    <row r="75" spans="1:17" x14ac:dyDescent="0.3">
      <c r="A75" s="6" t="s">
        <v>24</v>
      </c>
      <c r="B75" s="10" t="s">
        <v>25</v>
      </c>
      <c r="C75" s="10"/>
      <c r="D75" s="10"/>
      <c r="E75" s="10"/>
      <c r="F75" s="10"/>
      <c r="G75" s="10"/>
      <c r="H75" s="10"/>
      <c r="I75" s="10"/>
      <c r="J75" s="10"/>
      <c r="K75" s="10"/>
      <c r="M75" t="s">
        <v>61</v>
      </c>
      <c r="N75" s="12">
        <f>J71-J72</f>
        <v>0.19166666666666665</v>
      </c>
    </row>
    <row r="76" spans="1:17" x14ac:dyDescent="0.3">
      <c r="B76" t="s">
        <v>37</v>
      </c>
      <c r="J76">
        <f>J71-J72</f>
        <v>0.19166666666666665</v>
      </c>
      <c r="M76" t="s">
        <v>30</v>
      </c>
      <c r="N76">
        <v>0.95</v>
      </c>
      <c r="P76" t="s">
        <v>34</v>
      </c>
      <c r="Q76" t="s">
        <v>35</v>
      </c>
    </row>
    <row r="77" spans="1:17" x14ac:dyDescent="0.3">
      <c r="C77" t="s">
        <v>62</v>
      </c>
      <c r="D77" t="s">
        <v>63</v>
      </c>
      <c r="E77" t="s">
        <v>66</v>
      </c>
      <c r="F77" t="s">
        <v>64</v>
      </c>
      <c r="G77" t="s">
        <v>65</v>
      </c>
      <c r="H77" t="s">
        <v>67</v>
      </c>
      <c r="M77" t="s">
        <v>26</v>
      </c>
      <c r="N77" s="12">
        <f>_xlfn.NORM.INV((1+N76)/2,0,1)</f>
        <v>1.9599639845400536</v>
      </c>
      <c r="P77" s="12">
        <f>N75-N77*N78</f>
        <v>8.1868263477212946E-2</v>
      </c>
      <c r="Q77" s="12">
        <f>N75+N77*N78</f>
        <v>0.30146506985612037</v>
      </c>
    </row>
    <row r="78" spans="1:17" x14ac:dyDescent="0.3">
      <c r="C78" s="12">
        <f>J71</f>
        <v>0.36666666666666664</v>
      </c>
      <c r="D78" s="12">
        <f>1-C78</f>
        <v>0.6333333333333333</v>
      </c>
      <c r="E78">
        <v>120</v>
      </c>
      <c r="F78">
        <f>J72</f>
        <v>0.17499999999999999</v>
      </c>
      <c r="G78">
        <f>1-F78</f>
        <v>0.82499999999999996</v>
      </c>
      <c r="H78">
        <v>120</v>
      </c>
      <c r="M78" t="s">
        <v>28</v>
      </c>
      <c r="N78" s="12">
        <f>C80</f>
        <v>5.6020622856098136E-2</v>
      </c>
    </row>
    <row r="79" spans="1:17" x14ac:dyDescent="0.3">
      <c r="C79" s="12">
        <f>C78*D78/E78</f>
        <v>1.935185185185185E-3</v>
      </c>
      <c r="F79" s="12">
        <f>F78*G78/H78</f>
        <v>1.2031249999999998E-3</v>
      </c>
      <c r="M79" t="s">
        <v>29</v>
      </c>
      <c r="N79">
        <v>120</v>
      </c>
    </row>
    <row r="80" spans="1:17" x14ac:dyDescent="0.3">
      <c r="B80" t="s">
        <v>28</v>
      </c>
      <c r="C80" s="12">
        <f>(C79+F79)^0.5</f>
        <v>5.6020622856098136E-2</v>
      </c>
    </row>
  </sheetData>
  <mergeCells count="16">
    <mergeCell ref="B75:K75"/>
    <mergeCell ref="B73:K74"/>
    <mergeCell ref="C39:K39"/>
    <mergeCell ref="C69:K69"/>
    <mergeCell ref="B61:D61"/>
    <mergeCell ref="B1:K2"/>
    <mergeCell ref="B33:K37"/>
    <mergeCell ref="B49:K50"/>
    <mergeCell ref="B54:K55"/>
    <mergeCell ref="B65:K67"/>
    <mergeCell ref="B12:K12"/>
    <mergeCell ref="B17:K20"/>
    <mergeCell ref="D40:E40"/>
    <mergeCell ref="F40:G40"/>
    <mergeCell ref="H40:I40"/>
    <mergeCell ref="B41:C41"/>
  </mergeCells>
  <conditionalFormatting sqref="M5:N5 P5:Q5 M21:N21 P21:Q21 M53:N53 P53:Q53">
    <cfRule type="expression" dxfId="2" priority="13">
      <formula>$N7&lt;30</formula>
    </cfRule>
  </conditionalFormatting>
  <conditionalFormatting sqref="M37:N37 P37:Q37 M69:N69 P69:Q69 M77:N77 P77:Q77">
    <cfRule type="expression" dxfId="1" priority="6">
      <formula>$N39&gt;=30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FB48-4C65-4660-B3CE-984837C9E030}">
  <dimension ref="A1:E19"/>
  <sheetViews>
    <sheetView workbookViewId="0">
      <selection activeCell="B17" sqref="B17"/>
    </sheetView>
  </sheetViews>
  <sheetFormatPr defaultRowHeight="14.4" x14ac:dyDescent="0.3"/>
  <sheetData>
    <row r="1" spans="1:5" x14ac:dyDescent="0.3">
      <c r="A1" t="s">
        <v>69</v>
      </c>
    </row>
    <row r="2" spans="1:5" x14ac:dyDescent="0.3">
      <c r="A2">
        <v>25</v>
      </c>
    </row>
    <row r="3" spans="1:5" x14ac:dyDescent="0.3">
      <c r="A3">
        <v>27</v>
      </c>
    </row>
    <row r="4" spans="1:5" x14ac:dyDescent="0.3">
      <c r="A4">
        <v>31</v>
      </c>
    </row>
    <row r="5" spans="1:5" x14ac:dyDescent="0.3">
      <c r="A5">
        <v>33</v>
      </c>
    </row>
    <row r="6" spans="1:5" x14ac:dyDescent="0.3">
      <c r="A6">
        <v>26</v>
      </c>
    </row>
    <row r="7" spans="1:5" x14ac:dyDescent="0.3">
      <c r="A7">
        <v>28</v>
      </c>
    </row>
    <row r="8" spans="1:5" x14ac:dyDescent="0.3">
      <c r="A8">
        <v>38</v>
      </c>
    </row>
    <row r="9" spans="1:5" x14ac:dyDescent="0.3">
      <c r="A9">
        <v>41</v>
      </c>
    </row>
    <row r="10" spans="1:5" x14ac:dyDescent="0.3">
      <c r="A10">
        <v>24</v>
      </c>
    </row>
    <row r="11" spans="1:5" x14ac:dyDescent="0.3">
      <c r="A11">
        <v>32</v>
      </c>
    </row>
    <row r="12" spans="1:5" x14ac:dyDescent="0.3">
      <c r="A12">
        <v>35</v>
      </c>
    </row>
    <row r="13" spans="1:5" x14ac:dyDescent="0.3">
      <c r="A13">
        <v>40</v>
      </c>
    </row>
    <row r="15" spans="1:5" x14ac:dyDescent="0.3">
      <c r="A15" t="s">
        <v>40</v>
      </c>
      <c r="B15">
        <f>AVERAGE(A2:A13)</f>
        <v>31.666666666666668</v>
      </c>
    </row>
    <row r="16" spans="1:5" x14ac:dyDescent="0.3">
      <c r="A16" t="s">
        <v>30</v>
      </c>
      <c r="B16">
        <v>0.95</v>
      </c>
      <c r="D16" t="s">
        <v>34</v>
      </c>
      <c r="E16" t="s">
        <v>35</v>
      </c>
    </row>
    <row r="17" spans="1:5" x14ac:dyDescent="0.3">
      <c r="A17" t="s">
        <v>27</v>
      </c>
      <c r="B17">
        <f>TINV(1-B16,B19-1)</f>
        <v>2.2009851600916384</v>
      </c>
      <c r="D17">
        <f>B15-B17*B18/(B19^0.5)</f>
        <v>27.928982736262707</v>
      </c>
      <c r="E17">
        <f>B15+B17*B18/(B19^0.5)</f>
        <v>35.404350597070632</v>
      </c>
    </row>
    <row r="18" spans="1:5" x14ac:dyDescent="0.3">
      <c r="A18" t="s">
        <v>28</v>
      </c>
      <c r="B18">
        <f>_xlfn.STDEV.S(A2:A13)</f>
        <v>5.882691612354038</v>
      </c>
      <c r="D18">
        <v>27.928999999999998</v>
      </c>
      <c r="E18">
        <v>35.404000000000003</v>
      </c>
    </row>
    <row r="19" spans="1:5" x14ac:dyDescent="0.3">
      <c r="A19" t="s">
        <v>29</v>
      </c>
      <c r="B19">
        <v>12</v>
      </c>
      <c r="D19">
        <f>D17-D18</f>
        <v>-1.7263737291273173E-5</v>
      </c>
      <c r="E19">
        <f>E17-E18</f>
        <v>3.505970706285666E-4</v>
      </c>
    </row>
  </sheetData>
  <conditionalFormatting sqref="A17:B17 D17:E17">
    <cfRule type="expression" dxfId="0" priority="1">
      <formula>$N19&lt;30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Flores</dc:creator>
  <cp:lastModifiedBy>Bobby Flores</cp:lastModifiedBy>
  <dcterms:created xsi:type="dcterms:W3CDTF">2023-06-25T21:33:29Z</dcterms:created>
  <dcterms:modified xsi:type="dcterms:W3CDTF">2023-07-09T17:18:48Z</dcterms:modified>
</cp:coreProperties>
</file>