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drawings/drawing11.xml" ContentType="application/vnd.openxmlformats-officedocument.drawing+xml"/>
  <Override PartName="/xl/tables/table20.xml" ContentType="application/vnd.openxmlformats-officedocument.spreadsheetml.table+xml"/>
  <Override PartName="/xl/drawings/drawing12.xml" ContentType="application/vnd.openxmlformats-officedocument.drawing+xml"/>
  <Override PartName="/xl/tables/table21.xml" ContentType="application/vnd.openxmlformats-officedocument.spreadsheetml.table+xml"/>
  <Override PartName="/xl/drawings/drawing13.xml" ContentType="application/vnd.openxmlformats-officedocument.drawing+xml"/>
  <Override PartName="/xl/tables/table22.xml" ContentType="application/vnd.openxmlformats-officedocument.spreadsheetml.table+xml"/>
  <Override PartName="/xl/drawings/drawing14.xml" ContentType="application/vnd.openxmlformats-officedocument.drawing+xml"/>
  <Override PartName="/xl/tables/table23.xml" ContentType="application/vnd.openxmlformats-officedocument.spreadsheetml.table+xml"/>
  <Override PartName="/xl/drawings/drawing15.xml" ContentType="application/vnd.openxmlformats-officedocument.drawing+xml"/>
  <Override PartName="/xl/tables/table24.xml" ContentType="application/vnd.openxmlformats-officedocument.spreadsheetml.table+xml"/>
  <Override PartName="/xl/drawings/drawing16.xml" ContentType="application/vnd.openxmlformats-officedocument.drawing+xml"/>
  <Override PartName="/xl/tables/table25.xml" ContentType="application/vnd.openxmlformats-officedocument.spreadsheetml.table+xml"/>
  <Override PartName="/xl/drawings/drawing17.xml" ContentType="application/vnd.openxmlformats-officedocument.drawing+xml"/>
  <Override PartName="/xl/tables/table26.xml" ContentType="application/vnd.openxmlformats-officedocument.spreadsheetml.table+xml"/>
  <Override PartName="/xl/drawings/drawing18.xml" ContentType="application/vnd.openxmlformats-officedocument.drawing+xml"/>
  <Override PartName="/xl/tables/table27.xml" ContentType="application/vnd.openxmlformats-officedocument.spreadsheetml.table+xml"/>
  <Override PartName="/xl/drawings/drawing19.xml" ContentType="application/vnd.openxmlformats-officedocument.drawing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xr:revisionPtr revIDLastSave="2425" documentId="11_F25DC773A252ABDACC104830195C761C5ADE58EE" xr6:coauthVersionLast="47" xr6:coauthVersionMax="47" xr10:uidLastSave="{88F33F0E-950E-430D-A12C-BFD49E7683CB}"/>
  <bookViews>
    <workbookView xWindow="0" yWindow="0" windowWidth="21285" windowHeight="12570" xr2:uid="{00000000-000D-0000-FFFF-FFFF00000000}"/>
  </bookViews>
  <sheets>
    <sheet name="Overview" sheetId="1" r:id="rId1"/>
    <sheet name="STRAT3_BAC" sheetId="27" r:id="rId2"/>
    <sheet name="STRAT3_WFC" sheetId="26" r:id="rId3"/>
    <sheet name="STRAT3_JPM" sheetId="25" r:id="rId4"/>
    <sheet name="STRAT2_OXY" sheetId="24" r:id="rId5"/>
    <sheet name="STRAT2_CVX" sheetId="23" r:id="rId6"/>
    <sheet name="STRAT2_XOM" sheetId="22" r:id="rId7"/>
    <sheet name="STRAT1_YUM" sheetId="21" r:id="rId8"/>
    <sheet name="STRAT1_DJT" sheetId="20" r:id="rId9"/>
    <sheet name="STRAT1_TSLA" sheetId="17" r:id="rId10"/>
    <sheet name="H1_Lithium" sheetId="2" r:id="rId11"/>
    <sheet name="H2_Cattle" sheetId="3" r:id="rId12"/>
    <sheet name="H3_Soy" sheetId="12" r:id="rId13"/>
    <sheet name="H4_HO" sheetId="13" r:id="rId14"/>
    <sheet name="S1_Brent" sheetId="5" r:id="rId15"/>
    <sheet name="S2_Gold" sheetId="7" r:id="rId16"/>
    <sheet name="O1_NVDA" sheetId="9" r:id="rId17"/>
    <sheet name="O2_TLT" sheetId="11" r:id="rId18"/>
    <sheet name="O3_HOOD" sheetId="14" r:id="rId19"/>
    <sheet name="O4_INTC" sheetId="1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<sst xmlns="http://schemas.openxmlformats.org/spreadsheetml/2006/main" count="1084" uniqueCount="245">
  <si>
    <t xml:space="preserve">Trading Assignment </t>
  </si>
  <si>
    <t>Overview</t>
  </si>
  <si>
    <t>Starting Buying Power</t>
  </si>
  <si>
    <t>Buying Power</t>
  </si>
  <si>
    <t>Buying Power Pt. 1</t>
  </si>
  <si>
    <t>Buying Power Pt. 2</t>
  </si>
  <si>
    <t>Net Cash Balance Pt. 1</t>
  </si>
  <si>
    <t>Net Cash Balance Pt. 2</t>
  </si>
  <si>
    <t>Assumptions</t>
  </si>
  <si>
    <t>Balances</t>
  </si>
  <si>
    <t>Margin</t>
  </si>
  <si>
    <t>x</t>
  </si>
  <si>
    <t>Total Initial Margin</t>
  </si>
  <si>
    <t>Total Maintenance Margin</t>
  </si>
  <si>
    <t>P/L</t>
  </si>
  <si>
    <t>Total P/L</t>
  </si>
  <si>
    <t>Breakdown</t>
  </si>
  <si>
    <t>Hedges</t>
  </si>
  <si>
    <t>Symbol</t>
  </si>
  <si>
    <t>Type</t>
  </si>
  <si>
    <t>Speculation</t>
  </si>
  <si>
    <t>Stock Options</t>
  </si>
  <si>
    <t>Date</t>
  </si>
  <si>
    <t>Daily +/-</t>
  </si>
  <si>
    <t>Spot Price</t>
  </si>
  <si>
    <t>Settle $/KG</t>
  </si>
  <si>
    <t>Entry/Exit</t>
  </si>
  <si>
    <t>Entry</t>
  </si>
  <si>
    <t>Current Account</t>
  </si>
  <si>
    <t>Daily P/L</t>
  </si>
  <si>
    <t>Cum. P/L</t>
  </si>
  <si>
    <t>Details</t>
  </si>
  <si>
    <t>Contract Symbol</t>
  </si>
  <si>
    <t>LTHG2025</t>
  </si>
  <si>
    <t>Position Type</t>
  </si>
  <si>
    <t>LONG</t>
  </si>
  <si>
    <t>Underlying</t>
  </si>
  <si>
    <t>Lithium Hydroxide CIF CJK (Fastmarkets)</t>
  </si>
  <si>
    <t>Contract Size in KG</t>
  </si>
  <si>
    <t>Start Date</t>
  </si>
  <si>
    <t>Delivery Date</t>
  </si>
  <si>
    <t>Position (KG)</t>
  </si>
  <si>
    <t>Position (Contracts)</t>
  </si>
  <si>
    <t>Lithium Futures</t>
  </si>
  <si>
    <t>Initial Margin, %</t>
  </si>
  <si>
    <t>IBKR Margin Req.</t>
  </si>
  <si>
    <t>Total Initial Margin, USD</t>
  </si>
  <si>
    <t>Contract</t>
  </si>
  <si>
    <t>Contract Value, USD</t>
  </si>
  <si>
    <t>Maintenance Margin (Contract)</t>
  </si>
  <si>
    <t>Total, Maitenance Margin, USD</t>
  </si>
  <si>
    <t>Margin Call Threshold</t>
  </si>
  <si>
    <t>Margin Payment</t>
  </si>
  <si>
    <t>Curr. after Margin Payments</t>
  </si>
  <si>
    <t>Daily Per KG</t>
  </si>
  <si>
    <t>Daily Total</t>
  </si>
  <si>
    <t>Cum. Per KG</t>
  </si>
  <si>
    <t>Cum. Total</t>
  </si>
  <si>
    <t>Intial Margin</t>
  </si>
  <si>
    <t>1. Lithium</t>
  </si>
  <si>
    <t>NET Current Account</t>
  </si>
  <si>
    <t>Cattle Futures</t>
  </si>
  <si>
    <t>Contract Size in Pounds</t>
  </si>
  <si>
    <t>Position (Pounds)</t>
  </si>
  <si>
    <t>LEZ2024</t>
  </si>
  <si>
    <t>Margin Calls in Period</t>
  </si>
  <si>
    <t>Brent Crude Oil</t>
  </si>
  <si>
    <t>Contract Size in Barrels</t>
  </si>
  <si>
    <t>BZZ4</t>
  </si>
  <si>
    <t>SHORT</t>
  </si>
  <si>
    <t>Position (Barrels)</t>
  </si>
  <si>
    <t>2. Cattle</t>
  </si>
  <si>
    <t>1. Brent WTI</t>
  </si>
  <si>
    <t>Exit</t>
  </si>
  <si>
    <t>Status</t>
  </si>
  <si>
    <t>Gold Futures</t>
  </si>
  <si>
    <t>Gold</t>
  </si>
  <si>
    <t>Contract Size in Troy Oz</t>
  </si>
  <si>
    <t>GCZ4</t>
  </si>
  <si>
    <t>Position (Oz)</t>
  </si>
  <si>
    <t>Brent Futues</t>
  </si>
  <si>
    <t>Cattle</t>
  </si>
  <si>
    <t>2. Gold</t>
  </si>
  <si>
    <t>NVDA OPTIONS</t>
  </si>
  <si>
    <t>NVIDIA Corp.</t>
  </si>
  <si>
    <t>CZGP</t>
  </si>
  <si>
    <t>Contract Size in Stock</t>
  </si>
  <si>
    <t>LONG CALL</t>
  </si>
  <si>
    <t>NVDA Stock</t>
  </si>
  <si>
    <t>Last Price</t>
  </si>
  <si>
    <t>Cash</t>
  </si>
  <si>
    <t>Cash Invested, USD</t>
  </si>
  <si>
    <t>1. NVDA</t>
  </si>
  <si>
    <t>Closed</t>
  </si>
  <si>
    <t>2. TLT</t>
  </si>
  <si>
    <t>3. HOOD</t>
  </si>
  <si>
    <t>3. Soybean</t>
  </si>
  <si>
    <t>4. Heating Oil</t>
  </si>
  <si>
    <t>Total Margin incl. Payments</t>
  </si>
  <si>
    <t>Maintenance Margin</t>
  </si>
  <si>
    <t>Cummulative Profit or Loss</t>
  </si>
  <si>
    <t>Active Margin Balance Pt. 1</t>
  </si>
  <si>
    <t>All figures are related to initial balance req.</t>
  </si>
  <si>
    <t>-</t>
  </si>
  <si>
    <t>Position (Stock)</t>
  </si>
  <si>
    <t>Strike Price</t>
  </si>
  <si>
    <t>SHORT PUT</t>
  </si>
  <si>
    <t>So</t>
  </si>
  <si>
    <t>Soybean</t>
  </si>
  <si>
    <t>Soybean Futures</t>
  </si>
  <si>
    <t>https://www.cmegroup.com/markets/agriculture/oilseeds/soybean.html</t>
  </si>
  <si>
    <t>Contract Size in Bushels</t>
  </si>
  <si>
    <t>ZSF5</t>
  </si>
  <si>
    <t>Position (Bushels)</t>
  </si>
  <si>
    <t>Settle $/Bushel</t>
  </si>
  <si>
    <t>Daily Per Bushel</t>
  </si>
  <si>
    <t>Cum. Per Bushel</t>
  </si>
  <si>
    <t>Cum. Per Barrel</t>
  </si>
  <si>
    <t>https://www.cmegroup.com/markets/energy/refined-products/heating-oil.margins.html</t>
  </si>
  <si>
    <t>Heating Oil Futures</t>
  </si>
  <si>
    <t>NY Harbor ULSD</t>
  </si>
  <si>
    <t>Contract Size in Gallons</t>
  </si>
  <si>
    <t>HOZ4</t>
  </si>
  <si>
    <t>Position (Gallons)</t>
  </si>
  <si>
    <t>Maintenance Margin (Contract), short</t>
  </si>
  <si>
    <t>Settle $/Gallon</t>
  </si>
  <si>
    <t>Daily Per Gallon</t>
  </si>
  <si>
    <t>Cum. Per Gallon</t>
  </si>
  <si>
    <t>ISHARES 20+ YEAR TREASURY BOND</t>
  </si>
  <si>
    <t>TLT OPTIONS</t>
  </si>
  <si>
    <t>TLT ETF</t>
  </si>
  <si>
    <t>Margin per ETF share</t>
  </si>
  <si>
    <t>Total Margin Required</t>
  </si>
  <si>
    <t>Robinhood Markets, Inc.</t>
  </si>
  <si>
    <t>HOOD Stock</t>
  </si>
  <si>
    <t>Expiry Date</t>
  </si>
  <si>
    <t>LONG PUT</t>
  </si>
  <si>
    <t>PY03</t>
  </si>
  <si>
    <t>https://finance.yahoo.com/quote/NVDA/</t>
  </si>
  <si>
    <t>https://finance.yahoo.com/quote/TLT/</t>
  </si>
  <si>
    <t>https://finance.yahoo.com/quote/HOOD/</t>
  </si>
  <si>
    <t>HOOD OPTIONS</t>
  </si>
  <si>
    <t>https://finance.yahoo.com/quote/INTC/</t>
  </si>
  <si>
    <t>INTC OPTIONS</t>
  </si>
  <si>
    <t>Intel Corporation</t>
  </si>
  <si>
    <t>PK5N</t>
  </si>
  <si>
    <t>Collected Premium, USD</t>
  </si>
  <si>
    <t>Margin per Share</t>
  </si>
  <si>
    <t>INTC Stock</t>
  </si>
  <si>
    <t>Active Margin Balance Pt. 2</t>
  </si>
  <si>
    <t>Summary Pt. 1</t>
  </si>
  <si>
    <t>4. INTC</t>
  </si>
  <si>
    <t>1. TSLA</t>
  </si>
  <si>
    <t>2. DJT</t>
  </si>
  <si>
    <t>3. YUM</t>
  </si>
  <si>
    <t>Tesla Inc</t>
  </si>
  <si>
    <t>https://finance.yahoo.com/quote/TSLA/</t>
  </si>
  <si>
    <t>Strategy</t>
  </si>
  <si>
    <t>Calendar Spread</t>
  </si>
  <si>
    <t>SHORT CALL</t>
  </si>
  <si>
    <t>Cash / Margin</t>
  </si>
  <si>
    <t>TSLA CALENDAR SPREAD</t>
  </si>
  <si>
    <t>Strategy Type</t>
  </si>
  <si>
    <t>Debit Spread</t>
  </si>
  <si>
    <t>TSLA</t>
  </si>
  <si>
    <t>CX64</t>
  </si>
  <si>
    <t>CGW</t>
  </si>
  <si>
    <t>P&amp;L at Close</t>
  </si>
  <si>
    <t>Total</t>
  </si>
  <si>
    <t>CX64 &amp; CGW</t>
  </si>
  <si>
    <t>CALENDAR SPREAD</t>
  </si>
  <si>
    <t>DJT</t>
  </si>
  <si>
    <t>YUM</t>
  </si>
  <si>
    <t>Part 2</t>
  </si>
  <si>
    <t>Net Trade Costs</t>
  </si>
  <si>
    <t>Options Strategy</t>
  </si>
  <si>
    <t>Profit or Loss</t>
  </si>
  <si>
    <t>(Debit &amp; Credit)</t>
  </si>
  <si>
    <t>https://finance.yahoo.com/quote/DJT/</t>
  </si>
  <si>
    <t>Summary Pt. 2</t>
  </si>
  <si>
    <t>C20C</t>
  </si>
  <si>
    <t>C7KL</t>
  </si>
  <si>
    <t>C7KL &amp; C20C</t>
  </si>
  <si>
    <t>CLCC</t>
  </si>
  <si>
    <t>CVW</t>
  </si>
  <si>
    <t>Options Strat. 1</t>
  </si>
  <si>
    <t>Options Strat. 2</t>
  </si>
  <si>
    <t>Options Strat. 3</t>
  </si>
  <si>
    <t>Bear Spread</t>
  </si>
  <si>
    <t>BEAR SPREAD</t>
  </si>
  <si>
    <t>1. XOM</t>
  </si>
  <si>
    <t>Trump Media &amp; Technology Group Corp.</t>
  </si>
  <si>
    <t>Yum! Brands, Inc.</t>
  </si>
  <si>
    <t>YUM CALENDAR SPREAD</t>
  </si>
  <si>
    <t>https://finance.yahoo.com/quote/YUM/</t>
  </si>
  <si>
    <t>DJT CALENDAR SPREAD</t>
  </si>
  <si>
    <t xml:space="preserve">Exxon Mobil Corporation </t>
  </si>
  <si>
    <t>XOM</t>
  </si>
  <si>
    <t>P29F</t>
  </si>
  <si>
    <t>PP3Q</t>
  </si>
  <si>
    <t>2. CVX</t>
  </si>
  <si>
    <t>XOM BEAR SPREAD (PUT)</t>
  </si>
  <si>
    <t>https://finance.yahoo.com/quote/XOM/</t>
  </si>
  <si>
    <t xml:space="preserve">Chevron Corporation </t>
  </si>
  <si>
    <t>https://finance.yahoo.com/quote/CVX</t>
  </si>
  <si>
    <t>CVX</t>
  </si>
  <si>
    <t>SHOT PUT</t>
  </si>
  <si>
    <t>PW1</t>
  </si>
  <si>
    <t>P9Q</t>
  </si>
  <si>
    <t>OXY</t>
  </si>
  <si>
    <t>OXY BEAR SPREAD (PUT)</t>
  </si>
  <si>
    <t>Occidental Petroleum Corporation</t>
  </si>
  <si>
    <t>PW8</t>
  </si>
  <si>
    <t>PTV9</t>
  </si>
  <si>
    <t>https://finance.yahoo.com/quote/OXY</t>
  </si>
  <si>
    <t>Closed 18-Nov</t>
  </si>
  <si>
    <t>Closed 12-Nov</t>
  </si>
  <si>
    <t>Closed 27-Nov</t>
  </si>
  <si>
    <t>JPM</t>
  </si>
  <si>
    <t xml:space="preserve">JPMorgan Chase &amp; Co. </t>
  </si>
  <si>
    <t>https://finance.yahoo.com/quote/JPM</t>
  </si>
  <si>
    <t>Protecitve Put</t>
  </si>
  <si>
    <t>Hedge</t>
  </si>
  <si>
    <t>LONG STOCK</t>
  </si>
  <si>
    <t>Stock Price</t>
  </si>
  <si>
    <t>N/A</t>
  </si>
  <si>
    <t>P0RG</t>
  </si>
  <si>
    <t>1. JPM</t>
  </si>
  <si>
    <t>PROTECTIVE PUT</t>
  </si>
  <si>
    <t>JPM PROTECTIVE PUT</t>
  </si>
  <si>
    <t>WFC PROTECTIVE PUT</t>
  </si>
  <si>
    <t>https://finance.yahoo.com/quote/WFC</t>
  </si>
  <si>
    <t>Wells Fargo &amp; Company</t>
  </si>
  <si>
    <t>WFC</t>
  </si>
  <si>
    <t>P6X4</t>
  </si>
  <si>
    <t>2. WFC</t>
  </si>
  <si>
    <t>3. BAC</t>
  </si>
  <si>
    <t>https://finance.yahoo.com/quote/BAC</t>
  </si>
  <si>
    <t>BAC PROTECTIVE PUT</t>
  </si>
  <si>
    <t>BAC</t>
  </si>
  <si>
    <t>Bank of America Corporation</t>
  </si>
  <si>
    <t>P3Q1</t>
  </si>
  <si>
    <t>Total Margin Initally</t>
  </si>
  <si>
    <t>PB7Z</t>
  </si>
  <si>
    <t>3. 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</si>
</sst>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164" formatCode="mmm\-yyyy"/>
    <numFmt numFmtId="165" formatCode="0.00000"/>
    <numFmt numFmtId="166" formatCode="_(* #,##0_);_(* \(#,##0\);_(* &quot;-&quot;??_);_(@_)"/>
    <numFmt numFmtId="167" formatCode="dd\-mmm\-yyyy"/>
    <numFmt numFmtId="168" formatCode="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trike/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42" fontId="0" fillId="4" borderId="1" xfId="0" applyNumberFormat="1" applyFill="1" applyBorder="1"/>
    <xf numFmtId="42" fontId="0" fillId="0" borderId="1" xfId="0" applyNumberFormat="1" applyBorder="1"/>
    <xf numFmtId="0" fontId="5" fillId="0" borderId="0" xfId="0" applyFon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/>
    <xf numFmtId="15" fontId="7" fillId="0" borderId="0" xfId="0" applyNumberFormat="1" applyFont="1"/>
    <xf numFmtId="0" fontId="7" fillId="0" borderId="0" xfId="0" applyFont="1"/>
    <xf numFmtId="4" fontId="7" fillId="0" borderId="0" xfId="0" applyNumberFormat="1" applyFont="1"/>
    <xf numFmtId="4" fontId="0" fillId="0" borderId="0" xfId="0" applyNumberFormat="1"/>
    <xf numFmtId="16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top"/>
    </xf>
    <xf numFmtId="3" fontId="0" fillId="0" borderId="0" xfId="0" applyNumberFormat="1"/>
    <xf numFmtId="1" fontId="0" fillId="4" borderId="1" xfId="0" applyNumberFormat="1" applyFill="1" applyBorder="1" applyAlignment="1">
      <alignment horizontal="center" vertical="top"/>
    </xf>
    <xf numFmtId="3" fontId="0" fillId="4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8" fillId="0" borderId="0" xfId="0" applyFont="1" applyAlignment="1">
      <alignment horizontal="left" indent="1"/>
    </xf>
    <xf numFmtId="3" fontId="7" fillId="0" borderId="0" xfId="0" applyNumberFormat="1" applyFont="1"/>
    <xf numFmtId="3" fontId="0" fillId="0" borderId="1" xfId="0" applyNumberFormat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9" fontId="8" fillId="4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3" fontId="7" fillId="0" borderId="0" xfId="0" applyNumberFormat="1" applyFont="1"/>
    <xf numFmtId="43" fontId="0" fillId="0" borderId="0" xfId="0" applyNumberFormat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4" borderId="1" xfId="0" applyNumberFormat="1" applyFill="1" applyBorder="1" applyAlignment="1">
      <alignment horizontal="center" vertical="top"/>
    </xf>
    <xf numFmtId="165" fontId="7" fillId="0" borderId="0" xfId="0" applyNumberFormat="1" applyFont="1"/>
    <xf numFmtId="2" fontId="7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40" fontId="7" fillId="0" borderId="0" xfId="0" applyNumberFormat="1" applyFont="1"/>
    <xf numFmtId="0" fontId="9" fillId="0" borderId="0" xfId="0" applyFont="1"/>
    <xf numFmtId="164" fontId="9" fillId="4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0" fontId="7" fillId="0" borderId="0" xfId="0" applyNumberFormat="1" applyFont="1" applyAlignment="1">
      <alignment horizontal="center"/>
    </xf>
    <xf numFmtId="0" fontId="10" fillId="0" borderId="0" xfId="2"/>
    <xf numFmtId="40" fontId="0" fillId="0" borderId="2" xfId="0" applyNumberFormat="1" applyBorder="1" applyAlignment="1">
      <alignment horizontal="center"/>
    </xf>
    <xf numFmtId="40" fontId="0" fillId="0" borderId="2" xfId="0" applyNumberFormat="1" applyBorder="1"/>
    <xf numFmtId="0" fontId="2" fillId="2" borderId="0" xfId="0" applyFont="1" applyFill="1" applyAlignment="1">
      <alignment horizontal="center" wrapText="1"/>
    </xf>
    <xf numFmtId="166" fontId="0" fillId="0" borderId="2" xfId="0" applyNumberFormat="1" applyBorder="1" applyAlignment="1">
      <alignment horizontal="center"/>
    </xf>
    <xf numFmtId="166" fontId="0" fillId="0" borderId="2" xfId="0" applyNumberFormat="1" applyBorder="1"/>
    <xf numFmtId="0" fontId="8" fillId="0" borderId="0" xfId="0" applyFont="1"/>
    <xf numFmtId="167" fontId="0" fillId="4" borderId="1" xfId="0" applyNumberFormat="1" applyFill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167" fontId="9" fillId="4" borderId="1" xfId="0" applyNumberFormat="1" applyFont="1" applyFill="1" applyBorder="1" applyAlignment="1">
      <alignment horizontal="center"/>
    </xf>
    <xf numFmtId="43" fontId="7" fillId="0" borderId="0" xfId="0" applyNumberFormat="1" applyFont="1" applyAlignment="1">
      <alignment horizontal="center"/>
    </xf>
    <xf numFmtId="2" fontId="0" fillId="0" borderId="1" xfId="1" applyNumberFormat="1" applyFon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/>
    <xf numFmtId="3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 indent="1"/>
    </xf>
    <xf numFmtId="0" fontId="0" fillId="0" borderId="5" xfId="0" applyBorder="1"/>
    <xf numFmtId="3" fontId="9" fillId="0" borderId="5" xfId="0" applyNumberFormat="1" applyFont="1" applyBorder="1"/>
    <xf numFmtId="42" fontId="0" fillId="0" borderId="0" xfId="0" applyNumberFormat="1"/>
    <xf numFmtId="0" fontId="13" fillId="2" borderId="0" xfId="0" applyFont="1" applyFill="1"/>
    <xf numFmtId="3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4" formatCode="#,##0.00"/>
    </dxf>
    <dxf>
      <numFmt numFmtId="20" formatCode="d\-mmm\-yy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\-mmm\-yy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alignment horizontal="general" vertical="bottom" textRotation="0" wrapText="0" indent="0" justifyLastLine="0" shrinkToFit="0" readingOrder="0"/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Classique" pivot="0" count="2" xr9:uid="{D0025AA7-CE8C-4E83-93E2-D3D8BC2D3BB1}">
      <tableStyleElement type="wholeTable" dxfId="323"/>
      <tableStyleElement type="headerRow" dxfId="3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17</xdr:row>
      <xdr:rowOff>0</xdr:rowOff>
    </xdr:from>
    <xdr:to>
      <xdr:col>15</xdr:col>
      <xdr:colOff>207311</xdr:colOff>
      <xdr:row>37</xdr:row>
      <xdr:rowOff>48683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8CE81B-228C-8B48-8E30-8401A934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1043" y="3143250"/>
          <a:ext cx="6229227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275167</xdr:colOff>
      <xdr:row>13</xdr:row>
      <xdr:rowOff>111124</xdr:rowOff>
    </xdr:from>
    <xdr:to>
      <xdr:col>14</xdr:col>
      <xdr:colOff>408965</xdr:colOff>
      <xdr:row>33</xdr:row>
      <xdr:rowOff>159807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E2DCC-D1B3-9760-D94C-ED4ED8819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4334" y="2534707"/>
          <a:ext cx="6071048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19</xdr:row>
      <xdr:rowOff>0</xdr:rowOff>
    </xdr:from>
    <xdr:to>
      <xdr:col>14</xdr:col>
      <xdr:colOff>1042545</xdr:colOff>
      <xdr:row>39</xdr:row>
      <xdr:rowOff>48683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26E3F-D400-065B-17FC-96411EAA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1043" y="3503083"/>
          <a:ext cx="5947919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20</xdr:row>
      <xdr:rowOff>0</xdr:rowOff>
    </xdr:from>
    <xdr:to>
      <xdr:col>14</xdr:col>
      <xdr:colOff>509846</xdr:colOff>
      <xdr:row>40</xdr:row>
      <xdr:rowOff>53975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8CB1C7-DF60-9296-CCED-58695A21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3688292"/>
          <a:ext cx="5833263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614515</xdr:colOff>
      <xdr:row>16</xdr:row>
      <xdr:rowOff>-1</xdr:rowOff>
    </xdr:from>
    <xdr:to>
      <xdr:col>15</xdr:col>
      <xdr:colOff>710306</xdr:colOff>
      <xdr:row>36</xdr:row>
      <xdr:rowOff>59266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AB62AD-9791-3309-C7E9-D5B6B024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6170" y="3026493"/>
          <a:ext cx="6148775" cy="37463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0</xdr:rowOff>
    </xdr:from>
    <xdr:to>
      <xdr:col>14</xdr:col>
      <xdr:colOff>593733</xdr:colOff>
      <xdr:row>44</xdr:row>
      <xdr:rowOff>59267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24AC82-5A68-242A-D96D-627D9AD7C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1042" y="4413250"/>
          <a:ext cx="5499108" cy="3657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27</xdr:row>
      <xdr:rowOff>0</xdr:rowOff>
    </xdr:from>
    <xdr:to>
      <xdr:col>15</xdr:col>
      <xdr:colOff>1453792</xdr:colOff>
      <xdr:row>52</xdr:row>
      <xdr:rowOff>74083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D390C-0F87-4ABB-830E-FCD98516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1042" y="4953000"/>
          <a:ext cx="7475709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28</xdr:row>
      <xdr:rowOff>0</xdr:rowOff>
    </xdr:from>
    <xdr:to>
      <xdr:col>15</xdr:col>
      <xdr:colOff>1276567</xdr:colOff>
      <xdr:row>57</xdr:row>
      <xdr:rowOff>127001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3CA63A-2608-4FA4-A045-6E2BC6FA2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132917"/>
          <a:ext cx="7716526" cy="53445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27</xdr:row>
      <xdr:rowOff>0</xdr:rowOff>
    </xdr:from>
    <xdr:to>
      <xdr:col>15</xdr:col>
      <xdr:colOff>655642</xdr:colOff>
      <xdr:row>47</xdr:row>
      <xdr:rowOff>63261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D84DD8-013C-C644-BED9-850E959F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9152" y="4960189"/>
          <a:ext cx="7700547" cy="3657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643580</xdr:colOff>
      <xdr:row>20</xdr:row>
      <xdr:rowOff>135179</xdr:rowOff>
    </xdr:from>
    <xdr:to>
      <xdr:col>17</xdr:col>
      <xdr:colOff>370084</xdr:colOff>
      <xdr:row>52</xdr:row>
      <xdr:rowOff>54519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EEE9F-92EA-4C5D-8221-C776A7C4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5794" y="3739233"/>
          <a:ext cx="10332720" cy="56858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377246</xdr:colOff>
      <xdr:row>18</xdr:row>
      <xdr:rowOff>163488</xdr:rowOff>
    </xdr:from>
    <xdr:to>
      <xdr:col>20</xdr:col>
      <xdr:colOff>80110</xdr:colOff>
      <xdr:row>53</xdr:row>
      <xdr:rowOff>162793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C09F4-6C33-4F2D-9C5F-62D66AF5E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4634" y="3511455"/>
          <a:ext cx="11644656" cy="621898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15</xdr:row>
      <xdr:rowOff>120</xdr:rowOff>
    </xdr:from>
    <xdr:to>
      <xdr:col>13</xdr:col>
      <xdr:colOff>389666</xdr:colOff>
      <xdr:row>28</xdr:row>
      <xdr:rowOff>157279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B1D3F-C96C-4A7A-A6E3-D816EB2E5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1981" y="2861835"/>
          <a:ext cx="5577840" cy="25131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18</xdr:rowOff>
    </xdr:from>
    <xdr:to>
      <xdr:col>13</xdr:col>
      <xdr:colOff>846864</xdr:colOff>
      <xdr:row>27</xdr:row>
      <xdr:rowOff>45919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C3C09-AAC0-BE4E-A33B-C7FDEB670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6504" y="2136822"/>
          <a:ext cx="6035040" cy="29455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24</xdr:row>
      <xdr:rowOff>0</xdr:rowOff>
    </xdr:from>
    <xdr:to>
      <xdr:col>43</xdr:col>
      <xdr:colOff>479711</xdr:colOff>
      <xdr:row>78</xdr:row>
      <xdr:rowOff>153785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05AE3-0B77-795E-1D9E-25966AC0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4610100"/>
          <a:ext cx="24797036" cy="99264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21</xdr:row>
      <xdr:rowOff>0</xdr:rowOff>
    </xdr:from>
    <xdr:to>
      <xdr:col>44</xdr:col>
      <xdr:colOff>166800</xdr:colOff>
      <xdr:row>82</xdr:row>
      <xdr:rowOff>161363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C96AC-F372-9E93-2438-102CA8B5B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1917" y="3862917"/>
          <a:ext cx="27350092" cy="111362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231791</xdr:colOff>
      <xdr:row>17</xdr:row>
      <xdr:rowOff>8580</xdr:rowOff>
    </xdr:from>
    <xdr:to>
      <xdr:col>15</xdr:col>
      <xdr:colOff>268968</xdr:colOff>
      <xdr:row>39</xdr:row>
      <xdr:rowOff>84869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A7AA44-1E7F-9C2D-484B-AFF2D69D0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6318" y="3144966"/>
          <a:ext cx="6086839" cy="4040748"/>
        </a:xfrm>
        <a:prstGeom prst="rect">
          <a:avLst/>
        </a:prstGeom>
      </xdr:spPr>
    </xdr:pic>
    <xdr:clientData/>
  </xdr:twoCellAnchor>
  <xdr:twoCellAnchor editAs="oneCell">
    <xdr:from>
      <xdr:col>12</xdr:col>
      <xdr:colOff>544898</xdr:colOff>
      <xdr:row>40</xdr:row>
      <xdr:rowOff>55599</xdr:rowOff>
    </xdr:from>
    <xdr:to>
      <xdr:col>28</xdr:col>
      <xdr:colOff>1588</xdr:colOff>
      <xdr:row>94</xdr:row>
      <xdr:rowOff>158226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D6F75D-7A88-8546-6F7F-D46925B16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40236" y="7336647"/>
          <a:ext cx="14091724" cy="983357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1</xdr:rowOff>
    </xdr:from>
    <xdr:to>
      <xdr:col>19</xdr:col>
      <xdr:colOff>281178</xdr:colOff>
      <xdr:row>43</xdr:row>
      <xdr:rowOff>47626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B2E629-BAEA-FE38-2DD5-51650C39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0190" y="2357441"/>
          <a:ext cx="11115863" cy="59293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6</xdr:rowOff>
    </xdr:from>
    <xdr:to>
      <xdr:col>16</xdr:col>
      <xdr:colOff>415198</xdr:colOff>
      <xdr:row>43</xdr:row>
      <xdr:rowOff>95667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4D60B4-45C8-D5B9-FF11-517036B8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3036" y="2267863"/>
          <a:ext cx="10881360" cy="57086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49</xdr:rowOff>
    </xdr:from>
    <xdr:to>
      <xdr:col>16</xdr:col>
      <xdr:colOff>710565</xdr:colOff>
      <xdr:row>45</xdr:row>
      <xdr:rowOff>90004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5AF10-53E0-CC6A-ABD2-8D65A444E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0913" y="2619424"/>
          <a:ext cx="9692640" cy="56858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775D6DB-ABA5-480B-8F89-370442A1BF4A}" name="NVDATable131820222426283032" displayName="NVDATable131820222426283032" ref="H4:P7" totalsRowShown="0" headerRowDxfId="321" dataDxfId="320">
  <tableColumns count="9">
    <tableColumn id="1" xr3:uid="{D653620E-1687-4A43-B198-F4BB11D4D76B}" name="Date" dataDxfId="319"/>
    <tableColumn id="2" xr3:uid="{F416786C-2B30-4FA3-8A4F-4E9031DCDDD4}" name="BAC" dataDxfId="318"/>
    <tableColumn id="3" xr3:uid="{58A6429F-A4A1-4DEB-9EF0-555390807B60}" name="Stock Price" dataDxfId="317"/>
    <tableColumn id="4" xr3:uid="{2EE71DF0-99ED-4963-A545-999AF0EACFB0}" name="Entry/Exit" dataDxfId="316"/>
    <tableColumn id="5" xr3:uid="{15ECB53E-955A-496A-8A26-CD7EF4EE9B8A}" name="Daily +/-" dataDxfId="315"/>
    <tableColumn id="6" xr3:uid="{CA9D118C-C68E-4578-81C7-37EF1535EF68}" name="Cum. Total" dataDxfId="314"/>
    <tableColumn id="7" xr3:uid="{EB101897-0274-41DE-91BC-7F0E95AC972E}" name="Current Account" dataDxfId="313"/>
    <tableColumn id="8" xr3:uid="{8FB3C952-FBCE-4CD8-B439-95C6F451A86F}" name="Margin Payment" dataDxfId="312"/>
    <tableColumn id="9" xr3:uid="{18EC8824-14A9-44B5-95EE-EBE04895D241}" name="Curr. after Margin Payments" dataDxfId="311"/>
  </tableColumns>
  <tableStyleInfo name="Classiq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AD192BC-24F7-4DC1-87B0-6A651B0A9351}" name="NVDATable13141921232527293133" displayName="NVDATable13141921232527293133" ref="H10:P13" totalsRowShown="0" headerRowDxfId="310" dataDxfId="309">
  <tableColumns count="9">
    <tableColumn id="1" xr3:uid="{7F9960C5-82A4-42B1-B835-A6BB9A4953D4}" name="Date" dataDxfId="308"/>
    <tableColumn id="2" xr3:uid="{DE916711-A29C-40BF-B8E7-1C53EF160153}" name="BAC" dataDxfId="307"/>
    <tableColumn id="3" xr3:uid="{88AFABDE-F911-45F1-86E6-8B52FB7ED24A}" name="Last Price" dataDxfId="306"/>
    <tableColumn id="4" xr3:uid="{600240FF-EB54-4AC0-8E31-035FFAD37718}" name="Entry/Exit" dataDxfId="305"/>
    <tableColumn id="5" xr3:uid="{19AD1B21-1BAF-4B98-894B-3E928662A2C2}" name="Daily +/-" dataDxfId="304"/>
    <tableColumn id="6" xr3:uid="{3D1FB8C4-3231-49E8-AB3A-4B9ABD949D60}" name="Cum. Total" dataDxfId="303"/>
    <tableColumn id="7" xr3:uid="{4FCCA055-5418-4163-9D58-62E77B0CD283}" name="Current Account" dataDxfId="302"/>
    <tableColumn id="8" xr3:uid="{E8440BEE-1877-413B-B1E1-2ADF6F978DEE}" name="Margin Payment" dataDxfId="301"/>
    <tableColumn id="9" xr3:uid="{C3211444-06FF-43B0-A70B-8842588C04F1}" name="Curr. after Margin Payments" dataDxfId="300"/>
  </tableColumns>
  <tableStyleInfo name="Classiq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CCC18B7-AB0A-4520-AA31-B61828473994}" name="NVDATable1318202224262830" displayName="NVDATable1318202224262830" ref="H4:P7" totalsRowShown="0" headerRowDxfId="299" dataDxfId="298">
  <tableColumns count="9">
    <tableColumn id="1" xr3:uid="{955D9C46-5807-4A72-97CF-B8E1F909A6E4}" name="Date" dataDxfId="297"/>
    <tableColumn id="2" xr3:uid="{EDF1B302-D898-4EE2-B020-3A0472133E15}" name="BAC" dataDxfId="296"/>
    <tableColumn id="3" xr3:uid="{7B322D62-2943-4228-9BB0-D9F893C91BC7}" name="Stock Price" dataDxfId="295"/>
    <tableColumn id="4" xr3:uid="{9E8BA3FB-37E2-4DAD-824A-047A0A45A3A1}" name="Entry/Exit" dataDxfId="294"/>
    <tableColumn id="5" xr3:uid="{1A812C44-8023-4621-A1DE-43AE0490BAB6}" name="Daily +/-" dataDxfId="293"/>
    <tableColumn id="6" xr3:uid="{0163807A-7507-41CE-9981-F337A99FDFA2}" name="Cum. Total" dataDxfId="292"/>
    <tableColumn id="7" xr3:uid="{9AB6B72F-1996-4E14-B953-0CCD37884512}" name="Current Account" dataDxfId="291"/>
    <tableColumn id="8" xr3:uid="{9DD926B6-5B2E-4BC2-AE39-0C226B25644F}" name="Margin Payment" dataDxfId="290"/>
    <tableColumn id="9" xr3:uid="{6B0BCC92-2432-4E12-AB6C-237DC8836C03}" name="Curr. after Margin Payments" dataDxfId="289"/>
  </tableColumns>
  <tableStyleInfo name="Classiq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1BC2BE7-2DED-42AE-8482-10042BCF1945}" name="NVDATable131419212325272931" displayName="NVDATable131419212325272931" ref="H10:P13" totalsRowShown="0" headerRowDxfId="288" dataDxfId="287">
  <tableColumns count="9">
    <tableColumn id="1" xr3:uid="{83553303-F9E5-4E3F-81F3-B7991A8DC47C}" name="Date" dataDxfId="286"/>
    <tableColumn id="2" xr3:uid="{974C61F8-2BCB-49C8-9DB0-FDBD76383975}" name="BAC" dataDxfId="285"/>
    <tableColumn id="3" xr3:uid="{D2FC930B-FF08-41DB-A096-16D745EDD2C5}" name="Last Price" dataDxfId="284"/>
    <tableColumn id="4" xr3:uid="{E32BC426-9E2F-46A5-89F6-29B3E1968E9E}" name="Entry/Exit" dataDxfId="283"/>
    <tableColumn id="5" xr3:uid="{6EA01FAF-EB59-4A22-9B6D-9426F29B0EC3}" name="Daily +/-" dataDxfId="282"/>
    <tableColumn id="6" xr3:uid="{6899C60E-6D0F-44D6-A6C0-42DA9B9D2983}" name="Cum. Total" dataDxfId="281"/>
    <tableColumn id="7" xr3:uid="{02A844A2-EAA1-46FE-AC3A-07F5031274C8}" name="Current Account" dataDxfId="280"/>
    <tableColumn id="8" xr3:uid="{6803C638-D34A-4835-8A51-E97E427B30A7}" name="Margin Payment" dataDxfId="279"/>
    <tableColumn id="9" xr3:uid="{D705C7A1-AA7D-45C7-BB6B-64FF267FF822}" name="Curr. after Margin Payments" dataDxfId="278"/>
  </tableColumns>
  <tableStyleInfo name="Classiq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32E3215-E3A0-4FA0-BD7B-F6CE553876B6}" name="NVDATable13182022242628" displayName="NVDATable13182022242628" ref="H4:P7" totalsRowShown="0" headerRowDxfId="277" dataDxfId="276">
  <tableColumns count="9">
    <tableColumn id="1" xr3:uid="{7DDDE904-97CF-496B-ADA1-14A47CEB0757}" name="Date" dataDxfId="275"/>
    <tableColumn id="2" xr3:uid="{F89F51A3-D256-4035-9132-89E5554A8747}" name="JPM" dataDxfId="274"/>
    <tableColumn id="3" xr3:uid="{210341AD-A716-436F-8D80-C4722BBA9833}" name="Stock Price" dataDxfId="273"/>
    <tableColumn id="4" xr3:uid="{103F66BD-4371-4DC6-86A9-E3E648954CE4}" name="Entry/Exit" dataDxfId="272"/>
    <tableColumn id="5" xr3:uid="{7A7D260E-58DA-44F8-B6A9-94D6F1A4B8BB}" name="Daily +/-" dataDxfId="271"/>
    <tableColumn id="6" xr3:uid="{7128B063-9A90-4E43-BA7E-7E92DC347494}" name="Cum. Total" dataDxfId="270"/>
    <tableColumn id="7" xr3:uid="{B83FDA86-A585-4B6C-A034-337A83564470}" name="Current Account" dataDxfId="269"/>
    <tableColumn id="8" xr3:uid="{FFD5ADF4-B164-4D76-AC8C-785680451615}" name="Margin Payment" dataDxfId="268"/>
    <tableColumn id="9" xr3:uid="{A2388906-7E5D-435C-88C7-C520B98E3F27}" name="Curr. after Margin Payments" dataDxfId="267"/>
  </tableColumns>
  <tableStyleInfo name="Classiq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8C24B9F-3057-4127-9DB6-7652F207086C}" name="NVDATable1314192123252729" displayName="NVDATable1314192123252729" ref="H10:P13" totalsRowShown="0" headerRowDxfId="266" dataDxfId="265">
  <tableColumns count="9">
    <tableColumn id="1" xr3:uid="{E73EE989-B45F-449D-BC6B-AD36B9CBFF89}" name="Date" dataDxfId="264"/>
    <tableColumn id="2" xr3:uid="{86D53A1D-809E-4297-870E-4900F52BB0B8}" name="JPM" dataDxfId="263"/>
    <tableColumn id="3" xr3:uid="{35D2042D-CCA0-4A33-8320-3B2028303438}" name="Last Price" dataDxfId="262"/>
    <tableColumn id="4" xr3:uid="{E3C6B3A1-AE4D-43C6-8554-D446642662EE}" name="Entry/Exit" dataDxfId="261"/>
    <tableColumn id="5" xr3:uid="{AFD2672A-08B9-47AA-A6FD-D876697553A1}" name="Daily +/-" dataDxfId="260"/>
    <tableColumn id="6" xr3:uid="{8A7C130C-E50D-473E-9780-07F3A06789E1}" name="Cum. Total" dataDxfId="259"/>
    <tableColumn id="7" xr3:uid="{E729350A-31F3-42A9-A42B-CFC8623CB25B}" name="Current Account" dataDxfId="258"/>
    <tableColumn id="8" xr3:uid="{76CB6F62-DF05-4DDA-85A3-948BA4A85225}" name="Margin Payment" dataDxfId="257"/>
    <tableColumn id="9" xr3:uid="{70370E43-18C6-4F77-885A-454C37158923}" name="Curr. after Margin Payments" dataDxfId="256"/>
  </tableColumns>
  <tableStyleInfo name="Classiq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AC164D3-21DD-4C96-834C-5C3ED1D25C59}" name="NVDATable131820222426" displayName="NVDATable131820222426" ref="H4:P7" totalsRowShown="0" headerRowDxfId="255" dataDxfId="254">
  <tableColumns count="9">
    <tableColumn id="1" xr3:uid="{8E87E730-7909-41FD-8632-EF62F2D39FC6}" name="Date" dataDxfId="253"/>
    <tableColumn id="2" xr3:uid="{E31225E6-730B-44AF-A0BF-13091752C7CB}" name="OXY" dataDxfId="252"/>
    <tableColumn id="3" xr3:uid="{4A72B152-E3E8-46CF-A7DD-4B88E1053E67}" name="Last Price" dataDxfId="251"/>
    <tableColumn id="4" xr3:uid="{D8B9ECD3-FDE3-47E9-9333-9BBB1C6263CA}" name="Entry/Exit" dataDxfId="250"/>
    <tableColumn id="5" xr3:uid="{2BEB2053-597B-43D5-9FC7-2154AA17FBC8}" name="Daily +/-" dataDxfId="249"/>
    <tableColumn id="6" xr3:uid="{5EBA36B4-5209-4F71-A231-A9887BC67C65}" name="Cum. Total" dataDxfId="248"/>
    <tableColumn id="7" xr3:uid="{E9CF3C67-2479-4E5D-9361-2826E04783FB}" name="Current Account" dataDxfId="247"/>
    <tableColumn id="8" xr3:uid="{559CE153-E2F6-482D-87D3-E1890A0529B1}" name="Margin Payment" dataDxfId="246"/>
    <tableColumn id="9" xr3:uid="{36E18081-A952-406A-B735-F537A6FBEEE8}" name="Curr. after Margin Payments" dataDxfId="245"/>
  </tableColumns>
  <tableStyleInfo name="Classiq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9306FA9-E76D-4B4F-BBB5-B53FED21E577}" name="NVDATable13141921232527" displayName="NVDATable13141921232527" ref="H10:P13" totalsRowShown="0" headerRowDxfId="244" dataDxfId="243">
  <tableColumns count="9">
    <tableColumn id="1" xr3:uid="{F29E9C87-BA79-4908-88F5-1E0CAD070528}" name="Date" dataDxfId="242"/>
    <tableColumn id="2" xr3:uid="{19C4C747-9973-4960-9344-968F9E1FE619}" name="OXY" dataDxfId="241"/>
    <tableColumn id="3" xr3:uid="{E7AF7A96-712A-4AE0-A48C-B0F0D325963D}" name="Last Price" dataDxfId="240"/>
    <tableColumn id="4" xr3:uid="{5DD44774-7B15-4E3B-B422-7C57F85489CD}" name="Entry/Exit" dataDxfId="239"/>
    <tableColumn id="5" xr3:uid="{CD98F2FB-C0AE-4037-9A80-C894AD2F1165}" name="Daily +/-" dataDxfId="238"/>
    <tableColumn id="6" xr3:uid="{C11042EC-3BF5-484F-A4DA-9CBE438269AD}" name="Cum. Total" dataDxfId="237"/>
    <tableColumn id="7" xr3:uid="{9B7C2AED-4918-49B0-82CA-DB6DACD9B47E}" name="Current Account" dataDxfId="236"/>
    <tableColumn id="8" xr3:uid="{BD4818F1-E4F5-4133-BB36-DA8748BC92FE}" name="Margin Payment" dataDxfId="235"/>
    <tableColumn id="9" xr3:uid="{9B4BC1FE-8741-431C-9FE2-EE6AC486EA03}" name="Curr. after Margin Payments" dataDxfId="234"/>
  </tableColumns>
  <tableStyleInfo name="Classiqu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37538DB-0EB3-466B-9042-7360414DA41F}" name="NVDATable1318202224" displayName="NVDATable1318202224" ref="H4:P7" totalsRowShown="0" headerRowDxfId="233" dataDxfId="232">
  <tableColumns count="9">
    <tableColumn id="1" xr3:uid="{2B471848-4DA6-454B-AB54-DAB75AE54C4D}" name="Date" dataDxfId="231"/>
    <tableColumn id="2" xr3:uid="{3B5F370B-6A2C-41B9-AD03-A5B1ABC65F4F}" name="CVX" dataDxfId="230"/>
    <tableColumn id="3" xr3:uid="{497EF321-F126-4C10-8C01-27B0549C6579}" name="Last Price" dataDxfId="229"/>
    <tableColumn id="4" xr3:uid="{105A3063-B064-4608-9979-E5FDBB1E5441}" name="Entry/Exit" dataDxfId="228"/>
    <tableColumn id="5" xr3:uid="{B20239D1-7ABE-4B57-A9D2-8202012568FF}" name="Daily +/-" dataDxfId="227"/>
    <tableColumn id="6" xr3:uid="{29764755-373C-41A7-AC6B-FCE25AB13927}" name="Cum. Total" dataDxfId="226"/>
    <tableColumn id="7" xr3:uid="{8520FF75-0492-487B-BA27-7BD7FCDC5732}" name="Current Account" dataDxfId="225"/>
    <tableColumn id="8" xr3:uid="{4456F297-661D-47CE-BD47-BD90D5058B73}" name="Margin Payment" dataDxfId="224"/>
    <tableColumn id="9" xr3:uid="{DA9A4623-AA3B-4883-87C3-CB5BAB232E8B}" name="Curr. after Margin Payments" dataDxfId="223"/>
  </tableColumns>
  <tableStyleInfo name="Classiqu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6A1758A-7D64-40EE-BAD3-3DFCB948EA7C}" name="NVDATable131419212325" displayName="NVDATable131419212325" ref="H10:P13" totalsRowShown="0" headerRowDxfId="222" dataDxfId="221">
  <tableColumns count="9">
    <tableColumn id="1" xr3:uid="{031525E4-3042-415F-A8E6-DC27E2C6EE50}" name="Date" dataDxfId="220"/>
    <tableColumn id="2" xr3:uid="{A4C9DE13-F4A0-48C0-A574-91525AE06FB0}" name="CVX" dataDxfId="219"/>
    <tableColumn id="3" xr3:uid="{31E319CE-4990-466E-B8CD-EED5C45B6B96}" name="Last Price" dataDxfId="218"/>
    <tableColumn id="4" xr3:uid="{8D981DE5-5782-4E8D-AF8A-525C53F1524D}" name="Entry/Exit" dataDxfId="217"/>
    <tableColumn id="5" xr3:uid="{8611390B-049C-477D-B7A9-7D2B51F016D6}" name="Daily +/-" dataDxfId="216"/>
    <tableColumn id="6" xr3:uid="{BBFD363A-5B2B-46CC-9BC4-E2A17EB1B8ED}" name="Cum. Total" dataDxfId="215"/>
    <tableColumn id="7" xr3:uid="{503A2D20-F2F9-4C70-99C6-1E6743759F20}" name="Current Account" dataDxfId="214"/>
    <tableColumn id="8" xr3:uid="{11FA8266-2954-4D4D-B3CC-C8786E63E803}" name="Margin Payment" dataDxfId="213"/>
    <tableColumn id="9" xr3:uid="{3C8FD426-326D-4B0B-88F7-60C82F6394BE}" name="Curr. after Margin Payments" dataDxfId="212"/>
  </tableColumns>
  <tableStyleInfo name="Classiqu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B91813-F0CE-427C-B134-CFAF012770D0}" name="NVDATable13182022" displayName="NVDATable13182022" ref="H4:P7" totalsRowShown="0" headerRowDxfId="211" dataDxfId="210">
  <tableColumns count="9">
    <tableColumn id="1" xr3:uid="{12CD6F8D-28BF-4DDD-AA75-4F8E101D7F13}" name="Date" dataDxfId="209"/>
    <tableColumn id="2" xr3:uid="{E3EEC359-BA2C-4FFD-B06D-F50A16232652}" name="XOM" dataDxfId="208"/>
    <tableColumn id="3" xr3:uid="{8CBC6E7A-1722-466E-A573-546F8A5BE89D}" name="Last Price" dataDxfId="207"/>
    <tableColumn id="4" xr3:uid="{22906FD8-DB21-4F34-A4B0-841EA28DDE5D}" name="Entry/Exit" dataDxfId="206"/>
    <tableColumn id="5" xr3:uid="{AED76852-AF1A-49FC-83F3-93102EBC32F7}" name="Daily +/-" dataDxfId="205"/>
    <tableColumn id="6" xr3:uid="{7ACBCFD5-CD65-4E71-8817-8550D8D1DB76}" name="Cum. Total" dataDxfId="204"/>
    <tableColumn id="7" xr3:uid="{30F42EB5-309C-4DB9-B93B-095678E928FA}" name="Current Account" dataDxfId="203"/>
    <tableColumn id="8" xr3:uid="{77591A44-AE40-4171-999D-116B7190A099}" name="Margin Payment" dataDxfId="202"/>
    <tableColumn id="9" xr3:uid="{176C71CB-2D1D-4AF5-841B-8E92419B77BF}" name="Curr. after Margin Payments" dataDxfId="201"/>
  </tableColumns>
  <tableStyleInfo name="Classiq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A05B078-C1CE-46A2-8242-2AB14AE65FAE}" name="NVDATable1314192123" displayName="NVDATable1314192123" ref="H10:P13" totalsRowShown="0" headerRowDxfId="200" dataDxfId="199">
  <tableColumns count="9">
    <tableColumn id="1" xr3:uid="{0237A79D-B23F-4ACC-B17C-2D9C29404253}" name="Date" dataDxfId="198"/>
    <tableColumn id="2" xr3:uid="{8AC8C98C-EF9B-4278-818B-182F179C185E}" name="XOM" dataDxfId="197"/>
    <tableColumn id="3" xr3:uid="{D9E41D69-28D6-4AD0-A905-1A3CDC830C74}" name="Last Price" dataDxfId="196"/>
    <tableColumn id="4" xr3:uid="{1E135797-F99B-400A-9E0B-4B56108F206B}" name="Entry/Exit" dataDxfId="195"/>
    <tableColumn id="5" xr3:uid="{5EE64559-72EA-4B88-9686-CCF44F59EC74}" name="Daily +/-" dataDxfId="194"/>
    <tableColumn id="6" xr3:uid="{3E459A76-BECE-4B9F-9ECB-7E76DA25229E}" name="Cum. Total" dataDxfId="193"/>
    <tableColumn id="7" xr3:uid="{02396FA2-121C-4C9F-834B-D232FDAD3511}" name="Current Account" dataDxfId="192"/>
    <tableColumn id="8" xr3:uid="{DEDFA514-D213-479A-8862-4DD7DFD3040A}" name="Margin Payment" dataDxfId="191"/>
    <tableColumn id="9" xr3:uid="{3A4A720F-992B-46CA-9DBC-018D8401AF8A}" name="Curr. after Margin Payments" dataDxfId="190"/>
  </tableColumns>
  <tableStyleInfo name="Classiq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7E34B25-42AD-4D1A-9E54-79BA2F81E750}" name="NVDATable131820" displayName="NVDATable131820" ref="H4:P7" totalsRowShown="0" headerRowDxfId="189" dataDxfId="188">
  <tableColumns count="9">
    <tableColumn id="1" xr3:uid="{8052B2AE-A447-47E1-95DF-F60334D4C8C1}" name="Date" dataDxfId="187"/>
    <tableColumn id="2" xr3:uid="{5B7E9641-07B4-4859-94D9-F175F7A58935}" name="YUM" dataDxfId="186"/>
    <tableColumn id="3" xr3:uid="{58027D7E-9280-40A4-944C-E4649163CF1C}" name="Last Price" dataDxfId="185"/>
    <tableColumn id="4" xr3:uid="{49E4FAD4-8B0E-4D92-83AE-073BD109D703}" name="Entry/Exit" dataDxfId="184"/>
    <tableColumn id="5" xr3:uid="{73013362-DEFC-4832-8D2F-8C404C8F7FF1}" name="Daily +/-" dataDxfId="183"/>
    <tableColumn id="6" xr3:uid="{14D8C77B-94EC-4704-8212-D44EACC0C0B7}" name="Cum. Total" dataDxfId="182"/>
    <tableColumn id="7" xr3:uid="{950B0BBA-E104-4216-8723-EAE9DC4A4853}" name="Current Account" dataDxfId="181"/>
    <tableColumn id="8" xr3:uid="{6B931396-F3B3-491A-B37B-8E7A33882F6F}" name="Margin Payment" dataDxfId="180"/>
    <tableColumn id="9" xr3:uid="{7C4F79B6-BC61-43F9-BE0B-318A68BA2EB1}" name="Curr. after Margin Payments" dataDxfId="179"/>
  </tableColumns>
  <tableStyleInfo name="Classiq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DAAE0C-F57C-472B-84BD-011130197DF1}" name="NVDATable13141921" displayName="NVDATable13141921" ref="H10:P13" totalsRowShown="0" headerRowDxfId="178" dataDxfId="177">
  <tableColumns count="9">
    <tableColumn id="1" xr3:uid="{9DB0E729-1891-4D38-A3DE-BE8787B7744A}" name="Date" dataDxfId="176"/>
    <tableColumn id="2" xr3:uid="{A3054C0C-0E39-4569-9632-1FB5583D00A4}" name="YUM" dataDxfId="175"/>
    <tableColumn id="3" xr3:uid="{63BAFB07-DC8E-44E7-8724-CD9DB6B5BC0D}" name="Last Price" dataDxfId="174"/>
    <tableColumn id="4" xr3:uid="{3FBABF2B-2412-48AE-A88D-6A5C937E0115}" name="Entry/Exit" dataDxfId="173"/>
    <tableColumn id="5" xr3:uid="{A49C2677-5ED8-4D03-A3BB-BE4A5AFA279C}" name="Daily +/-" dataDxfId="172"/>
    <tableColumn id="6" xr3:uid="{DF52F5E1-5209-4B2B-B1DC-2B2102F7D80C}" name="Cum. Total" dataDxfId="171"/>
    <tableColumn id="7" xr3:uid="{D237E201-2BC7-4002-86A7-F677739F4536}" name="Current Account" dataDxfId="170"/>
    <tableColumn id="8" xr3:uid="{2B30AA95-AECB-42D7-991B-BC9EE1D9DA9B}" name="Margin Payment" dataDxfId="169"/>
    <tableColumn id="9" xr3:uid="{EFA20D37-D439-467A-ADD2-E997FDC1563A}" name="Curr. after Margin Payments" dataDxfId="168"/>
  </tableColumns>
  <tableStyleInfo name="Classiq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F3EF727-C1A6-4C58-85C7-1E7DD45B4171}" name="NVDATable1318" displayName="NVDATable1318" ref="H4:P7" totalsRowShown="0" headerRowDxfId="167" dataDxfId="166">
  <tableColumns count="9">
    <tableColumn id="1" xr3:uid="{5710A432-6A0B-4A4A-A8D4-57A085874740}" name="Date" dataDxfId="165"/>
    <tableColumn id="2" xr3:uid="{9E104729-F986-402F-B95D-731434813582}" name="DJT" dataDxfId="164"/>
    <tableColumn id="3" xr3:uid="{F65DE7FA-2B53-49AA-90A4-4E6E1DBF6C25}" name="Last Price" dataDxfId="163"/>
    <tableColumn id="4" xr3:uid="{E886F656-CBCF-49C9-80E8-28702B71A431}" name="Entry/Exit" dataDxfId="162"/>
    <tableColumn id="5" xr3:uid="{B1CE62C6-70A9-4B6E-9C1B-04AEED65B533}" name="Daily +/-" dataDxfId="161"/>
    <tableColumn id="6" xr3:uid="{54C02CC0-B657-4074-BAAF-6E7D06BEEEF7}" name="Cum. Total" dataDxfId="160"/>
    <tableColumn id="7" xr3:uid="{6B7E76D3-452E-4F79-B695-E16B72BB578A}" name="Current Account" dataDxfId="159"/>
    <tableColumn id="8" xr3:uid="{A514F068-8CF6-43EB-8AB2-2FE9522F9C63}" name="Margin Payment" dataDxfId="158"/>
    <tableColumn id="9" xr3:uid="{1FF706AC-3BF7-4693-B6DB-65A069259A91}" name="Curr. after Margin Payments" dataDxfId="157"/>
  </tableColumns>
  <tableStyleInfo name="Classiq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945165-B4A3-43D3-9AFC-DF5DBB4131A9}" name="NVDATable131419" displayName="NVDATable131419" ref="H10:P13" totalsRowShown="0" headerRowDxfId="156" dataDxfId="155">
  <tableColumns count="9">
    <tableColumn id="1" xr3:uid="{AC326DF0-256E-4AFC-8A1D-8F652BA38AE3}" name="Date" dataDxfId="154"/>
    <tableColumn id="2" xr3:uid="{70947754-C750-489D-B197-EEA9C7FDDD45}" name="DJT" dataDxfId="153"/>
    <tableColumn id="3" xr3:uid="{39361308-C58B-44F0-BC07-0A6C68E3D563}" name="Last Price" dataDxfId="152"/>
    <tableColumn id="4" xr3:uid="{E36B2688-B9CB-4BB1-A64D-4183129E2412}" name="Entry/Exit" dataDxfId="151"/>
    <tableColumn id="5" xr3:uid="{06C21D32-F076-4177-B4E1-E40208C69B62}" name="Daily +/-" dataDxfId="150"/>
    <tableColumn id="6" xr3:uid="{26AF7E27-295F-4E06-B8C0-C55F08018914}" name="Cum. Total" dataDxfId="149"/>
    <tableColumn id="7" xr3:uid="{5520E78C-DE99-4304-9114-2F93A1CEBB18}" name="Current Account" dataDxfId="148"/>
    <tableColumn id="8" xr3:uid="{B7A69E45-6163-4696-8AEC-5D13A13AABE9}" name="Margin Payment" dataDxfId="147"/>
    <tableColumn id="9" xr3:uid="{CF5806DF-DF5F-402E-9EDC-9BD0837FB003}" name="Curr. after Margin Payments" dataDxfId="146"/>
  </tableColumns>
  <tableStyleInfo name="Classiq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CFB590D-82CD-40EE-B1B6-4EAE77ED21F9}" name="NVDATable13" displayName="NVDATable13" ref="H4:P7" totalsRowShown="0" headerRowDxfId="145" dataDxfId="144">
  <tableColumns count="9">
    <tableColumn id="1" xr3:uid="{C232999F-8388-48BF-88FD-4637A09298CC}" name="Date" dataDxfId="143"/>
    <tableColumn id="2" xr3:uid="{15016647-2973-44C5-BC0E-9DE01AB26FC1}" name="TSLA" dataDxfId="142"/>
    <tableColumn id="3" xr3:uid="{86D0FFD6-5322-42A1-81AF-3AFE068E8C81}" name="Last Price" dataDxfId="141"/>
    <tableColumn id="4" xr3:uid="{97270A02-E4F3-4CE6-94B4-C5D20A0F94BB}" name="Entry/Exit" dataDxfId="140"/>
    <tableColumn id="5" xr3:uid="{C4D1ADBA-BD66-49AF-B029-86476EC3E106}" name="Daily +/-" dataDxfId="139"/>
    <tableColumn id="6" xr3:uid="{96378DDE-EFC1-4434-B5FB-1B576DDCCB75}" name="Cum. Total" dataDxfId="138"/>
    <tableColumn id="7" xr3:uid="{96C65BBA-92C3-40A0-946F-81EC5AFEC366}" name="Current Account" dataDxfId="137"/>
    <tableColumn id="8" xr3:uid="{CC52E116-8BC3-417F-B93F-85B79470E19C}" name="Margin Payment" dataDxfId="136"/>
    <tableColumn id="9" xr3:uid="{C3091B11-B92C-4718-88E9-3E0F97487F56}" name="Curr. after Margin Payments" dataDxfId="135"/>
  </tableColumns>
  <tableStyleInfo name="Classiq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A2BE15-D7E8-4F9F-9FA2-3266D90C2665}" name="NVDATable1314" displayName="NVDATable1314" ref="H10:P13" totalsRowShown="0" headerRowDxfId="134" dataDxfId="133">
  <tableColumns count="9">
    <tableColumn id="1" xr3:uid="{A574673E-B739-44B2-91B4-3A295F333B4D}" name="Date" dataDxfId="132"/>
    <tableColumn id="2" xr3:uid="{46A4D73C-9E2D-4C1C-9926-BCD34696A1D1}" name="TSLA" dataDxfId="131"/>
    <tableColumn id="3" xr3:uid="{8F9AAF0A-1FF4-42EC-BF41-0BAFB1371ACC}" name="Last Price" dataDxfId="130"/>
    <tableColumn id="4" xr3:uid="{65A704A4-7CFB-4C00-B521-6E95C03EF91C}" name="Entry/Exit" dataDxfId="129"/>
    <tableColumn id="5" xr3:uid="{E5827839-9E08-4FDE-81CA-EF39F0F0C2C5}" name="Daily +/-" dataDxfId="128"/>
    <tableColumn id="6" xr3:uid="{49C3CCFD-1788-4A1C-8C33-9C4D05544470}" name="Cum. Total" dataDxfId="127"/>
    <tableColumn id="7" xr3:uid="{BAB1D749-D467-4184-9E38-99E27C217E8F}" name="Current Account" dataDxfId="126"/>
    <tableColumn id="8" xr3:uid="{7E7BD2B1-586D-4603-8491-F8E5938367CF}" name="Margin Payment" dataDxfId="125"/>
    <tableColumn id="9" xr3:uid="{9392CEA6-3702-4112-8AAF-674DFA8E3942}" name="Curr. after Margin Payments" dataDxfId="124"/>
  </tableColumns>
  <tableStyleInfo name="Classiqu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30913-455A-47C6-90E4-34F56259D365}" name="LithiumTable" displayName="LithiumTable" ref="G4:R18" totalsRowShown="0" headerRowDxfId="123" dataDxfId="122">
  <tableColumns count="12">
    <tableColumn id="1" xr3:uid="{D1FEA9EF-D469-4F51-B371-514E052286D6}" name="Date" dataDxfId="121"/>
    <tableColumn id="2" xr3:uid="{149A63E7-E78E-4E90-B382-B40D454546B4}" name="Spot Price" dataDxfId="120"/>
    <tableColumn id="3" xr3:uid="{939021DA-E101-482C-902D-467F49264197}" name="Settle $/KG" dataDxfId="119"/>
    <tableColumn id="4" xr3:uid="{115ABA76-9E56-41B4-A073-5752784DE1C2}" name="Daily +/-" dataDxfId="118">
      <calculatedColumnFormula>I5-I4</calculatedColumnFormula>
    </tableColumn>
    <tableColumn id="5" xr3:uid="{B691F136-76AA-4F54-BA90-DD95DC602DF7}" name="Entry/Exit" dataDxfId="117"/>
    <tableColumn id="6" xr3:uid="{6BA2B290-1571-48B6-AEDF-FE95099EA319}" name="Daily Per KG" dataDxfId="116">
      <calculatedColumnFormula>J5</calculatedColumnFormula>
    </tableColumn>
    <tableColumn id="7" xr3:uid="{07E02B7E-150C-4FA6-98DE-7E47A8E581A7}" name="Daily Total" dataDxfId="115"/>
    <tableColumn id="8" xr3:uid="{B521A23B-6553-467C-BC94-8365268396F6}" name="Cum. Per KG" dataDxfId="114"/>
    <tableColumn id="9" xr3:uid="{01833C5C-6467-4199-A183-FC777657D1C8}" name="Cum. Total" dataDxfId="113"/>
    <tableColumn id="10" xr3:uid="{9512637A-AD78-4E75-99FF-DDACD00DECA9}" name="Current Account" dataDxfId="112"/>
    <tableColumn id="11" xr3:uid="{BF36684C-1777-4C19-BABB-41F1C1486474}" name="Margin Payment" dataDxfId="111"/>
    <tableColumn id="12" xr3:uid="{345EEFB7-9BE0-4954-B784-7D90F86E368A}" name="Curr. after Margin Payments" dataDxfId="110">
      <calculatedColumnFormula>P5+Q5</calculatedColumnFormula>
    </tableColumn>
  </tableColumns>
  <tableStyleInfo name="Classiqu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BAACD6-FA8B-4B42-A833-106359A00D70}" name="CattleTable" displayName="CattleTable" ref="G3:R17" totalsRowShown="0" headerRowDxfId="109" dataDxfId="108">
  <tableColumns count="12">
    <tableColumn id="1" xr3:uid="{92925DCD-9921-4875-97CC-4F484A66CDC3}" name="Date" dataDxfId="107"/>
    <tableColumn id="2" xr3:uid="{91DDE4FF-FDDF-4C2D-A38E-CC0F37D5192A}" name="Spot Price" dataDxfId="106"/>
    <tableColumn id="3" xr3:uid="{D75F0536-6759-4296-B42B-A32C641723E5}" name="Settle $/KG" dataDxfId="105"/>
    <tableColumn id="4" xr3:uid="{4E27E05E-4019-4D48-A8D9-3486F82C59D9}" name="Daily +/-" dataDxfId="104">
      <calculatedColumnFormula>I4-I3</calculatedColumnFormula>
    </tableColumn>
    <tableColumn id="5" xr3:uid="{FB43BAFE-A7E7-4C20-91E9-B087F8B8C383}" name="Entry/Exit" dataDxfId="103"/>
    <tableColumn id="6" xr3:uid="{57CB37CD-0B7A-4DF4-B50F-54CA71A851FA}" name="Daily Per KG" dataDxfId="102">
      <calculatedColumnFormula>J4</calculatedColumnFormula>
    </tableColumn>
    <tableColumn id="7" xr3:uid="{E8BB9698-280C-4886-ACAD-D1BF55D2D078}" name="Daily Total" dataDxfId="101"/>
    <tableColumn id="8" xr3:uid="{1356783D-6EAF-4701-9EDE-CA9ED89819ED}" name="Cum. Per KG" dataDxfId="100"/>
    <tableColumn id="9" xr3:uid="{DDD422F8-9BCD-408D-8A88-0A4A960FBB50}" name="Cum. Total" dataDxfId="99"/>
    <tableColumn id="10" xr3:uid="{4514F264-6BDF-4FA6-BD69-3F2F25860C8C}" name="Current Account" dataDxfId="98"/>
    <tableColumn id="11" xr3:uid="{A2338127-2393-419B-AEB9-B7FC5600D4D4}" name="Margin Payment" dataDxfId="97"/>
    <tableColumn id="12" xr3:uid="{88346F90-99D7-47C1-9427-BF2892F29D97}" name="Curr. after Margin Payments" dataDxfId="96">
      <calculatedColumnFormula>P4+Q4</calculatedColumnFormula>
    </tableColumn>
  </tableColumns>
  <tableStyleInfo name="Classiqu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507A46-D520-4DD3-B9B3-249D034FE708}" name="SoyTable" displayName="SoyTable" ref="G3:R10" totalsRowShown="0" headerRowDxfId="95" dataDxfId="94">
  <tableColumns count="12">
    <tableColumn id="1" xr3:uid="{EB3C5068-93B3-4439-8486-8A526CEBDC31}" name="Date" dataDxfId="93"/>
    <tableColumn id="2" xr3:uid="{E18D4F6D-78BA-4AE2-90C0-F5D1D8CEAF02}" name="Spot Price" dataDxfId="92"/>
    <tableColumn id="3" xr3:uid="{A60C3F13-32BD-4965-B328-F0AA3E8D36C8}" name="Settle $/Bushel" dataDxfId="91"/>
    <tableColumn id="4" xr3:uid="{8B9B34BD-BD9D-47F1-BBEB-E79D580B0E4E}" name="Daily +/-" dataDxfId="90">
      <calculatedColumnFormula>I4-I3</calculatedColumnFormula>
    </tableColumn>
    <tableColumn id="5" xr3:uid="{43640822-9478-4B56-A27C-F240316CF438}" name="Entry/Exit" dataDxfId="89"/>
    <tableColumn id="6" xr3:uid="{B1432EB4-96E1-434F-855B-9A4D2DA3948D}" name="Daily Per Bushel" dataDxfId="88">
      <calculatedColumnFormula>J4</calculatedColumnFormula>
    </tableColumn>
    <tableColumn id="7" xr3:uid="{366AA97C-2110-425B-9DAB-7B6EF8E1AA45}" name="Daily Total" dataDxfId="87"/>
    <tableColumn id="8" xr3:uid="{A0170E8B-321E-4855-9D73-9260537384AD}" name="Cum. Per Bushel" dataDxfId="86">
      <calculatedColumnFormula>I4-$I$5</calculatedColumnFormula>
    </tableColumn>
    <tableColumn id="9" xr3:uid="{43598188-18F5-47FF-9272-6B2BED426BE0}" name="Cum. Total" dataDxfId="85"/>
    <tableColumn id="10" xr3:uid="{0B91AEA5-AC4B-481F-ACC3-683F3BBA5954}" name="Current Account" dataDxfId="84"/>
    <tableColumn id="11" xr3:uid="{BFB3FF18-4946-4DE4-928D-A3EBF3067502}" name="Margin Payment" dataDxfId="83"/>
    <tableColumn id="12" xr3:uid="{50744B88-3B4A-43AA-80D8-B6C80936A00F}" name="Curr. after Margin Payments" dataDxfId="82">
      <calculatedColumnFormula>P4+Q4</calculatedColumnFormula>
    </tableColumn>
  </tableColumns>
  <tableStyleInfo name="Classiqu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D0E847-973E-449F-91ED-EC4BF5AD3751}" name="HoTable" displayName="HoTable" ref="G3:R10" totalsRowShown="0" headerRowDxfId="81" dataDxfId="80">
  <tableColumns count="12">
    <tableColumn id="1" xr3:uid="{A1F2682C-6B9A-43AA-BC21-0330C72AE4D4}" name="Date" dataDxfId="79"/>
    <tableColumn id="2" xr3:uid="{CEE8DBAD-8698-48AA-AE78-348B1927614E}" name="Spot Price" dataDxfId="78"/>
    <tableColumn id="3" xr3:uid="{B24E3EBD-C855-4D47-8155-6A67F049D017}" name="Settle $/Gallon" dataDxfId="77"/>
    <tableColumn id="4" xr3:uid="{1DEACB2E-1A4C-49F2-A5B9-291B6C97F1ED}" name="Daily +/-" dataDxfId="76">
      <calculatedColumnFormula>I3-I4</calculatedColumnFormula>
    </tableColumn>
    <tableColumn id="5" xr3:uid="{12BCF17E-53E3-4508-AC7E-9563F5715886}" name="Entry/Exit" dataDxfId="75"/>
    <tableColumn id="6" xr3:uid="{205E89FF-4E48-4622-9A24-8D2C91CF6891}" name="Daily Per Gallon" dataDxfId="74">
      <calculatedColumnFormula>J4</calculatedColumnFormula>
    </tableColumn>
    <tableColumn id="7" xr3:uid="{40B0E1D0-0018-461D-A803-0FC7A5BC58DC}" name="Daily Total" dataDxfId="73"/>
    <tableColumn id="8" xr3:uid="{F2DDDEA5-C88D-4E31-88EE-F073015BD5CD}" name="Cum. Per Gallon" dataDxfId="72">
      <calculatedColumnFormula>$I$5-I4</calculatedColumnFormula>
    </tableColumn>
    <tableColumn id="9" xr3:uid="{74890935-5877-4A98-AC36-FAC8561B0070}" name="Cum. Total" dataDxfId="71"/>
    <tableColumn id="10" xr3:uid="{332F9597-9D61-4F6C-A868-A275854EC492}" name="Current Account" dataDxfId="70"/>
    <tableColumn id="11" xr3:uid="{BA0DB799-09A2-4B64-AE33-474D587F2286}" name="Margin Payment" dataDxfId="69"/>
    <tableColumn id="12" xr3:uid="{103AC838-C13A-4D15-8E9F-615EE2881585}" name="Curr. after Margin Payments" dataDxfId="68">
      <calculatedColumnFormula>P4+Q4</calculatedColumnFormula>
    </tableColumn>
  </tableColumns>
  <tableStyleInfo name="Classiqu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09D70D-854A-4BAD-8194-12D5E21053A6}" name="BrentTable" displayName="BrentTable" ref="G3:R9" totalsRowShown="0" headerRowDxfId="67" dataDxfId="66">
  <autoFilter ref="G3:R9" xr:uid="{ED930913-455A-47C6-90E4-34F56259D365}"/>
  <tableColumns count="12">
    <tableColumn id="1" xr3:uid="{7653EA6D-D312-4FAB-8F24-F3F02957166F}" name="Date" dataDxfId="65"/>
    <tableColumn id="2" xr3:uid="{F64D4077-7985-4308-BDCD-CCCABEC34E11}" name="Spot Price" dataDxfId="64"/>
    <tableColumn id="3" xr3:uid="{CD2E34C4-4F4D-4384-9FDE-F2862A4B8BC9}" name="Settle $/KG" dataDxfId="63"/>
    <tableColumn id="4" xr3:uid="{0FADBAFC-AD51-49B4-90D5-D68BEC257A5A}" name="Daily +/-" dataDxfId="62">
      <calculatedColumnFormula>I3-BrentTable[[#This Row],[Settle $/KG]]</calculatedColumnFormula>
    </tableColumn>
    <tableColumn id="5" xr3:uid="{06ADA806-6251-4FDC-8C15-76E48296A279}" name="Entry/Exit" dataDxfId="61"/>
    <tableColumn id="6" xr3:uid="{CC557340-2C49-43A5-9A94-3AD6122A816C}" name="Daily Per KG" dataDxfId="60">
      <calculatedColumnFormula>J4</calculatedColumnFormula>
    </tableColumn>
    <tableColumn id="7" xr3:uid="{2FF92C1F-4B9F-4C5A-B418-43ED220EE7B5}" name="Daily Total" dataDxfId="59"/>
    <tableColumn id="8" xr3:uid="{95808E58-B2CE-4257-BCA7-AC8B2998FB1A}" name="Cum. Per Barrel" dataDxfId="58">
      <calculatedColumnFormula>$I$5-I4</calculatedColumnFormula>
    </tableColumn>
    <tableColumn id="9" xr3:uid="{D9E3DCEA-89F1-489A-97BE-1C3D76C85DA5}" name="Cum. Total" dataDxfId="57"/>
    <tableColumn id="10" xr3:uid="{603E2B4C-F0D0-4881-89B3-A9F45260F11B}" name="Current Account" dataDxfId="56"/>
    <tableColumn id="11" xr3:uid="{33259403-CD75-4ED4-9000-95B8A138969A}" name="Margin Payment" dataDxfId="55"/>
    <tableColumn id="12" xr3:uid="{5E002DEA-52C3-4DD1-ACB6-BCA81B15E61E}" name="Curr. after Margin Payments" dataDxfId="54">
      <calculatedColumnFormula>P4+Q4</calculatedColumnFormula>
    </tableColumn>
  </tableColumns>
  <tableStyleInfo name="Classiqu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49F639-AFA9-458F-ACC8-249595226CEC}" name="GoldTable" displayName="GoldTable" ref="G3:R8" totalsRowShown="0" headerRowDxfId="53">
  <tableColumns count="12">
    <tableColumn id="1" xr3:uid="{E38172B4-56D3-46EE-BAD4-20F34862B154}" name="Date" dataDxfId="52"/>
    <tableColumn id="2" xr3:uid="{12DC58B4-183B-43DE-BC5A-8073EC3A79E0}" name="Spot Price" dataDxfId="51"/>
    <tableColumn id="3" xr3:uid="{FA28876C-A8C2-42F9-91C6-AE7E60821AA3}" name="Settle $/KG"/>
    <tableColumn id="4" xr3:uid="{FE1E18B2-ECF4-4949-8306-E413EB80C95A}" name="Daily +/-" dataDxfId="50">
      <calculatedColumnFormula>I4-I3</calculatedColumnFormula>
    </tableColumn>
    <tableColumn id="5" xr3:uid="{C84BC9D2-29B0-4EFE-A9EE-28B023B71C35}" name="Entry/Exit"/>
    <tableColumn id="6" xr3:uid="{2E9B78A0-0B18-4740-A369-871474A173DA}" name="Daily Per KG" dataDxfId="49">
      <calculatedColumnFormula>J4</calculatedColumnFormula>
    </tableColumn>
    <tableColumn id="7" xr3:uid="{52CEDBA0-7506-4FAD-A06F-A20B82AE176F}" name="Daily Total" dataDxfId="48"/>
    <tableColumn id="8" xr3:uid="{E3C42400-F646-41BD-AA85-AC1F696873D6}" name="Cum. Per KG"/>
    <tableColumn id="9" xr3:uid="{063E3249-CFE4-4F13-BBCA-F6949F8F5265}" name="Cum. Total" dataDxfId="47"/>
    <tableColumn id="10" xr3:uid="{069FD731-A716-4F39-9865-DC384AACE12C}" name="Current Account" dataDxfId="46"/>
    <tableColumn id="11" xr3:uid="{A804C17D-99E3-46B5-919E-8D1C0A141100}" name="Margin Payment" dataDxfId="45"/>
    <tableColumn id="12" xr3:uid="{1C121E5B-1907-4172-AA17-EC09929C22E2}" name="Curr. after Margin Payments" dataDxfId="44">
      <calculatedColumnFormula>P4+Q4</calculatedColumnFormula>
    </tableColumn>
  </tableColumns>
  <tableStyleInfo name="Classiqu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B6F764-30C0-47F9-B20B-319F5B111A68}" name="NVDATable" displayName="NVDATable" ref="G3:O8" totalsRowShown="0" headerRowDxfId="43" dataDxfId="42">
  <tableColumns count="9">
    <tableColumn id="1" xr3:uid="{8BCD49A1-08CE-46F2-ACF7-3222D8F5B85E}" name="Date" dataDxfId="41"/>
    <tableColumn id="2" xr3:uid="{C01F7C0F-DD26-42D2-BB05-E912CBEE58CD}" name="NVDA Stock" dataDxfId="40"/>
    <tableColumn id="3" xr3:uid="{B32D3973-BCD9-4A20-87F4-E373F446C73A}" name="Last Price" dataDxfId="39"/>
    <tableColumn id="4" xr3:uid="{03A3E8A2-7FF2-4ED7-B1A5-C66F694BA4BB}" name="Entry/Exit" dataDxfId="38">
      <calculatedColumnFormula>I4-I3</calculatedColumnFormula>
    </tableColumn>
    <tableColumn id="5" xr3:uid="{58819CB5-220F-42BE-8ABA-88E3E3068397}" name="Daily +/-" dataDxfId="37">
      <calculatedColumnFormula>NVDATable[[#This Row],[Last Price]]-I3</calculatedColumnFormula>
    </tableColumn>
    <tableColumn id="6" xr3:uid="{37AAC2F9-DFCB-4EA9-94C6-57ABBB89F9A6}" name="Cum. Total" dataDxfId="36">
      <calculatedColumnFormula>(NVDATable[[#This Row],[Last Price]]-$I$5)*$D$12*$D$6</calculatedColumnFormula>
    </tableColumn>
    <tableColumn id="7" xr3:uid="{9FB5A4B0-8712-4A0B-B7EF-FC9628EC67D3}" name="Current Account" dataDxfId="35">
      <calculatedColumnFormula>O3+NVDATable[[#This Row],[Cum. Total]]-L3</calculatedColumnFormula>
    </tableColumn>
    <tableColumn id="8" xr3:uid="{9BA0B9A3-603A-46CF-B80F-B0F42BAF8AD6}" name="Margin Payment" dataDxfId="34">
      <calculatedColumnFormula>NVDATable[[#This Row],[Last Price]]*D5*D11</calculatedColumnFormula>
    </tableColumn>
    <tableColumn id="9" xr3:uid="{8975290A-6B6D-4439-86E4-2EAB3154B8BC}" name="Curr. after Margin Payments" dataDxfId="33">
      <calculatedColumnFormula>NVDATable[[#This Row],[Margin Payment]]+NVDATable[[#This Row],[Current Account]]</calculatedColumnFormula>
    </tableColumn>
  </tableColumns>
  <tableStyleInfo name="Classiqu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DCE327-A72B-45F7-BCF3-84575D03494B}" name="TltTable" displayName="TltTable" ref="G3:O6" totalsRowShown="0" headerRowDxfId="32" dataDxfId="31">
  <tableColumns count="9">
    <tableColumn id="1" xr3:uid="{2436AD3E-E1D4-4AC9-AB63-22C7CA725AE1}" name="Date" dataDxfId="30"/>
    <tableColumn id="2" xr3:uid="{AE025960-1C87-4238-BAA3-63BB9D28409B}" name="TLT ETF" dataDxfId="29"/>
    <tableColumn id="3" xr3:uid="{6077E879-B684-4697-9AED-FF6061C70C39}" name="Last Price" dataDxfId="28"/>
    <tableColumn id="4" xr3:uid="{14658131-0815-4AE3-B477-0E407E847DA9}" name="Entry/Exit" dataDxfId="27">
      <calculatedColumnFormula>I4-I3</calculatedColumnFormula>
    </tableColumn>
    <tableColumn id="5" xr3:uid="{15C5A5FE-9412-4973-89B0-C94A4DDC5748}" name="Daily +/-" dataDxfId="26">
      <calculatedColumnFormula>TltTable[[#This Row],[Last Price]]-I3</calculatedColumnFormula>
    </tableColumn>
    <tableColumn id="6" xr3:uid="{46E686DA-6D60-42F5-A763-428CCC429EFF}" name="Cum. Total" dataDxfId="25">
      <calculatedColumnFormula>(TltTable[[#This Row],[Last Price]]-$I$5)*$D$12*$D$6</calculatedColumnFormula>
    </tableColumn>
    <tableColumn id="7" xr3:uid="{EF29BDDD-5B2E-4D97-9655-5658B0315465}" name="Current Account" dataDxfId="24">
      <calculatedColumnFormula>O3+TltTable[[#This Row],[Cum. Total]]-L3</calculatedColumnFormula>
    </tableColumn>
    <tableColumn id="8" xr3:uid="{64D66AEA-79A5-466C-A0C4-C9E146E8E97A}" name="Margin Payment" dataDxfId="23">
      <calculatedColumnFormula>D18</calculatedColumnFormula>
    </tableColumn>
    <tableColumn id="9" xr3:uid="{9AB93C81-07D8-41E9-8944-AAF074E9B222}" name="Curr. after Margin Payments" dataDxfId="22">
      <calculatedColumnFormula>TltTable[[#This Row],[Margin Payment]]+TltTable[[#This Row],[Current Account]]</calculatedColumnFormula>
    </tableColumn>
  </tableColumns>
  <tableStyleInfo name="Classiqu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428A66-A91E-4D9E-9227-6A1D4617B7B8}" name="HOODTable" displayName="HOODTable" ref="G3:O8" totalsRowShown="0" headerRowDxfId="21" dataDxfId="20">
  <tableColumns count="9">
    <tableColumn id="1" xr3:uid="{88104E66-E5EC-40FB-B1F9-80D486EC95BA}" name="Date" dataDxfId="19"/>
    <tableColumn id="2" xr3:uid="{BC26AC21-D283-45D0-B5E8-D99E9A25082C}" name="HOOD Stock" dataDxfId="18"/>
    <tableColumn id="3" xr3:uid="{8A7930C0-AAC7-416C-95AD-C1100C0B53B2}" name="Last Price" dataDxfId="17"/>
    <tableColumn id="4" xr3:uid="{62F1CB19-EA6C-4678-A5E7-90DCEDBFAAE8}" name="Entry/Exit" dataDxfId="16">
      <calculatedColumnFormula>I4-I3</calculatedColumnFormula>
    </tableColumn>
    <tableColumn id="5" xr3:uid="{CEF32191-50CA-43C4-9A9A-B598980E4D1D}" name="Daily +/-" dataDxfId="15">
      <calculatedColumnFormula>HOODTable[[#This Row],[Last Price]]-I3</calculatedColumnFormula>
    </tableColumn>
    <tableColumn id="6" xr3:uid="{C1CE4044-7440-4874-927F-68C04F806FD9}" name="Cum. Total" dataDxfId="14">
      <calculatedColumnFormula>(HOODTable[[#This Row],[Last Price]]-$I$5)*$D$12*$D$6</calculatedColumnFormula>
    </tableColumn>
    <tableColumn id="7" xr3:uid="{F4AE9C73-14F9-4B02-B87C-5B86E4C4701E}" name="Current Account" dataDxfId="13">
      <calculatedColumnFormula>O3+HOODTable[[#This Row],[Cum. Total]]-L3</calculatedColumnFormula>
    </tableColumn>
    <tableColumn id="8" xr3:uid="{EC5CA96E-FCB7-40C1-86B3-723896B8943D}" name="Margin Payment" dataDxfId="12">
      <calculatedColumnFormula>HOODTable[[#This Row],[Last Price]]*D5*D11</calculatedColumnFormula>
    </tableColumn>
    <tableColumn id="9" xr3:uid="{D4A63ABE-3188-487E-BF2B-37A44C7AF857}" name="Curr. after Margin Payments" dataDxfId="11">
      <calculatedColumnFormula>HOODTable[[#This Row],[Margin Payment]]+HOODTable[[#This Row],[Current Account]]</calculatedColumnFormula>
    </tableColumn>
  </tableColumns>
  <tableStyleInfo name="Classiqu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951E63-2C78-423C-8795-3E9533EC8137}" name="INTCTable" displayName="INTCTable" ref="G3:O6" totalsRowShown="0" headerRowDxfId="10" dataDxfId="9">
  <tableColumns count="9">
    <tableColumn id="1" xr3:uid="{465E2AE8-F0A0-43CA-8C88-73670254A51D}" name="Date" dataDxfId="8"/>
    <tableColumn id="2" xr3:uid="{E9A4393F-688A-4EE4-9040-C28F2FF77AFA}" name="INTC Stock" dataDxfId="7"/>
    <tableColumn id="3" xr3:uid="{D15CCE0D-5EDE-4956-B04A-23B0647F9FF9}" name="Last Price" dataDxfId="6"/>
    <tableColumn id="4" xr3:uid="{ADAB9361-A65D-4899-8343-16D533A33F77}" name="Entry/Exit" dataDxfId="5">
      <calculatedColumnFormula>I4-I3</calculatedColumnFormula>
    </tableColumn>
    <tableColumn id="5" xr3:uid="{DCAAE38B-2523-40AD-B324-3CBC57CE5EDF}" name="Daily +/-" dataDxfId="4">
      <calculatedColumnFormula>INTCTable[[#This Row],[Last Price]]-I3</calculatedColumnFormula>
    </tableColumn>
    <tableColumn id="6" xr3:uid="{4B265E0D-D900-4E2F-9792-1835EF411BC7}" name="Cum. Total" dataDxfId="3">
      <calculatedColumnFormula>(INTCTable[[#This Row],[Last Price]]-$I$5)*$D$12*$D$6</calculatedColumnFormula>
    </tableColumn>
    <tableColumn id="7" xr3:uid="{8B1439C8-6C92-4737-8C15-5957036BCE4E}" name="Current Account" dataDxfId="2">
      <calculatedColumnFormula>O3+INTCTable[[#This Row],[Cum. Total]]-L3</calculatedColumnFormula>
    </tableColumn>
    <tableColumn id="8" xr3:uid="{40514F10-3841-4636-9F97-B839DD58FD14}" name="Margin Payment" dataDxfId="1">
      <calculatedColumnFormula>D18</calculatedColumnFormula>
    </tableColumn>
    <tableColumn id="9" xr3:uid="{9839594C-EA93-44A5-8B2E-F4E5DEBB9BDC}" name="Curr. after Margin Payments" dataDxfId="0">
      <calculatedColumnFormula>INTCTable[[#This Row],[Margin Payment]]+INTCTable[[#This Row],[Current Account]]</calculatedColumnFormula>
    </tableColumn>
  </tableColumns>
  <tableStyleInfo name="Classiqu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finance.yahoo.com/quote/BAC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hyperlink" Target="https://finance.yahoo.com/quote/WFC" TargetMode="Externa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hyperlink" Target="https://finance.yahoo.com/quote/JPM" TargetMode="Externa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hyperlink" Target="https://finance.yahoo.com/quote/OXY" TargetMode="Externa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hyperlink" Target="https://finance.yahoo.com/quote/CVX" TargetMode="Externa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hyperlink" Target="https://finance.yahoo.com/quote/XOM/" TargetMode="Externa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hyperlink" Target="https://finance.yahoo.com/quote/YUM/" TargetMode="External"/><Relationship Id="rId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hyperlink" Target="https://finance.yahoo.com/quote/DJT/" TargetMode="External"/><Relationship Id="rId4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hyperlink" Target="https://finance.yahoo.com/quote/TSLA/" TargetMode="External"/><Relationship Id="rId4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1.xml"/><Relationship Id="rId1" Type="http://schemas.openxmlformats.org/officeDocument/2006/relationships/hyperlink" Target="https://www.cmegroup.com/markets/agriculture/livestock/live-cattle.quotes.htm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showGridLines="0" tabSelected="1" zoomScale="93" zoomScaleNormal="90" workbookViewId="0">
      <selection activeCell="D7" sqref="D7"/>
    </sheetView>
  </sheetViews>
  <sheetFormatPr defaultRowHeight="15" x14ac:dyDescent="0.25"/>
  <cols>
    <col min="1" max="1" width="2.5703125" customWidth="1"/>
    <col min="2" max="2" width="22.5703125" bestFit="1" customWidth="1"/>
    <col min="3" max="3" width="3.5703125" customWidth="1"/>
    <col min="4" max="4" width="14.42578125" bestFit="1" customWidth="1"/>
    <col min="5" max="5" width="16" bestFit="1" customWidth="1"/>
    <col min="6" max="6" width="10.5703125" customWidth="1"/>
    <col min="7" max="7" width="13.42578125" bestFit="1" customWidth="1"/>
    <col min="8" max="8" width="14.7109375" bestFit="1" customWidth="1"/>
    <col min="9" max="9" width="11.5703125" bestFit="1" customWidth="1"/>
    <col min="10" max="10" width="14.7109375" bestFit="1" customWidth="1"/>
    <col min="11" max="11" width="12.85546875" bestFit="1" customWidth="1"/>
    <col min="12" max="12" width="12.7109375" bestFit="1" customWidth="1"/>
  </cols>
  <sheetData>
    <row r="1" spans="1:13" ht="26.25" x14ac:dyDescent="0.4">
      <c r="B1" s="1" t="s">
        <v>0</v>
      </c>
      <c r="C1" s="1"/>
    </row>
    <row r="3" spans="1:13" x14ac:dyDescent="0.25">
      <c r="A3" s="7" t="s">
        <v>11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B5" s="3" t="s">
        <v>3</v>
      </c>
      <c r="C5" s="3"/>
      <c r="D5" s="3"/>
      <c r="F5" s="3" t="s">
        <v>10</v>
      </c>
      <c r="G5" s="3"/>
      <c r="H5" s="3"/>
      <c r="J5" s="3" t="s">
        <v>14</v>
      </c>
      <c r="K5" s="3"/>
      <c r="L5" s="3"/>
    </row>
    <row r="6" spans="1:13" x14ac:dyDescent="0.25">
      <c r="B6" s="6" t="s">
        <v>8</v>
      </c>
      <c r="F6" s="6" t="s">
        <v>150</v>
      </c>
      <c r="J6" s="6" t="s">
        <v>150</v>
      </c>
    </row>
    <row r="7" spans="1:13" x14ac:dyDescent="0.25">
      <c r="B7" t="s">
        <v>2</v>
      </c>
      <c r="D7" s="4">
        <v>200000000</v>
      </c>
      <c r="F7" s="47" t="s">
        <v>102</v>
      </c>
      <c r="J7" t="s">
        <v>15</v>
      </c>
      <c r="L7" s="5">
        <f>SUM(J34:J45)</f>
        <v>21855037.573672526</v>
      </c>
    </row>
    <row r="8" spans="1:13" x14ac:dyDescent="0.25">
      <c r="B8" t="s">
        <v>4</v>
      </c>
      <c r="D8" s="4">
        <f>D7/2</f>
        <v>100000000</v>
      </c>
      <c r="F8" t="s">
        <v>12</v>
      </c>
      <c r="H8" s="5">
        <f>SUM(H34:H45)</f>
        <v>82891470</v>
      </c>
    </row>
    <row r="9" spans="1:13" x14ac:dyDescent="0.25">
      <c r="B9" t="s">
        <v>5</v>
      </c>
      <c r="D9" s="4">
        <f>D8</f>
        <v>100000000</v>
      </c>
      <c r="F9" t="s">
        <v>13</v>
      </c>
      <c r="H9" s="5">
        <f>SUM(I34:I45)</f>
        <v>70330176</v>
      </c>
    </row>
    <row r="11" spans="1:13" x14ac:dyDescent="0.25">
      <c r="B11" s="6" t="s">
        <v>9</v>
      </c>
      <c r="F11" s="6" t="s">
        <v>179</v>
      </c>
      <c r="J11" s="6" t="s">
        <v>150</v>
      </c>
    </row>
    <row r="12" spans="1:13" x14ac:dyDescent="0.25">
      <c r="B12" t="s">
        <v>6</v>
      </c>
      <c r="D12" s="5">
        <f>SUMIF(K34:K45,"Opened*",G34:G45)+SUMIF(K34:K45, "Closed*", F34:F45)</f>
        <v>131533082.21894923</v>
      </c>
      <c r="F12" s="47" t="s">
        <v>102</v>
      </c>
      <c r="J12" t="s">
        <v>15</v>
      </c>
      <c r="L12" s="5">
        <f>SUM(J20:J30)</f>
        <v>3608491.0000000005</v>
      </c>
    </row>
    <row r="13" spans="1:13" x14ac:dyDescent="0.25">
      <c r="B13" t="s">
        <v>7</v>
      </c>
      <c r="D13" s="5">
        <f>D9+SUM(J20:J30)</f>
        <v>103608491</v>
      </c>
      <c r="F13" t="s">
        <v>242</v>
      </c>
      <c r="H13" s="5">
        <f>SUM(H20:H30)</f>
        <v>50092180</v>
      </c>
    </row>
    <row r="14" spans="1:13" x14ac:dyDescent="0.25">
      <c r="B14" t="s">
        <v>101</v>
      </c>
      <c r="D14" s="5">
        <f>SUMIF(K34:K45,"Opened*", G34:G45)</f>
        <v>0</v>
      </c>
    </row>
    <row r="15" spans="1:13" x14ac:dyDescent="0.25">
      <c r="B15" t="s">
        <v>149</v>
      </c>
      <c r="D15" s="5">
        <v>0</v>
      </c>
    </row>
    <row r="16" spans="1:13" x14ac:dyDescent="0.25">
      <c r="D16" s="62"/>
    </row>
    <row r="17" spans="1:11" ht="15.75" x14ac:dyDescent="0.25">
      <c r="B17" s="63" t="s">
        <v>173</v>
      </c>
      <c r="C17" s="2"/>
      <c r="D17" s="2"/>
      <c r="E17" s="2"/>
      <c r="F17" s="2"/>
      <c r="G17" s="2" t="s">
        <v>174</v>
      </c>
      <c r="H17" s="2"/>
      <c r="I17" s="2"/>
      <c r="J17" s="2"/>
      <c r="K17" s="2"/>
    </row>
    <row r="18" spans="1:11" x14ac:dyDescent="0.25">
      <c r="B18" s="2" t="s">
        <v>16</v>
      </c>
      <c r="C18" s="2"/>
      <c r="D18" s="2" t="s">
        <v>18</v>
      </c>
      <c r="E18" s="8" t="s">
        <v>175</v>
      </c>
      <c r="F18" s="2"/>
      <c r="G18" s="2" t="s">
        <v>177</v>
      </c>
      <c r="H18" s="8" t="s">
        <v>10</v>
      </c>
      <c r="I18" s="2"/>
      <c r="J18" s="8" t="s">
        <v>176</v>
      </c>
      <c r="K18" s="8" t="s">
        <v>74</v>
      </c>
    </row>
    <row r="19" spans="1:11" x14ac:dyDescent="0.25">
      <c r="B19" s="54" t="s">
        <v>185</v>
      </c>
      <c r="D19" s="29"/>
      <c r="E19" s="30"/>
      <c r="F19" s="30"/>
      <c r="G19" s="45"/>
      <c r="H19" s="30"/>
      <c r="I19" s="30"/>
      <c r="J19" s="42"/>
      <c r="K19" s="34"/>
    </row>
    <row r="20" spans="1:11" x14ac:dyDescent="0.25">
      <c r="B20" s="9" t="s">
        <v>152</v>
      </c>
      <c r="D20" s="29" t="s">
        <v>169</v>
      </c>
      <c r="E20" s="30" t="s">
        <v>170</v>
      </c>
      <c r="F20" s="30"/>
      <c r="G20" s="64">
        <f>STRAT1_TSLA!D23+STRAT1_TSLA!E23</f>
        <v>138400</v>
      </c>
      <c r="H20" s="30">
        <f>STRAT1_TSLA!E25</f>
        <v>12511840</v>
      </c>
      <c r="I20" s="30"/>
      <c r="J20" s="42">
        <f>STRAT1_TSLA!F20</f>
        <v>765600.00000000023</v>
      </c>
      <c r="K20" s="34" t="s">
        <v>215</v>
      </c>
    </row>
    <row r="21" spans="1:11" x14ac:dyDescent="0.25">
      <c r="B21" s="9" t="s">
        <v>153</v>
      </c>
      <c r="D21" s="29" t="s">
        <v>182</v>
      </c>
      <c r="E21" s="30" t="s">
        <v>170</v>
      </c>
      <c r="F21" s="30"/>
      <c r="G21" s="64">
        <f>STRAT1_DJT!D23+STRAT1_DJT!E23</f>
        <v>1864000</v>
      </c>
      <c r="H21" s="30">
        <f>STRAT1_DJT!E25</f>
        <v>11438399.999999998</v>
      </c>
      <c r="I21" s="30"/>
      <c r="J21" s="42">
        <f>STRAT1_DJT!F20</f>
        <v>1176000</v>
      </c>
      <c r="K21" s="34" t="s">
        <v>215</v>
      </c>
    </row>
    <row r="22" spans="1:11" x14ac:dyDescent="0.25">
      <c r="B22" s="9" t="s">
        <v>154</v>
      </c>
      <c r="D22" s="29" t="str">
        <f>STRAT1_YUM!D13&amp;" &amp; "&amp;STRAT1_YUM!E13</f>
        <v>CVW &amp; CLCC</v>
      </c>
      <c r="E22" s="30" t="s">
        <v>170</v>
      </c>
      <c r="F22" s="30"/>
      <c r="G22" s="64">
        <f>STRAT1_YUM!D23+STRAT1_YUM!E23</f>
        <v>144799.99999999994</v>
      </c>
      <c r="H22" s="30">
        <f>STRAT1_YUM!E25</f>
        <v>8785440</v>
      </c>
      <c r="I22" s="30"/>
      <c r="J22" s="42">
        <f>STRAT1_YUM!F20</f>
        <v>123200.00000000003</v>
      </c>
      <c r="K22" s="34" t="s">
        <v>216</v>
      </c>
    </row>
    <row r="23" spans="1:11" x14ac:dyDescent="0.25">
      <c r="B23" s="54" t="s">
        <v>186</v>
      </c>
      <c r="D23" s="29"/>
      <c r="E23" s="30"/>
      <c r="F23" s="30"/>
      <c r="G23" s="45"/>
      <c r="H23" s="30"/>
      <c r="I23" s="30"/>
      <c r="J23" s="42"/>
      <c r="K23" s="34"/>
    </row>
    <row r="24" spans="1:11" x14ac:dyDescent="0.25">
      <c r="B24" s="9" t="s">
        <v>190</v>
      </c>
      <c r="D24" s="29" t="str">
        <f>STRAT2_XOM!D13&amp;" &amp; "&amp;STRAT2_XOM!E13</f>
        <v>PP3Q &amp; P29F</v>
      </c>
      <c r="E24" s="30" t="s">
        <v>189</v>
      </c>
      <c r="F24" s="30"/>
      <c r="G24" s="64">
        <f>STRAT2_XOM!D23+STRAT2_XOM!E23</f>
        <v>506000</v>
      </c>
      <c r="H24" s="30">
        <f>STRAT2_XOM!E25</f>
        <v>4364000.0000000009</v>
      </c>
      <c r="I24" s="30"/>
      <c r="J24" s="42">
        <f>STRAT2_XOM!F20</f>
        <v>-106000.00000000004</v>
      </c>
      <c r="K24" s="34" t="s">
        <v>217</v>
      </c>
    </row>
    <row r="25" spans="1:11" x14ac:dyDescent="0.25">
      <c r="B25" s="9" t="s">
        <v>200</v>
      </c>
      <c r="D25" s="29" t="str">
        <f>STRAT2_CVX!D13&amp;" &amp; "&amp;STRAT2_CVX!E13</f>
        <v>P9Q &amp; PW1</v>
      </c>
      <c r="E25" s="30" t="s">
        <v>189</v>
      </c>
      <c r="F25" s="30"/>
      <c r="G25" s="64">
        <f>STRAT2_CVX!D23+STRAT2_CVX!E23</f>
        <v>655000</v>
      </c>
      <c r="H25" s="30">
        <f>STRAT2_CVX!E25</f>
        <v>8013500.0000000009</v>
      </c>
      <c r="I25" s="30"/>
      <c r="J25" s="42">
        <f>STRAT2_CVX!F20</f>
        <v>185000.00000000009</v>
      </c>
      <c r="K25" s="34" t="s">
        <v>216</v>
      </c>
    </row>
    <row r="26" spans="1:11" x14ac:dyDescent="0.25">
      <c r="B26" s="9" t="s">
        <v>244</v>
      </c>
      <c r="D26" s="29" t="str">
        <f>STRAT2_OXY!D13&amp;" &amp; "&amp;STRAT2_OXY!E13</f>
        <v>PTV9 &amp; PW8</v>
      </c>
      <c r="E26" s="30" t="s">
        <v>189</v>
      </c>
      <c r="F26" s="30"/>
      <c r="G26" s="64">
        <f>STRAT2_OXY!D23+STRAT2_OXY!E23</f>
        <v>455000</v>
      </c>
      <c r="H26" s="30">
        <f>STRAT2_OXY!E25</f>
        <v>4979000</v>
      </c>
      <c r="I26" s="30"/>
      <c r="J26" s="42">
        <f>STRAT2_OXY!F20</f>
        <v>170000.00000000009</v>
      </c>
      <c r="K26" s="34" t="s">
        <v>217</v>
      </c>
    </row>
    <row r="27" spans="1:11" x14ac:dyDescent="0.25">
      <c r="B27" s="54" t="s">
        <v>187</v>
      </c>
      <c r="D27" s="29"/>
      <c r="E27" s="30"/>
      <c r="F27" s="30"/>
      <c r="G27" s="45"/>
      <c r="H27" s="30"/>
      <c r="I27" s="30"/>
      <c r="J27" s="42"/>
      <c r="K27" s="34"/>
    </row>
    <row r="28" spans="1:11" x14ac:dyDescent="0.25">
      <c r="B28" s="9" t="s">
        <v>227</v>
      </c>
      <c r="D28" s="29" t="str">
        <f>STRAT3_JPM!D13&amp;" &amp; "&amp;STRAT3_JPM!E13</f>
        <v>JPM &amp; P0RG</v>
      </c>
      <c r="E28" s="30" t="s">
        <v>228</v>
      </c>
      <c r="F28" s="30"/>
      <c r="G28" s="64">
        <f>STRAT3_JPM!D23+STRAT3_JPM!E23</f>
        <v>12095090</v>
      </c>
      <c r="H28" s="30">
        <v>0</v>
      </c>
      <c r="I28" s="30"/>
      <c r="J28" s="42">
        <f>STRAT3_JPM!F20</f>
        <v>394554.99999999936</v>
      </c>
      <c r="K28" s="34" t="s">
        <v>217</v>
      </c>
    </row>
    <row r="29" spans="1:11" x14ac:dyDescent="0.25">
      <c r="B29" s="9" t="s">
        <v>235</v>
      </c>
      <c r="D29" s="29" t="str">
        <f>STRAT3_WFC!D13&amp;" &amp; "&amp;STRAT3_WFC!E13</f>
        <v>WFC &amp; P6X4</v>
      </c>
      <c r="E29" s="30" t="s">
        <v>228</v>
      </c>
      <c r="F29" s="30"/>
      <c r="G29" s="64">
        <f>STRAT3_WFC!D23+STRAT3_WFC!E23</f>
        <v>8738328</v>
      </c>
      <c r="H29" s="30">
        <v>0</v>
      </c>
      <c r="I29" s="30"/>
      <c r="J29" s="42">
        <f>STRAT3_WFC!F20</f>
        <v>527495.99999999965</v>
      </c>
      <c r="K29" s="34" t="s">
        <v>217</v>
      </c>
    </row>
    <row r="30" spans="1:11" x14ac:dyDescent="0.25">
      <c r="B30" s="9" t="s">
        <v>236</v>
      </c>
      <c r="D30" s="29" t="str">
        <f>STRAT3_BAC!D13&amp;" &amp; "&amp;STRAT3_BAC!E13</f>
        <v>BAC &amp; P3Q1</v>
      </c>
      <c r="E30" s="30" t="s">
        <v>228</v>
      </c>
      <c r="F30" s="30"/>
      <c r="G30" s="64">
        <f>STRAT3_BAC!D23+STRAT3_BAC!E23</f>
        <v>9182680</v>
      </c>
      <c r="H30" s="30">
        <v>0</v>
      </c>
      <c r="I30" s="30"/>
      <c r="J30" s="42">
        <f>STRAT3_BAC!F20</f>
        <v>372640.00000000093</v>
      </c>
      <c r="K30" s="34" t="s">
        <v>217</v>
      </c>
    </row>
    <row r="32" spans="1:11" ht="45" x14ac:dyDescent="0.25">
      <c r="A32" s="7" t="s">
        <v>11</v>
      </c>
      <c r="B32" s="2" t="s">
        <v>16</v>
      </c>
      <c r="C32" s="2"/>
      <c r="D32" s="8" t="s">
        <v>18</v>
      </c>
      <c r="E32" s="8" t="s">
        <v>19</v>
      </c>
      <c r="F32" s="44" t="s">
        <v>60</v>
      </c>
      <c r="G32" s="44" t="s">
        <v>98</v>
      </c>
      <c r="H32" s="8" t="s">
        <v>58</v>
      </c>
      <c r="I32" s="44" t="s">
        <v>99</v>
      </c>
      <c r="J32" s="44" t="s">
        <v>100</v>
      </c>
      <c r="K32" s="8" t="s">
        <v>74</v>
      </c>
    </row>
    <row r="33" spans="2:11" x14ac:dyDescent="0.25">
      <c r="B33" s="6" t="s">
        <v>17</v>
      </c>
    </row>
    <row r="34" spans="2:11" x14ac:dyDescent="0.25">
      <c r="B34" s="9" t="s">
        <v>59</v>
      </c>
      <c r="D34" s="29" t="str">
        <f>H1_Lithium!D10</f>
        <v>LTHG2025</v>
      </c>
      <c r="E34" s="29" t="str">
        <f>H1_Lithium!D11</f>
        <v>LONG</v>
      </c>
      <c r="F34" s="30" cm="1">
        <f t="array" ref="F34">INDEX(LithiumTable[Curr. after Margin Payments],COUNT(ROW(LithiumTable[])))</f>
        <v>4970122.4489795882</v>
      </c>
      <c r="G34" s="46">
        <f>SUM(LithiumTable[Margin Payment])</f>
        <v>7279510.2040816303</v>
      </c>
      <c r="H34" s="30">
        <f>H1_Lithium!D18</f>
        <v>5984000</v>
      </c>
      <c r="I34" s="30">
        <f>H1_Lithium!D21</f>
        <v>4787200</v>
      </c>
      <c r="J34" s="42">
        <f t="array" ref="J34">INDEX(LithiumTable[Cum. Total],COUNT(ROW(LithiumTable[])))</f>
        <v>-2309387.7551020416</v>
      </c>
      <c r="K34" s="34" t="str">
        <f t="array" ref="K34">IF(IFERROR(VLOOKUP("Exit",LithiumTable[Entry/Exit],1),VLOOKUP("Entry",LithiumTable[Entry/Exit],1))="Entry","Opened "&amp;TEXT(INDEX(LithiumTable[Date],MATCH("Entry",LithiumTable[Entry/Exit])),"dd-mmm"),"Closed "&amp;TEXT(INDEX(LithiumTable[Date],MATCH("Exit",LithiumTable[Entry/Exit])),"dd-mmm"))</f>
        <v>Closed 26-Nov</v>
      </c>
    </row>
    <row r="35" spans="2:11" x14ac:dyDescent="0.25">
      <c r="B35" s="9" t="s">
        <v>71</v>
      </c>
      <c r="D35" s="29" t="str">
        <f>H2_Cattle!D9</f>
        <v>LEZ2024</v>
      </c>
      <c r="E35" s="29" t="str">
        <f>H2_Cattle!D10</f>
        <v>LONG</v>
      </c>
      <c r="F35" s="30" cm="1">
        <f t="array" ref="F35">INDEX(CattleTable[Curr. after Margin Payments],COUNT(ROW(CattleTable[])))</f>
        <v>11031249.999999994</v>
      </c>
      <c r="G35" s="45">
        <f>SUM(CattleTable[Margin Payment])</f>
        <v>9281250.0000000112</v>
      </c>
      <c r="H35" s="30">
        <f>H2_Cattle!D17</f>
        <v>7656250</v>
      </c>
      <c r="I35" s="30">
        <f>H2_Cattle!D20</f>
        <v>6125000</v>
      </c>
      <c r="J35" s="42" cm="1">
        <f t="array" ref="J35">INDEX(CattleTable[Cum. Total],COUNT(ROW(CattleTable[])))</f>
        <v>1749999.9999999849</v>
      </c>
      <c r="K35" s="34" t="str">
        <f>IF(IFERROR(VLOOKUP("Exit",CattleTable[Entry/Exit],1),VLOOKUP("Entry",CattleTable[Entry/Exit],1))="Entry","Opened "&amp;TEXT(INDEX(CattleTable[Date],MATCH("Entry",CattleTable[Entry/Exit])),"dd-mmm"),"Closed "&amp;TEXT(INDEX(CattleTable[Date],MATCH("Exit",CattleTable[Entry/Exit])),"dd-mmm"))</f>
        <v>Closed 29-Oct</v>
      </c>
    </row>
    <row r="36" spans="2:11" x14ac:dyDescent="0.25">
      <c r="B36" s="9" t="s">
        <v>96</v>
      </c>
      <c r="D36" s="29" t="str">
        <f>H3_Soy!D9</f>
        <v>ZSF5</v>
      </c>
      <c r="E36" s="29" t="str">
        <f>H3_Soy!D10</f>
        <v>LONG</v>
      </c>
      <c r="F36" s="30" cm="1">
        <f t="array" ref="F36">INDEX(SoyTable[Curr. after Margin Payments],COUNT(ROW(SoyTable[])))</f>
        <v>17875000.000000015</v>
      </c>
      <c r="G36" s="45">
        <f>SUM(SoyTable[Margin Payment])</f>
        <v>9900000</v>
      </c>
      <c r="H36" s="30">
        <f>H3_Soy!D17</f>
        <v>9900000</v>
      </c>
      <c r="I36" s="30">
        <f>H3_Soy!D20</f>
        <v>7920000</v>
      </c>
      <c r="J36" s="42" cm="1">
        <f t="array" ref="J36">INDEX(SoyTable[Cum. Total],COUNT(ROW(SoyTable[])))</f>
        <v>7975000.0000000158</v>
      </c>
      <c r="K36" s="34" t="str">
        <f>IF(IFERROR(VLOOKUP("Exit",SoyTable[Entry/Exit],1),VLOOKUP("Entry",SoyTable[Entry/Exit],1))="Entry","Opened "&amp;TEXT(INDEX(SoyTable[Date],MATCH("Entry",SoyTable[Entry/Exit])),"dd-mmm"),"Closed "&amp;TEXT(INDEX(SoyTable[Date],MATCH("Exit",SoyTable[Entry/Exit])),"dd-mmm"))</f>
        <v>Closed 07-Nov</v>
      </c>
    </row>
    <row r="37" spans="2:11" x14ac:dyDescent="0.25">
      <c r="B37" s="9" t="s">
        <v>97</v>
      </c>
      <c r="D37" s="29" t="str">
        <f>H4_HO!D9</f>
        <v>HOZ4</v>
      </c>
      <c r="E37" s="29" t="str">
        <f>H4_HO!D10</f>
        <v>SHORT</v>
      </c>
      <c r="F37" s="30" cm="1">
        <f t="array" ref="F37">INDEX(HoTable[Curr. after Margin Payments],COUNT(ROW(HoTable[])))</f>
        <v>20668709.769969597</v>
      </c>
      <c r="G37" s="45">
        <f>SUM(HoTable[Margin Payment])</f>
        <v>21870284.44119506</v>
      </c>
      <c r="H37" s="30">
        <f>H4_HO!D17</f>
        <v>17278220</v>
      </c>
      <c r="I37" s="30">
        <f>H4_HO!D20</f>
        <v>13822576</v>
      </c>
      <c r="J37" s="42" cm="1">
        <f t="array" ref="J37">INDEX(HoTable[Cum. Total],COUNT(ROW(HoTable[])))</f>
        <v>-1201574.6712254607</v>
      </c>
      <c r="K37" s="34" t="str">
        <f>IF(IFERROR(VLOOKUP("Exit",HoTable[Entry/Exit],1),VLOOKUP("Entry",HoTable[Entry/Exit],1))="Entry","Opened "&amp;TEXT(INDEX(HoTable[Date],MATCH("Entry",HoTable[Entry/Exit])),"dd-mmm"),"Closed "&amp;TEXT(INDEX(HoTable[Date],MATCH("Exit",HoTable[Entry/Exit])),"dd-mmm"))</f>
        <v>Closed 29-Nov</v>
      </c>
    </row>
    <row r="38" spans="2:11" x14ac:dyDescent="0.25">
      <c r="B38" s="6" t="s">
        <v>20</v>
      </c>
      <c r="D38" s="10"/>
      <c r="E38" s="10"/>
      <c r="F38" s="10"/>
      <c r="G38" s="45"/>
      <c r="H38" s="10"/>
      <c r="I38" s="10"/>
      <c r="J38" s="43"/>
      <c r="K38" s="34"/>
    </row>
    <row r="39" spans="2:11" x14ac:dyDescent="0.25">
      <c r="B39" s="9" t="s">
        <v>72</v>
      </c>
      <c r="D39" s="29" t="str">
        <f>S1_Brent!D9</f>
        <v>BZZ4</v>
      </c>
      <c r="E39" s="29" t="str">
        <f>S1_Brent!D10</f>
        <v>SHORT</v>
      </c>
      <c r="F39" s="30" cm="1">
        <f t="array" ref="F39">INDEX(BrentTable[Curr. after Margin Payments],COUNT(ROW(BrentTable[])))</f>
        <v>14454000.000000009</v>
      </c>
      <c r="G39" s="45">
        <f>SUM(BrentTable[Margin Payment])</f>
        <v>8238000</v>
      </c>
      <c r="H39" s="30">
        <f>S1_Brent!D17</f>
        <v>8238000</v>
      </c>
      <c r="I39" s="30">
        <f>S1_Brent!D20</f>
        <v>6590400</v>
      </c>
      <c r="J39" s="42" cm="1">
        <f t="array" ref="J39">INDEX(BrentTable[Cum. Total],COUNT(ROW(BrentTable[])))</f>
        <v>6216000.0000000084</v>
      </c>
      <c r="K39" s="34" t="str">
        <f>IF(IFERROR(VLOOKUP("Exit",BrentTable[Entry/Exit],1),VLOOKUP("Entry",BrentTable[Entry/Exit],1))="Entry","Opened "&amp;TEXT(INDEX(BrentTable[Date],MATCH("Entry",BrentTable[Entry/Exit])),"dd-mmm"),"Closed "&amp;TEXT(INDEX(BrentTable[Date],MATCH("Exit",BrentTable[Entry/Exit])),"dd-mmm"))</f>
        <v>Closed 16-Oct</v>
      </c>
    </row>
    <row r="40" spans="2:11" x14ac:dyDescent="0.25">
      <c r="B40" s="9" t="s">
        <v>82</v>
      </c>
      <c r="D40" s="29" t="str">
        <f>S2_Gold!D9</f>
        <v>GCZ4</v>
      </c>
      <c r="E40" s="30" t="str">
        <f>S2_Gold!D10</f>
        <v>LONG</v>
      </c>
      <c r="F40" s="30" cm="1">
        <f t="array" ref="F40">INDEX(GoldTable[Curr. after Margin Payments],COUNT(ROW(GoldTable[])))</f>
        <v>18080000.000000019</v>
      </c>
      <c r="G40" s="45">
        <f>SUM(GoldTable[Margin Payment])</f>
        <v>13750000</v>
      </c>
      <c r="H40" s="30">
        <f>S2_Gold!D17</f>
        <v>13750000</v>
      </c>
      <c r="I40" s="30">
        <f>S2_Gold!D21</f>
        <v>11000000</v>
      </c>
      <c r="J40" s="42" cm="1">
        <f t="array" ref="J40">INDEX(GoldTable[Cum. Total],COUNT(ROW(GoldTable[])))</f>
        <v>4330000.0000000186</v>
      </c>
      <c r="K40" s="34" t="str">
        <f>IF(IFERROR(VLOOKUP("Exit",GoldTable[Entry/Exit],1),VLOOKUP("Entry",GoldTable[Entry/Exit],1))="Entry","Opened "&amp;TEXT(INDEX(GoldTable[Date],MATCH("Entry",GoldTable[Entry/Exit])),"dd-mmm"),"Closed "&amp;TEXT(INDEX(GoldTable[Date],MATCH("Exit",GoldTable[Entry/Exit])),"dd-mmm"))</f>
        <v>Closed 21-Oct</v>
      </c>
    </row>
    <row r="41" spans="2:11" x14ac:dyDescent="0.25">
      <c r="B41" s="6" t="s">
        <v>21</v>
      </c>
      <c r="D41" s="10"/>
      <c r="E41" s="10"/>
      <c r="F41" s="10"/>
      <c r="G41" s="29"/>
      <c r="H41" s="10"/>
      <c r="I41" s="10"/>
      <c r="J41" s="43"/>
      <c r="K41" s="34"/>
    </row>
    <row r="42" spans="2:11" x14ac:dyDescent="0.25">
      <c r="B42" s="9" t="s">
        <v>92</v>
      </c>
      <c r="D42" s="29" t="str">
        <f>O1_NVDA!D9</f>
        <v>CZGP</v>
      </c>
      <c r="E42" s="30" t="str">
        <f>O1_NVDA!D10</f>
        <v>LONG CALL</v>
      </c>
      <c r="F42" s="30" cm="1">
        <f t="array" ref="F42">INDEX(NVDATable[Curr. after Margin Payments],COUNT(ROW(NVDATable[])))</f>
        <v>9320000</v>
      </c>
      <c r="G42" s="45">
        <f>SUM(NVDATable[Margin Payment])</f>
        <v>4180000</v>
      </c>
      <c r="H42" s="29">
        <v>0</v>
      </c>
      <c r="I42" s="29">
        <v>0</v>
      </c>
      <c r="J42" s="42" cm="1">
        <f t="array" ref="J42">INDEX(NVDATable[Cum. Total],COUNT(ROW(NVDATable[])))</f>
        <v>5140000.0000000009</v>
      </c>
      <c r="K42" s="34" t="str">
        <f>IF(IFERROR(VLOOKUP("Exit",NVDATable[Entry/Exit],1),VLOOKUP("Entry",NVDATable[Entry/Exit],1))="Entry","Opened "&amp;TEXT(INDEX(NVDATable[Date],MATCH("Entry",NVDATable[Entry/Exit])),"dd-mmm"),"Closed "&amp;TEXT(INDEX(NVDATable[Date],MATCH("Exit",NVDATable[Entry/Exit])),"dd-mmm"))</f>
        <v>Closed 22-Oct</v>
      </c>
    </row>
    <row r="43" spans="2:11" x14ac:dyDescent="0.25">
      <c r="B43" s="9" t="s">
        <v>94</v>
      </c>
      <c r="D43" s="29" t="str">
        <f>O2_TLT!D9</f>
        <v>PB7Z</v>
      </c>
      <c r="E43" s="30" t="str">
        <f>O2_TLT!D10</f>
        <v>SHORT PUT</v>
      </c>
      <c r="F43" s="30" cm="1">
        <f t="array" ref="F43">INDEX(TltTable[Curr. after Margin Payments],COUNT(ROW(TltTable[])))</f>
        <v>12140999.999999998</v>
      </c>
      <c r="G43" s="45">
        <f>SUM(TltTable[Margin Payment])</f>
        <v>10910999.999999998</v>
      </c>
      <c r="H43" s="30">
        <f>O2_TLT!D19</f>
        <v>10910999.999999998</v>
      </c>
      <c r="I43" s="30">
        <f>H43</f>
        <v>10910999.999999998</v>
      </c>
      <c r="J43" s="42" cm="1">
        <f t="array" ref="J43">INDEX(TltTable[Cum. Total],COUNT(ROW(TltTable[])))</f>
        <v>1230000</v>
      </c>
      <c r="K43" s="34" t="str">
        <f>IF(IFERROR(VLOOKUP("Exit",TltTable[Entry/Exit],1),VLOOKUP("Entry",TltTable[Entry/Exit],1))="Entry","Opened "&amp;TEXT(INDEX(TltTable[Date],MATCH("Entry",TltTable[Entry/Exit])),"dd-mmm"),"Closed "&amp;TEXT(INDEX(TltTable[Date],MATCH("Exit",TltTable[Entry/Exit])),"dd-mmm"))</f>
        <v>Closed 02-Nov</v>
      </c>
    </row>
    <row r="44" spans="2:11" x14ac:dyDescent="0.25">
      <c r="B44" s="9" t="s">
        <v>95</v>
      </c>
      <c r="D44" s="29" t="str">
        <f>O3_HOOD!D9</f>
        <v>PY03</v>
      </c>
      <c r="E44" s="30" t="str">
        <f>O3_HOOD!D10</f>
        <v>LONG PUT</v>
      </c>
      <c r="F44" s="30" cm="1">
        <f t="array" ref="F44">INDEX(HOODTable[Curr. after Margin Payments],COUNT(ROW(HOODTable[])))</f>
        <v>4480000</v>
      </c>
      <c r="G44" s="45">
        <f>SUM(HOODTable[Margin Payment])</f>
        <v>5920000</v>
      </c>
      <c r="H44" s="29">
        <v>0</v>
      </c>
      <c r="I44" s="29">
        <v>0</v>
      </c>
      <c r="J44" s="42" cm="1">
        <f t="array" ref="J44">INDEX(HOODTable[Cum. Total],COUNT(ROW(HOODTable[])))</f>
        <v>-1439999.9999999995</v>
      </c>
      <c r="K44" s="34" t="str">
        <f>IF(IFERROR(VLOOKUP("Exit",HOODTable[Entry/Exit],1),VLOOKUP("Entry",HOODTable[Entry/Exit],1))="Entry","Opened "&amp;TEXT(INDEX(HOODTable[Date],MATCH("Entry",HOODTable[Entry/Exit])),"dd-mmm"),"Closed "&amp;TEXT(INDEX(HOODTable[Date],MATCH("Exit",HOODTable[Entry/Exit])),"dd-mmm"))</f>
        <v>Closed 28-Oct</v>
      </c>
    </row>
    <row r="45" spans="2:11" x14ac:dyDescent="0.25">
      <c r="B45" s="9" t="s">
        <v>151</v>
      </c>
      <c r="D45" s="29" t="str">
        <f>O4_INTC!D9</f>
        <v>PK5N</v>
      </c>
      <c r="E45" s="30" t="str">
        <f>O4_INTC!D10</f>
        <v>SHORT PUT</v>
      </c>
      <c r="F45" s="30" cm="1">
        <f t="array" ref="F45">INDEX(INTCTable[Curr. after Margin Payments],COUNT(ROW(INTCTable[])))</f>
        <v>18513000</v>
      </c>
      <c r="G45" s="45">
        <f>SUM(INTCTable[Margin Payment])</f>
        <v>18348000</v>
      </c>
      <c r="H45" s="30">
        <f>O4_INTC!D19</f>
        <v>9174000</v>
      </c>
      <c r="I45" s="30">
        <f>H45</f>
        <v>9174000</v>
      </c>
      <c r="J45" s="42" cm="1">
        <f t="array" ref="J45">INDEX(INTCTable[Cum. Total],COUNT(ROW(INTCTable[])))</f>
        <v>165000.00000000047</v>
      </c>
      <c r="K45" s="34" t="str">
        <f>IF(IFERROR(VLOOKUP("Exit",INTCTable[Entry/Exit],1),VLOOKUP("Entry",INTCTable[Entry/Exit],1))="Entry","Opened "&amp;TEXT(INDEX(INTCTable[Date],MATCH("Entry",INTCTable[Entry/Exit])),"dd-mmm"),"Closed "&amp;TEXT(INDEX(INTCTable[Date],MATCH("Exit",INTCTable[Entry/Exit])),"dd-mmm"))</f>
        <v>Closed 02-Dec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C1D3-57C9-4593-8E82-8A820F426E9C}">
  <dimension ref="A1:P33"/>
  <sheetViews>
    <sheetView showGridLines="0" topLeftCell="F1" zoomScale="90" zoomScaleNormal="90" workbookViewId="0">
      <pane ySplit="1" topLeftCell="A17" activePane="bottomLeft" state="frozen"/>
      <selection pane="bottomLeft" sqref="A1:P38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238</v>
      </c>
      <c r="E1" s="41" t="s">
        <v>237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223</v>
      </c>
    </row>
    <row r="4" spans="1:16" x14ac:dyDescent="0.25">
      <c r="B4" s="6" t="s">
        <v>47</v>
      </c>
      <c r="H4" s="34" t="s">
        <v>22</v>
      </c>
      <c r="I4" s="34" t="s">
        <v>239</v>
      </c>
      <c r="J4" s="34" t="s">
        <v>224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240</v>
      </c>
      <c r="H5" s="11">
        <v>45609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45610</v>
      </c>
      <c r="I6" s="13"/>
      <c r="J6" s="33">
        <v>45.9</v>
      </c>
      <c r="K6" s="33" t="s">
        <v>27</v>
      </c>
      <c r="L6" s="33">
        <f>NVDATable131820222426283032[[#This Row],[Stock Price]]-J5</f>
        <v>45.9</v>
      </c>
      <c r="M6" s="27"/>
      <c r="N6" s="27"/>
      <c r="O6" s="27">
        <f>NVDATable131820222426283032[[#This Row],[Stock Price]]*D6*D15</f>
        <v>9180000</v>
      </c>
      <c r="P6" s="27">
        <f>NVDATable131820222426283032[[#This Row],[Margin Payment]]+NVDATable131820222426283032[[#This Row],[Current Account]]</f>
        <v>9180000</v>
      </c>
    </row>
    <row r="7" spans="1:16" x14ac:dyDescent="0.25">
      <c r="B7" t="s">
        <v>157</v>
      </c>
      <c r="D7" s="18" t="s">
        <v>221</v>
      </c>
      <c r="H7" s="11">
        <v>45623</v>
      </c>
      <c r="I7" s="13"/>
      <c r="J7" s="33">
        <v>47.77</v>
      </c>
      <c r="K7" s="33" t="s">
        <v>73</v>
      </c>
      <c r="L7" s="12">
        <f>NVDATable131820222426283032[[#This Row],[Stock Price]]-J6</f>
        <v>1.8700000000000045</v>
      </c>
      <c r="M7" s="27">
        <f>(NVDATable131820222426283032[[#This Row],[Stock Price]]-$J$6)*$D$15*$D$6</f>
        <v>374000.00000000093</v>
      </c>
      <c r="N7" s="27">
        <f>P6+NVDATable131820222426283032[[#This Row],[Cum. Total]]-M6</f>
        <v>9554000</v>
      </c>
      <c r="O7" s="27">
        <v>0</v>
      </c>
      <c r="P7" s="27">
        <f>NVDATable131820222426283032[[#This Row],[Margin Payment]]+NVDATable131820222426283032[[#This Row],[Current Account]]</f>
        <v>9554000</v>
      </c>
    </row>
    <row r="8" spans="1:16" x14ac:dyDescent="0.25">
      <c r="B8" t="s">
        <v>162</v>
      </c>
      <c r="D8" s="18" t="s">
        <v>222</v>
      </c>
    </row>
    <row r="9" spans="1:16" x14ac:dyDescent="0.25">
      <c r="H9" t="s">
        <v>136</v>
      </c>
    </row>
    <row r="10" spans="1:16" x14ac:dyDescent="0.25">
      <c r="D10" s="55" t="s">
        <v>223</v>
      </c>
      <c r="E10" s="55" t="s">
        <v>136</v>
      </c>
      <c r="H10" s="34" t="s">
        <v>22</v>
      </c>
      <c r="I10" s="34" t="s">
        <v>239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45610</v>
      </c>
      <c r="E11" s="48">
        <v>45610</v>
      </c>
      <c r="H11" s="11">
        <v>45609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 t="s">
        <v>225</v>
      </c>
      <c r="E12" s="50">
        <v>45674</v>
      </c>
      <c r="H12" s="11">
        <v>45610</v>
      </c>
      <c r="I12" s="13">
        <f>J6</f>
        <v>45.9</v>
      </c>
      <c r="J12" s="33">
        <v>1.34</v>
      </c>
      <c r="K12" s="33" t="s">
        <v>27</v>
      </c>
      <c r="L12" s="12">
        <f>NVDATable13141921232527293133[[#This Row],[Last Price]]-J11</f>
        <v>1.34</v>
      </c>
      <c r="M12" s="27"/>
      <c r="N12" s="27"/>
      <c r="O12" s="27">
        <f>NVDATable13141921232527293133[[#This Row],[Last Price]]*D6*-E16</f>
        <v>-2680</v>
      </c>
      <c r="P12" s="27">
        <f>NVDATable13141921232527293133[[#This Row],[Margin Payment]]+NVDATable13141921232527293133[[#This Row],[Current Account]]</f>
        <v>-2680</v>
      </c>
    </row>
    <row r="13" spans="1:16" x14ac:dyDescent="0.25">
      <c r="B13" t="s">
        <v>32</v>
      </c>
      <c r="D13" s="15" t="s">
        <v>239</v>
      </c>
      <c r="E13" s="15" t="s">
        <v>241</v>
      </c>
      <c r="H13" s="11">
        <v>45623</v>
      </c>
      <c r="I13" s="13"/>
      <c r="J13" s="33">
        <v>0.66</v>
      </c>
      <c r="K13" s="33" t="s">
        <v>73</v>
      </c>
      <c r="L13" s="12">
        <f>NVDATable13141921232527293133[[#This Row],[Last Price]]-J12</f>
        <v>-0.68</v>
      </c>
      <c r="M13" s="27">
        <f>(NVDATable13141921232527293133[[#This Row],[Last Price]]-$J$12)*$E$16*$D$6</f>
        <v>-1360.0000000000002</v>
      </c>
      <c r="N13" s="27">
        <f>P12+NVDATable13141921232527293133[[#This Row],[Cum. Total]]-M12</f>
        <v>-4040</v>
      </c>
      <c r="O13" s="27">
        <v>0</v>
      </c>
      <c r="P13" s="27">
        <f>NVDATable13141921232527293133[[#This Row],[Margin Payment]]+NVDATable13141921232527293133[[#This Row],[Current Account]]</f>
        <v>-4040</v>
      </c>
    </row>
    <row r="14" spans="1:16" s="12" customFormat="1" x14ac:dyDescent="0.25">
      <c r="B14" t="s">
        <v>34</v>
      </c>
      <c r="C14"/>
      <c r="D14" s="15" t="s">
        <v>223</v>
      </c>
      <c r="E14" s="15" t="s">
        <v>136</v>
      </c>
      <c r="F14"/>
    </row>
    <row r="15" spans="1:16" s="12" customFormat="1" x14ac:dyDescent="0.25">
      <c r="B15" t="s">
        <v>104</v>
      </c>
      <c r="C15"/>
      <c r="D15" s="19">
        <v>2000</v>
      </c>
      <c r="E15" s="19">
        <f>D15</f>
        <v>2000</v>
      </c>
    </row>
    <row r="16" spans="1:16" x14ac:dyDescent="0.25">
      <c r="B16" t="s">
        <v>42</v>
      </c>
      <c r="D16" s="20">
        <v>0</v>
      </c>
      <c r="E16" s="20">
        <f t="shared" ref="E16" si="0">E15/$D$6</f>
        <v>20</v>
      </c>
    </row>
    <row r="17" spans="2:6" x14ac:dyDescent="0.25">
      <c r="B17" t="s">
        <v>48</v>
      </c>
      <c r="D17" s="19">
        <f>D16*J6*D6</f>
        <v>0</v>
      </c>
      <c r="E17" s="19">
        <f>D6*E16*J12</f>
        <v>2680</v>
      </c>
    </row>
    <row r="18" spans="2:6" x14ac:dyDescent="0.25">
      <c r="B18" t="s">
        <v>105</v>
      </c>
      <c r="D18" s="19">
        <v>0</v>
      </c>
      <c r="E18" s="53">
        <v>45</v>
      </c>
    </row>
    <row r="19" spans="2:6" x14ac:dyDescent="0.25">
      <c r="B19" s="56" t="s">
        <v>167</v>
      </c>
      <c r="C19" s="12"/>
      <c r="D19" s="57">
        <f>M7</f>
        <v>374000.00000000093</v>
      </c>
      <c r="E19" s="57">
        <f>M13</f>
        <v>-1360.0000000000002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372640.00000000093</v>
      </c>
    </row>
    <row r="21" spans="2:6" ht="15.75" thickTop="1" x14ac:dyDescent="0.25"/>
    <row r="22" spans="2:6" x14ac:dyDescent="0.25">
      <c r="B22" s="6" t="s">
        <v>160</v>
      </c>
      <c r="F22" s="66" t="s">
        <v>10</v>
      </c>
    </row>
    <row r="23" spans="2:6" x14ac:dyDescent="0.25">
      <c r="B23" t="s">
        <v>91</v>
      </c>
      <c r="C23" s="12"/>
      <c r="D23" s="23">
        <f>D15*$J$6*D6</f>
        <v>9180000</v>
      </c>
      <c r="E23" s="23">
        <f>-O12</f>
        <v>2680</v>
      </c>
      <c r="F23" s="67" t="s">
        <v>146</v>
      </c>
    </row>
    <row r="24" spans="2:6" x14ac:dyDescent="0.25">
      <c r="B24" t="s">
        <v>44</v>
      </c>
      <c r="D24" s="24" t="s">
        <v>103</v>
      </c>
      <c r="E24" s="24" t="s">
        <v>103</v>
      </c>
      <c r="F24" s="67" t="s">
        <v>147</v>
      </c>
    </row>
    <row r="25" spans="2:6" x14ac:dyDescent="0.25">
      <c r="B25" t="s">
        <v>50</v>
      </c>
      <c r="D25" s="49" t="s">
        <v>103</v>
      </c>
      <c r="E25" s="49" t="s">
        <v>103</v>
      </c>
      <c r="F25" s="67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s="67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EA75B552-8FB9-490E-890C-3E91EAB5B19E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811E-8CBB-4530-97AC-E9BA1ACACFC5}">
  <dimension ref="A1:P33"/>
  <sheetViews>
    <sheetView showGridLines="0" topLeftCell="E1" zoomScale="90" zoomScaleNormal="90" workbookViewId="0">
      <pane ySplit="1" topLeftCell="A10" activePane="bottomLeft" state="frozen"/>
      <selection pane="bottomLeft" sqref="A1:P33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230</v>
      </c>
      <c r="E1" s="41" t="s">
        <v>231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223</v>
      </c>
    </row>
    <row r="4" spans="1:16" x14ac:dyDescent="0.25">
      <c r="B4" s="6" t="s">
        <v>47</v>
      </c>
      <c r="H4" s="34" t="s">
        <v>22</v>
      </c>
      <c r="I4" s="34" t="s">
        <v>239</v>
      </c>
      <c r="J4" s="34" t="s">
        <v>224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232</v>
      </c>
      <c r="H5" s="11">
        <v>45609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45610</v>
      </c>
      <c r="I6" s="13"/>
      <c r="J6" s="33">
        <v>72.8</v>
      </c>
      <c r="K6" s="33" t="s">
        <v>27</v>
      </c>
      <c r="L6" s="33">
        <f>NVDATable1318202224262830[[#This Row],[Stock Price]]-J5</f>
        <v>72.8</v>
      </c>
      <c r="M6" s="27"/>
      <c r="N6" s="27"/>
      <c r="O6" s="27">
        <f>NVDATable1318202224262830[[#This Row],[Stock Price]]*D6*D15</f>
        <v>8736000</v>
      </c>
      <c r="P6" s="27">
        <f>NVDATable1318202224262830[[#This Row],[Margin Payment]]+NVDATable1318202224262830[[#This Row],[Current Account]]</f>
        <v>8736000</v>
      </c>
    </row>
    <row r="7" spans="1:16" x14ac:dyDescent="0.25">
      <c r="B7" t="s">
        <v>157</v>
      </c>
      <c r="D7" s="18" t="s">
        <v>221</v>
      </c>
      <c r="H7" s="11">
        <v>45623</v>
      </c>
      <c r="I7" s="13"/>
      <c r="J7" s="33">
        <v>77.209999999999994</v>
      </c>
      <c r="K7" s="33" t="s">
        <v>73</v>
      </c>
      <c r="L7" s="12">
        <f>NVDATable1318202224262830[[#This Row],[Stock Price]]-J6</f>
        <v>4.4099999999999966</v>
      </c>
      <c r="M7" s="27">
        <f>(NVDATable1318202224262830[[#This Row],[Stock Price]]-$J$6)*$D$15*$D$6</f>
        <v>529199.99999999965</v>
      </c>
      <c r="N7" s="27">
        <f>P6+NVDATable1318202224262830[[#This Row],[Cum. Total]]-M6</f>
        <v>9265200</v>
      </c>
      <c r="O7" s="27">
        <v>0</v>
      </c>
      <c r="P7" s="27">
        <f>NVDATable1318202224262830[[#This Row],[Margin Payment]]+NVDATable1318202224262830[[#This Row],[Current Account]]</f>
        <v>9265200</v>
      </c>
    </row>
    <row r="8" spans="1:16" x14ac:dyDescent="0.25">
      <c r="B8" t="s">
        <v>162</v>
      </c>
      <c r="D8" s="18" t="s">
        <v>222</v>
      </c>
    </row>
    <row r="9" spans="1:16" x14ac:dyDescent="0.25">
      <c r="H9" t="s">
        <v>136</v>
      </c>
    </row>
    <row r="10" spans="1:16" x14ac:dyDescent="0.25">
      <c r="D10" s="55" t="s">
        <v>223</v>
      </c>
      <c r="E10" s="55" t="s">
        <v>136</v>
      </c>
      <c r="H10" s="34" t="s">
        <v>22</v>
      </c>
      <c r="I10" s="34" t="s">
        <v>239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45610</v>
      </c>
      <c r="E11" s="48">
        <v>45610</v>
      </c>
      <c r="H11" s="11">
        <v>45609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 t="s">
        <v>225</v>
      </c>
      <c r="E12" s="50">
        <v>45653</v>
      </c>
      <c r="H12" s="11">
        <v>45610</v>
      </c>
      <c r="I12" s="13">
        <f>J6</f>
        <v>72.8</v>
      </c>
      <c r="J12" s="33">
        <v>1.94</v>
      </c>
      <c r="K12" s="33" t="s">
        <v>27</v>
      </c>
      <c r="L12" s="12">
        <f>NVDATable131419212325272931[[#This Row],[Last Price]]-J11</f>
        <v>1.94</v>
      </c>
      <c r="M12" s="27"/>
      <c r="N12" s="27"/>
      <c r="O12" s="27">
        <f>NVDATable131419212325272931[[#This Row],[Last Price]]*D6*-E16</f>
        <v>-2328</v>
      </c>
      <c r="P12" s="27">
        <f>NVDATable131419212325272931[[#This Row],[Margin Payment]]+NVDATable131419212325272931[[#This Row],[Current Account]]</f>
        <v>-2328</v>
      </c>
    </row>
    <row r="13" spans="1:16" x14ac:dyDescent="0.25">
      <c r="B13" t="s">
        <v>32</v>
      </c>
      <c r="D13" s="15" t="s">
        <v>233</v>
      </c>
      <c r="E13" s="15" t="s">
        <v>234</v>
      </c>
      <c r="H13" s="11">
        <v>45623</v>
      </c>
      <c r="I13" s="13"/>
      <c r="J13" s="33">
        <v>0.52</v>
      </c>
      <c r="K13" s="33" t="s">
        <v>73</v>
      </c>
      <c r="L13" s="12">
        <f>NVDATable131419212325272931[[#This Row],[Last Price]]-J12</f>
        <v>-1.42</v>
      </c>
      <c r="M13" s="27">
        <f>(NVDATable131419212325272931[[#This Row],[Last Price]]-$J$12)*$E$16*$D$6</f>
        <v>-1704</v>
      </c>
      <c r="N13" s="27">
        <f>P12+NVDATable131419212325272931[[#This Row],[Cum. Total]]-M12</f>
        <v>-4032</v>
      </c>
      <c r="O13" s="27">
        <v>0</v>
      </c>
      <c r="P13" s="27">
        <f>NVDATable131419212325272931[[#This Row],[Margin Payment]]+NVDATable131419212325272931[[#This Row],[Current Account]]</f>
        <v>-4032</v>
      </c>
    </row>
    <row r="14" spans="1:16" s="12" customFormat="1" x14ac:dyDescent="0.25">
      <c r="B14" t="s">
        <v>34</v>
      </c>
      <c r="C14"/>
      <c r="D14" s="15" t="s">
        <v>223</v>
      </c>
      <c r="E14" s="15" t="s">
        <v>136</v>
      </c>
      <c r="F14"/>
    </row>
    <row r="15" spans="1:16" s="12" customFormat="1" x14ac:dyDescent="0.25">
      <c r="B15" t="s">
        <v>104</v>
      </c>
      <c r="C15"/>
      <c r="D15" s="19">
        <v>1200</v>
      </c>
      <c r="E15" s="19">
        <f>D15</f>
        <v>1200</v>
      </c>
    </row>
    <row r="16" spans="1:16" x14ac:dyDescent="0.25">
      <c r="B16" t="s">
        <v>42</v>
      </c>
      <c r="D16" s="20">
        <v>0</v>
      </c>
      <c r="E16" s="20">
        <f t="shared" ref="E16" si="0">E15/$D$6</f>
        <v>12</v>
      </c>
    </row>
    <row r="17" spans="2:6" x14ac:dyDescent="0.25">
      <c r="B17" t="s">
        <v>48</v>
      </c>
      <c r="D17" s="19">
        <f>D16*J6*D6</f>
        <v>0</v>
      </c>
      <c r="E17" s="19">
        <f>D6*E16*J12</f>
        <v>2328</v>
      </c>
    </row>
    <row r="18" spans="2:6" x14ac:dyDescent="0.25">
      <c r="B18" t="s">
        <v>105</v>
      </c>
      <c r="D18" s="19">
        <v>0</v>
      </c>
      <c r="E18" s="53">
        <v>72</v>
      </c>
    </row>
    <row r="19" spans="2:6" x14ac:dyDescent="0.25">
      <c r="B19" s="56" t="s">
        <v>167</v>
      </c>
      <c r="C19" s="12"/>
      <c r="D19" s="57">
        <f>M7</f>
        <v>529199.99999999965</v>
      </c>
      <c r="E19" s="57">
        <f>M13</f>
        <v>-1704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527495.99999999965</v>
      </c>
    </row>
    <row r="21" spans="2:6" ht="15.75" thickTop="1" x14ac:dyDescent="0.25"/>
    <row r="22" spans="2:6" x14ac:dyDescent="0.25">
      <c r="B22" s="6" t="s">
        <v>160</v>
      </c>
      <c r="F22" s="66" t="s">
        <v>10</v>
      </c>
    </row>
    <row r="23" spans="2:6" x14ac:dyDescent="0.25">
      <c r="B23" t="s">
        <v>91</v>
      </c>
      <c r="C23" s="12"/>
      <c r="D23" s="23">
        <f>D15*$J$6*D6</f>
        <v>8736000</v>
      </c>
      <c r="E23" s="23">
        <f>-O12</f>
        <v>2328</v>
      </c>
      <c r="F23" s="67" t="s">
        <v>146</v>
      </c>
    </row>
    <row r="24" spans="2:6" x14ac:dyDescent="0.25">
      <c r="B24" t="s">
        <v>44</v>
      </c>
      <c r="D24" s="24" t="s">
        <v>103</v>
      </c>
      <c r="E24" s="24" t="s">
        <v>103</v>
      </c>
      <c r="F24" s="67" t="s">
        <v>147</v>
      </c>
    </row>
    <row r="25" spans="2:6" x14ac:dyDescent="0.25">
      <c r="B25" t="s">
        <v>50</v>
      </c>
      <c r="D25" s="49" t="s">
        <v>103</v>
      </c>
      <c r="E25" s="49" t="s">
        <v>103</v>
      </c>
      <c r="F25" s="67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s="67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96F5576A-6C16-4B54-B7A1-37B56E5E30AF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DCCE-1CAE-4ED7-9C0B-1F9DE22948F6}">
  <dimension ref="A1:P33"/>
  <sheetViews>
    <sheetView showGridLines="0" topLeftCell="F1" zoomScale="90" zoomScaleNormal="90" workbookViewId="0">
      <pane ySplit="1" topLeftCell="A14" activePane="bottomLeft" state="frozen"/>
      <selection pane="bottomLeft" sqref="A1:P40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229</v>
      </c>
      <c r="E1" s="41" t="s">
        <v>220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223</v>
      </c>
    </row>
    <row r="4" spans="1:16" x14ac:dyDescent="0.25">
      <c r="B4" s="6" t="s">
        <v>47</v>
      </c>
      <c r="H4" s="34" t="s">
        <v>22</v>
      </c>
      <c r="I4" s="34" t="s">
        <v>218</v>
      </c>
      <c r="J4" s="34" t="s">
        <v>224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219</v>
      </c>
      <c r="H5" s="11">
        <v>45609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45610</v>
      </c>
      <c r="I6" s="13"/>
      <c r="J6" s="33">
        <v>241.87</v>
      </c>
      <c r="K6" s="33" t="s">
        <v>27</v>
      </c>
      <c r="L6" s="33">
        <f>NVDATable13182022242628[[#This Row],[Stock Price]]-J5</f>
        <v>241.87</v>
      </c>
      <c r="M6" s="27"/>
      <c r="N6" s="27"/>
      <c r="O6" s="27">
        <f>NVDATable13182022242628[[#This Row],[Stock Price]]*D6*D15</f>
        <v>12093500</v>
      </c>
      <c r="P6" s="27">
        <f>NVDATable13182022242628[[#This Row],[Margin Payment]]+NVDATable13182022242628[[#This Row],[Current Account]]</f>
        <v>12093500</v>
      </c>
    </row>
    <row r="7" spans="1:16" x14ac:dyDescent="0.25">
      <c r="B7" t="s">
        <v>157</v>
      </c>
      <c r="D7" s="18" t="s">
        <v>221</v>
      </c>
      <c r="H7" s="11">
        <v>45623</v>
      </c>
      <c r="I7" s="13"/>
      <c r="J7" s="33">
        <v>249.79</v>
      </c>
      <c r="K7" s="33" t="s">
        <v>73</v>
      </c>
      <c r="L7" s="12">
        <f>NVDATable13182022242628[[#This Row],[Stock Price]]-J6</f>
        <v>7.9199999999999875</v>
      </c>
      <c r="M7" s="27">
        <f>(NVDATable13182022242628[[#This Row],[Stock Price]]-$J$6)*$D$15*$D$6</f>
        <v>395999.99999999936</v>
      </c>
      <c r="N7" s="27">
        <f>P6+NVDATable13182022242628[[#This Row],[Cum. Total]]-M6</f>
        <v>12489500</v>
      </c>
      <c r="O7" s="27">
        <v>0</v>
      </c>
      <c r="P7" s="27">
        <f>NVDATable13182022242628[[#This Row],[Margin Payment]]+NVDATable13182022242628[[#This Row],[Current Account]]</f>
        <v>12489500</v>
      </c>
    </row>
    <row r="8" spans="1:16" x14ac:dyDescent="0.25">
      <c r="B8" t="s">
        <v>162</v>
      </c>
      <c r="D8" s="18" t="s">
        <v>222</v>
      </c>
    </row>
    <row r="9" spans="1:16" x14ac:dyDescent="0.25">
      <c r="H9" t="s">
        <v>136</v>
      </c>
    </row>
    <row r="10" spans="1:16" x14ac:dyDescent="0.25">
      <c r="D10" s="55" t="s">
        <v>223</v>
      </c>
      <c r="E10" s="55" t="s">
        <v>136</v>
      </c>
      <c r="H10" s="34" t="s">
        <v>22</v>
      </c>
      <c r="I10" s="34" t="s">
        <v>218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45610</v>
      </c>
      <c r="E11" s="48">
        <v>45610</v>
      </c>
      <c r="H11" s="11">
        <v>45609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 t="s">
        <v>225</v>
      </c>
      <c r="E12" s="50">
        <v>45632</v>
      </c>
      <c r="H12" s="11">
        <v>45610</v>
      </c>
      <c r="I12" s="13">
        <f>J6</f>
        <v>241.87</v>
      </c>
      <c r="J12" s="33">
        <v>3.18</v>
      </c>
      <c r="K12" s="33" t="s">
        <v>27</v>
      </c>
      <c r="L12" s="12">
        <f>NVDATable1314192123252729[[#This Row],[Last Price]]-J11</f>
        <v>3.18</v>
      </c>
      <c r="M12" s="27"/>
      <c r="N12" s="27"/>
      <c r="O12" s="27">
        <f>NVDATable1314192123252729[[#This Row],[Last Price]]*D6*-E16</f>
        <v>-1590</v>
      </c>
      <c r="P12" s="27">
        <f>NVDATable1314192123252729[[#This Row],[Margin Payment]]+NVDATable1314192123252729[[#This Row],[Current Account]]</f>
        <v>-1590</v>
      </c>
    </row>
    <row r="13" spans="1:16" x14ac:dyDescent="0.25">
      <c r="B13" t="s">
        <v>32</v>
      </c>
      <c r="D13" s="15" t="s">
        <v>218</v>
      </c>
      <c r="E13" s="15" t="s">
        <v>226</v>
      </c>
      <c r="H13" s="11">
        <v>45623</v>
      </c>
      <c r="I13" s="13"/>
      <c r="J13" s="33">
        <v>0.28999999999999998</v>
      </c>
      <c r="K13" s="33" t="s">
        <v>73</v>
      </c>
      <c r="L13" s="12">
        <f>NVDATable1314192123252729[[#This Row],[Last Price]]-J12</f>
        <v>-2.89</v>
      </c>
      <c r="M13" s="27">
        <f>(NVDATable1314192123252729[[#This Row],[Last Price]]-$J$12)*$E$16*$D$6</f>
        <v>-1445</v>
      </c>
      <c r="N13" s="27">
        <f>P12+NVDATable1314192123252729[[#This Row],[Cum. Total]]-M12</f>
        <v>-3035</v>
      </c>
      <c r="O13" s="27">
        <v>0</v>
      </c>
      <c r="P13" s="27">
        <f>NVDATable1314192123252729[[#This Row],[Margin Payment]]+NVDATable1314192123252729[[#This Row],[Current Account]]</f>
        <v>-3035</v>
      </c>
    </row>
    <row r="14" spans="1:16" s="12" customFormat="1" x14ac:dyDescent="0.25">
      <c r="B14" t="s">
        <v>34</v>
      </c>
      <c r="C14"/>
      <c r="D14" s="15" t="s">
        <v>223</v>
      </c>
      <c r="E14" s="15" t="s">
        <v>136</v>
      </c>
      <c r="F14"/>
    </row>
    <row r="15" spans="1:16" s="12" customFormat="1" x14ac:dyDescent="0.25">
      <c r="B15" t="s">
        <v>104</v>
      </c>
      <c r="C15"/>
      <c r="D15" s="19">
        <v>500</v>
      </c>
      <c r="E15" s="19">
        <v>500</v>
      </c>
    </row>
    <row r="16" spans="1:16" x14ac:dyDescent="0.25">
      <c r="B16" t="s">
        <v>42</v>
      </c>
      <c r="D16" s="20">
        <v>0</v>
      </c>
      <c r="E16" s="20">
        <f t="shared" ref="E16" si="0">E15/$D$6</f>
        <v>5</v>
      </c>
    </row>
    <row r="17" spans="2:6" x14ac:dyDescent="0.25">
      <c r="B17" t="s">
        <v>48</v>
      </c>
      <c r="D17" s="19">
        <f>D16*J6*D6</f>
        <v>0</v>
      </c>
      <c r="E17" s="19">
        <f>D6*E16*J12</f>
        <v>1590</v>
      </c>
    </row>
    <row r="18" spans="2:6" x14ac:dyDescent="0.25">
      <c r="B18" t="s">
        <v>105</v>
      </c>
      <c r="D18" s="19">
        <v>0</v>
      </c>
      <c r="E18" s="53">
        <v>240</v>
      </c>
    </row>
    <row r="19" spans="2:6" x14ac:dyDescent="0.25">
      <c r="B19" s="56" t="s">
        <v>167</v>
      </c>
      <c r="C19" s="12"/>
      <c r="D19" s="57">
        <f>M7</f>
        <v>395999.99999999936</v>
      </c>
      <c r="E19" s="57">
        <f>M13</f>
        <v>-1445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394554.99999999936</v>
      </c>
    </row>
    <row r="21" spans="2:6" ht="15.75" thickTop="1" x14ac:dyDescent="0.25"/>
    <row r="22" spans="2:6" x14ac:dyDescent="0.25">
      <c r="B22" s="6" t="s">
        <v>160</v>
      </c>
      <c r="F22" s="66" t="s">
        <v>10</v>
      </c>
    </row>
    <row r="23" spans="2:6" x14ac:dyDescent="0.25">
      <c r="B23" t="s">
        <v>91</v>
      </c>
      <c r="C23" s="12"/>
      <c r="D23" s="23">
        <f>D15*$J$6*D6</f>
        <v>12093500</v>
      </c>
      <c r="E23" s="23">
        <f>-O12</f>
        <v>1590</v>
      </c>
      <c r="F23" s="67" t="s">
        <v>146</v>
      </c>
    </row>
    <row r="24" spans="2:6" x14ac:dyDescent="0.25">
      <c r="B24" t="s">
        <v>44</v>
      </c>
      <c r="D24" s="24" t="s">
        <v>103</v>
      </c>
      <c r="E24" s="24" t="s">
        <v>103</v>
      </c>
      <c r="F24" s="67" t="s">
        <v>147</v>
      </c>
    </row>
    <row r="25" spans="2:6" x14ac:dyDescent="0.25">
      <c r="B25" t="s">
        <v>50</v>
      </c>
      <c r="D25" s="49" t="s">
        <v>103</v>
      </c>
      <c r="E25" s="49" t="s">
        <v>103</v>
      </c>
      <c r="F25" s="67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s="67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F31AAD0A-9BBF-4CFC-A58C-2BFC4E43169C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2E4B-B84F-4676-9BE7-9A2966953895}">
  <dimension ref="A1:P33"/>
  <sheetViews>
    <sheetView showGridLines="0" zoomScale="54" zoomScaleNormal="90" workbookViewId="0">
      <pane ySplit="1" topLeftCell="A2" activePane="bottomLeft" state="frozen"/>
      <selection pane="bottomLeft" sqref="A1:P41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210</v>
      </c>
      <c r="E1" s="41" t="s">
        <v>214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136</v>
      </c>
    </row>
    <row r="4" spans="1:16" x14ac:dyDescent="0.25">
      <c r="B4" s="6" t="s">
        <v>47</v>
      </c>
      <c r="H4" s="34" t="s">
        <v>22</v>
      </c>
      <c r="I4" s="34" t="s">
        <v>209</v>
      </c>
      <c r="J4" s="34" t="s">
        <v>89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211</v>
      </c>
      <c r="H5" s="11">
        <v>45601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45602</v>
      </c>
      <c r="I6" s="13"/>
      <c r="J6" s="33">
        <v>1.98</v>
      </c>
      <c r="K6" s="33" t="s">
        <v>27</v>
      </c>
      <c r="L6" s="12">
        <f>NVDATable131820222426[[#This Row],[Last Price]]-J5</f>
        <v>1.98</v>
      </c>
      <c r="M6" s="27"/>
      <c r="N6" s="27"/>
      <c r="O6" s="27">
        <f>NVDATable131820222426[[#This Row],[Last Price]]*D6*D16</f>
        <v>990000</v>
      </c>
      <c r="P6" s="27">
        <f>NVDATable131820222426[[#This Row],[Margin Payment]]+NVDATable131820222426[[#This Row],[Current Account]]</f>
        <v>990000</v>
      </c>
    </row>
    <row r="7" spans="1:16" x14ac:dyDescent="0.25">
      <c r="B7" t="s">
        <v>157</v>
      </c>
      <c r="D7" s="18" t="s">
        <v>188</v>
      </c>
      <c r="H7" s="11">
        <v>45623</v>
      </c>
      <c r="I7" s="13"/>
      <c r="J7" s="33">
        <v>1.76</v>
      </c>
      <c r="K7" s="33" t="s">
        <v>73</v>
      </c>
      <c r="L7" s="12">
        <f>NVDATable131820222426[[#This Row],[Last Price]]-J6</f>
        <v>-0.21999999999999997</v>
      </c>
      <c r="M7" s="27">
        <f>(NVDATable131820222426[[#This Row],[Last Price]]-$J$6)*$D$16*$D$6</f>
        <v>-109999.99999999997</v>
      </c>
      <c r="N7" s="27">
        <f>P6+NVDATable131820222426[[#This Row],[Cum. Total]]-M6</f>
        <v>880000</v>
      </c>
      <c r="O7" s="27">
        <v>0</v>
      </c>
      <c r="P7" s="27">
        <f>NVDATable131820222426[[#This Row],[Margin Payment]]+NVDATable131820222426[[#This Row],[Current Account]]</f>
        <v>880000</v>
      </c>
    </row>
    <row r="8" spans="1:16" x14ac:dyDescent="0.25">
      <c r="B8" t="s">
        <v>162</v>
      </c>
      <c r="D8" s="18" t="s">
        <v>163</v>
      </c>
    </row>
    <row r="9" spans="1:16" x14ac:dyDescent="0.25">
      <c r="H9" t="s">
        <v>106</v>
      </c>
    </row>
    <row r="10" spans="1:16" x14ac:dyDescent="0.25">
      <c r="D10" s="55" t="s">
        <v>136</v>
      </c>
      <c r="E10" s="55" t="s">
        <v>106</v>
      </c>
      <c r="H10" s="34" t="s">
        <v>22</v>
      </c>
      <c r="I10" s="34" t="s">
        <v>209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45602</v>
      </c>
      <c r="E11" s="48">
        <v>45602</v>
      </c>
      <c r="H11" s="11">
        <v>45601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>
        <v>45632</v>
      </c>
      <c r="E12" s="50">
        <v>45632</v>
      </c>
      <c r="H12" s="11">
        <v>45602</v>
      </c>
      <c r="I12" s="13">
        <v>51.39</v>
      </c>
      <c r="J12" s="33">
        <v>1.07</v>
      </c>
      <c r="K12" s="33" t="s">
        <v>27</v>
      </c>
      <c r="L12" s="12">
        <f>NVDATable13141921232527[[#This Row],[Last Price]]-J11</f>
        <v>1.07</v>
      </c>
      <c r="M12" s="27"/>
      <c r="N12" s="27"/>
      <c r="O12" s="27">
        <f>NVDATable13141921232527[[#This Row],[Last Price]]*D6*-E16</f>
        <v>-535000</v>
      </c>
      <c r="P12" s="27">
        <f>NVDATable13141921232527[[#This Row],[Margin Payment]]+NVDATable13141921232527[[#This Row],[Current Account]]</f>
        <v>-535000</v>
      </c>
    </row>
    <row r="13" spans="1:16" x14ac:dyDescent="0.25">
      <c r="B13" t="s">
        <v>32</v>
      </c>
      <c r="D13" s="15" t="s">
        <v>213</v>
      </c>
      <c r="E13" s="15" t="s">
        <v>212</v>
      </c>
      <c r="H13" s="11">
        <v>45623</v>
      </c>
      <c r="I13" s="13"/>
      <c r="J13" s="33">
        <v>0.51</v>
      </c>
      <c r="K13" s="33" t="s">
        <v>73</v>
      </c>
      <c r="L13" s="12">
        <f>NVDATable13141921232527[[#This Row],[Last Price]]-J12</f>
        <v>-0.56000000000000005</v>
      </c>
      <c r="M13" s="27">
        <f>(NVDATable13141921232527[[#This Row],[Last Price]]-$J$12)*$E$16*$D$6</f>
        <v>-280000.00000000006</v>
      </c>
      <c r="N13" s="27">
        <f>P12+NVDATable13141921232527[[#This Row],[Cum. Total]]-M12</f>
        <v>-815000</v>
      </c>
      <c r="O13" s="27">
        <v>0</v>
      </c>
      <c r="P13" s="27">
        <f>NVDATable13141921232527[[#This Row],[Margin Payment]]+NVDATable13141921232527[[#This Row],[Current Account]]</f>
        <v>-815000</v>
      </c>
    </row>
    <row r="14" spans="1:16" s="12" customFormat="1" x14ac:dyDescent="0.25">
      <c r="B14" t="s">
        <v>34</v>
      </c>
      <c r="C14"/>
      <c r="D14" s="15" t="s">
        <v>136</v>
      </c>
      <c r="E14" s="15" t="s">
        <v>206</v>
      </c>
      <c r="F14"/>
    </row>
    <row r="15" spans="1:16" s="12" customFormat="1" x14ac:dyDescent="0.25">
      <c r="B15" t="s">
        <v>104</v>
      </c>
      <c r="C15"/>
      <c r="D15" s="19">
        <v>500000</v>
      </c>
      <c r="E15" s="19">
        <v>500000</v>
      </c>
    </row>
    <row r="16" spans="1:16" x14ac:dyDescent="0.25">
      <c r="B16" t="s">
        <v>42</v>
      </c>
      <c r="D16" s="20">
        <f>D15/$D$6</f>
        <v>5000</v>
      </c>
      <c r="E16" s="20">
        <f t="shared" ref="E16" si="0">E15/$D$6</f>
        <v>5000</v>
      </c>
    </row>
    <row r="17" spans="2:6" x14ac:dyDescent="0.25">
      <c r="B17" t="s">
        <v>48</v>
      </c>
      <c r="D17" s="19">
        <f>D16*J6*D6</f>
        <v>990000</v>
      </c>
      <c r="E17" s="19">
        <f>D6*E16*J12</f>
        <v>535000</v>
      </c>
    </row>
    <row r="18" spans="2:6" x14ac:dyDescent="0.25">
      <c r="B18" t="s">
        <v>105</v>
      </c>
      <c r="D18" s="19">
        <v>52</v>
      </c>
      <c r="E18" s="53">
        <v>50</v>
      </c>
    </row>
    <row r="19" spans="2:6" x14ac:dyDescent="0.25">
      <c r="B19" s="56" t="s">
        <v>167</v>
      </c>
      <c r="C19" s="12"/>
      <c r="D19" s="57">
        <f>M7</f>
        <v>-109999.99999999997</v>
      </c>
      <c r="E19" s="57">
        <f>-M13</f>
        <v>280000.00000000006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170000.00000000009</v>
      </c>
    </row>
    <row r="21" spans="2:6" ht="15.75" thickTop="1" x14ac:dyDescent="0.25"/>
    <row r="22" spans="2:6" x14ac:dyDescent="0.25">
      <c r="B22" s="6" t="s">
        <v>160</v>
      </c>
      <c r="F22" s="6" t="s">
        <v>10</v>
      </c>
    </row>
    <row r="23" spans="2:6" x14ac:dyDescent="0.25">
      <c r="B23" t="s">
        <v>91</v>
      </c>
      <c r="C23" s="12"/>
      <c r="D23" s="23">
        <f>D16*$J$6*D6</f>
        <v>990000</v>
      </c>
      <c r="E23" s="23">
        <f>-E16*$J$12*D6</f>
        <v>-535000</v>
      </c>
      <c r="F23" t="s">
        <v>146</v>
      </c>
    </row>
    <row r="24" spans="2:6" x14ac:dyDescent="0.25">
      <c r="B24" t="s">
        <v>44</v>
      </c>
      <c r="D24" s="24" t="s">
        <v>103</v>
      </c>
      <c r="E24" s="52">
        <f>J12+0.2*I12- (I12-E18)</f>
        <v>9.9580000000000002</v>
      </c>
      <c r="F24" t="s">
        <v>147</v>
      </c>
    </row>
    <row r="25" spans="2:6" x14ac:dyDescent="0.25">
      <c r="B25" t="s">
        <v>50</v>
      </c>
      <c r="D25" s="49" t="s">
        <v>103</v>
      </c>
      <c r="E25" s="49">
        <f>E24*E15</f>
        <v>4979000</v>
      </c>
      <c r="F25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53494AC9-CBFC-44E4-92CD-6D3B52E1477D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5FD4-A62C-458E-BEA8-A3562D7EFFC9}">
  <dimension ref="A1:P33"/>
  <sheetViews>
    <sheetView showGridLines="0" zoomScale="31" zoomScaleNormal="90" workbookViewId="0">
      <pane ySplit="1" topLeftCell="A2" activePane="bottomLeft" state="frozen"/>
      <selection pane="bottomLeft" sqref="A1:P37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201</v>
      </c>
      <c r="E1" s="41" t="s">
        <v>204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136</v>
      </c>
    </row>
    <row r="4" spans="1:16" x14ac:dyDescent="0.25">
      <c r="B4" s="6" t="s">
        <v>47</v>
      </c>
      <c r="H4" s="34" t="s">
        <v>22</v>
      </c>
      <c r="I4" s="34" t="s">
        <v>205</v>
      </c>
      <c r="J4" s="34" t="s">
        <v>89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203</v>
      </c>
      <c r="H5" s="11">
        <v>45601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45602</v>
      </c>
      <c r="I6" s="13"/>
      <c r="J6" s="33">
        <v>5.85</v>
      </c>
      <c r="K6" s="33" t="s">
        <v>27</v>
      </c>
      <c r="L6" s="12">
        <f>NVDATable1318202224[[#This Row],[Last Price]]-J5</f>
        <v>5.85</v>
      </c>
      <c r="M6" s="27"/>
      <c r="N6" s="27"/>
      <c r="O6" s="27">
        <f>NVDATable1318202224[[#This Row],[Last Price]]*D6*D16</f>
        <v>1462500</v>
      </c>
      <c r="P6" s="27">
        <f>NVDATable1318202224[[#This Row],[Margin Payment]]+NVDATable1318202224[[#This Row],[Current Account]]</f>
        <v>1462500</v>
      </c>
    </row>
    <row r="7" spans="1:16" x14ac:dyDescent="0.25">
      <c r="B7" t="s">
        <v>157</v>
      </c>
      <c r="D7" s="18" t="s">
        <v>188</v>
      </c>
      <c r="H7" s="11">
        <v>45608</v>
      </c>
      <c r="I7" s="13"/>
      <c r="J7" s="33">
        <v>6.96</v>
      </c>
      <c r="K7" s="33" t="s">
        <v>73</v>
      </c>
      <c r="L7" s="12">
        <f>NVDATable1318202224[[#This Row],[Last Price]]-J6</f>
        <v>1.1100000000000003</v>
      </c>
      <c r="M7" s="27">
        <f>(NVDATable1318202224[[#This Row],[Last Price]]-$J$6)*$D$16*$D$6</f>
        <v>277500.00000000012</v>
      </c>
      <c r="N7" s="27">
        <f>P6+NVDATable1318202224[[#This Row],[Cum. Total]]-M6</f>
        <v>1740000</v>
      </c>
      <c r="O7" s="27">
        <v>0</v>
      </c>
      <c r="P7" s="27">
        <f>NVDATable1318202224[[#This Row],[Margin Payment]]+NVDATable1318202224[[#This Row],[Current Account]]</f>
        <v>1740000</v>
      </c>
    </row>
    <row r="8" spans="1:16" x14ac:dyDescent="0.25">
      <c r="B8" t="s">
        <v>162</v>
      </c>
      <c r="D8" s="18" t="s">
        <v>163</v>
      </c>
    </row>
    <row r="9" spans="1:16" x14ac:dyDescent="0.25">
      <c r="H9" t="s">
        <v>106</v>
      </c>
    </row>
    <row r="10" spans="1:16" x14ac:dyDescent="0.25">
      <c r="D10" s="55" t="s">
        <v>136</v>
      </c>
      <c r="E10" s="55" t="s">
        <v>106</v>
      </c>
      <c r="H10" s="34" t="s">
        <v>22</v>
      </c>
      <c r="I10" s="34" t="s">
        <v>205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45602</v>
      </c>
      <c r="E11" s="48">
        <v>45602</v>
      </c>
      <c r="H11" s="11">
        <v>45601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>
        <v>45646</v>
      </c>
      <c r="E12" s="50">
        <v>45646</v>
      </c>
      <c r="H12" s="11">
        <v>45602</v>
      </c>
      <c r="I12" s="13">
        <v>157.72</v>
      </c>
      <c r="J12" s="33">
        <v>3.23</v>
      </c>
      <c r="K12" s="33" t="s">
        <v>27</v>
      </c>
      <c r="L12" s="12">
        <f>NVDATable131419212325[[#This Row],[Last Price]]-J11</f>
        <v>3.23</v>
      </c>
      <c r="M12" s="27"/>
      <c r="N12" s="27"/>
      <c r="O12" s="27">
        <f>NVDATable131419212325[[#This Row],[Last Price]]*D6*-E16</f>
        <v>-807500</v>
      </c>
      <c r="P12" s="27">
        <f>NVDATable131419212325[[#This Row],[Margin Payment]]+NVDATable131419212325[[#This Row],[Current Account]]</f>
        <v>-807500</v>
      </c>
    </row>
    <row r="13" spans="1:16" x14ac:dyDescent="0.25">
      <c r="B13" t="s">
        <v>32</v>
      </c>
      <c r="D13" s="15" t="s">
        <v>208</v>
      </c>
      <c r="E13" s="15" t="s">
        <v>207</v>
      </c>
      <c r="H13" s="11">
        <v>45608</v>
      </c>
      <c r="I13" s="13"/>
      <c r="J13" s="33">
        <v>3.6</v>
      </c>
      <c r="K13" s="33" t="s">
        <v>73</v>
      </c>
      <c r="L13" s="12">
        <f>NVDATable131419212325[[#This Row],[Last Price]]-J12</f>
        <v>0.37000000000000011</v>
      </c>
      <c r="M13" s="27">
        <f>(NVDATable131419212325[[#This Row],[Last Price]]-$J$12)*$E$16*$D$6</f>
        <v>92500.000000000029</v>
      </c>
      <c r="N13" s="27">
        <f>P12+NVDATable131419212325[[#This Row],[Cum. Total]]-M12</f>
        <v>-715000</v>
      </c>
      <c r="O13" s="27">
        <v>0</v>
      </c>
      <c r="P13" s="27">
        <f>NVDATable131419212325[[#This Row],[Margin Payment]]+NVDATable131419212325[[#This Row],[Current Account]]</f>
        <v>-715000</v>
      </c>
    </row>
    <row r="14" spans="1:16" s="12" customFormat="1" x14ac:dyDescent="0.25">
      <c r="B14" t="s">
        <v>34</v>
      </c>
      <c r="C14"/>
      <c r="D14" s="15" t="s">
        <v>136</v>
      </c>
      <c r="E14" s="15" t="s">
        <v>106</v>
      </c>
      <c r="F14"/>
    </row>
    <row r="15" spans="1:16" s="12" customFormat="1" x14ac:dyDescent="0.25">
      <c r="B15" t="s">
        <v>104</v>
      </c>
      <c r="C15"/>
      <c r="D15" s="19">
        <v>250000</v>
      </c>
      <c r="E15" s="19">
        <v>250000</v>
      </c>
    </row>
    <row r="16" spans="1:16" x14ac:dyDescent="0.25">
      <c r="B16" t="s">
        <v>42</v>
      </c>
      <c r="D16" s="20">
        <f>D15/$D$6</f>
        <v>2500</v>
      </c>
      <c r="E16" s="20">
        <f t="shared" ref="E16" si="0">E15/$D$6</f>
        <v>2500</v>
      </c>
    </row>
    <row r="17" spans="2:6" x14ac:dyDescent="0.25">
      <c r="B17" t="s">
        <v>48</v>
      </c>
      <c r="D17" s="19">
        <f>D16*J6*D6</f>
        <v>1462500</v>
      </c>
      <c r="E17" s="19">
        <f>D6*E16*J12</f>
        <v>807500</v>
      </c>
    </row>
    <row r="18" spans="2:6" x14ac:dyDescent="0.25">
      <c r="B18" t="s">
        <v>105</v>
      </c>
      <c r="D18" s="19">
        <v>160</v>
      </c>
      <c r="E18" s="53">
        <v>155</v>
      </c>
    </row>
    <row r="19" spans="2:6" x14ac:dyDescent="0.25">
      <c r="B19" s="56" t="s">
        <v>167</v>
      </c>
      <c r="C19" s="12"/>
      <c r="D19" s="57">
        <f>M7</f>
        <v>277500.00000000012</v>
      </c>
      <c r="E19" s="57">
        <f>-M13</f>
        <v>-92500.000000000029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185000.00000000009</v>
      </c>
    </row>
    <row r="21" spans="2:6" ht="15.75" thickTop="1" x14ac:dyDescent="0.25"/>
    <row r="22" spans="2:6" x14ac:dyDescent="0.25">
      <c r="B22" s="6" t="s">
        <v>160</v>
      </c>
      <c r="F22" s="6" t="s">
        <v>10</v>
      </c>
    </row>
    <row r="23" spans="2:6" x14ac:dyDescent="0.25">
      <c r="B23" t="s">
        <v>91</v>
      </c>
      <c r="C23" s="12"/>
      <c r="D23" s="23">
        <f>D16*$J$6*D6</f>
        <v>1462500</v>
      </c>
      <c r="E23" s="23">
        <f>-E16*$J$12*D6</f>
        <v>-807500</v>
      </c>
      <c r="F23" t="s">
        <v>146</v>
      </c>
    </row>
    <row r="24" spans="2:6" x14ac:dyDescent="0.25">
      <c r="B24" t="s">
        <v>44</v>
      </c>
      <c r="D24" s="24" t="s">
        <v>103</v>
      </c>
      <c r="E24" s="52">
        <f>J12+0.2*I12- (I12-E18)</f>
        <v>32.054000000000002</v>
      </c>
      <c r="F24" t="s">
        <v>147</v>
      </c>
    </row>
    <row r="25" spans="2:6" x14ac:dyDescent="0.25">
      <c r="B25" t="s">
        <v>50</v>
      </c>
      <c r="D25" s="49" t="s">
        <v>103</v>
      </c>
      <c r="E25" s="49">
        <f>E24*E15</f>
        <v>8013500.0000000009</v>
      </c>
      <c r="F25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DEFF6380-8CE3-4327-8BC7-011E90A0B84E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A911-5C0E-4E17-A1B2-3B0329EBB436}">
  <dimension ref="A1:P33"/>
  <sheetViews>
    <sheetView showGridLines="0" topLeftCell="E1" zoomScale="90" zoomScaleNormal="90" workbookViewId="0">
      <pane ySplit="1" topLeftCell="A2" activePane="bottomLeft" state="frozen"/>
      <selection pane="bottomLeft" activeCell="O20" sqref="O20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201</v>
      </c>
      <c r="E1" s="41" t="s">
        <v>202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136</v>
      </c>
    </row>
    <row r="4" spans="1:16" x14ac:dyDescent="0.25">
      <c r="B4" s="6" t="s">
        <v>47</v>
      </c>
      <c r="H4" s="34" t="s">
        <v>22</v>
      </c>
      <c r="I4" s="34" t="s">
        <v>197</v>
      </c>
      <c r="J4" s="34" t="s">
        <v>89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196</v>
      </c>
      <c r="H5" s="11">
        <v>45601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45602</v>
      </c>
      <c r="I6" s="13"/>
      <c r="J6" s="33">
        <v>4.1500000000000004</v>
      </c>
      <c r="K6" s="33" t="s">
        <v>27</v>
      </c>
      <c r="L6" s="12">
        <f>NVDATable13182022[[#This Row],[Last Price]]-J5</f>
        <v>4.1500000000000004</v>
      </c>
      <c r="M6" s="27"/>
      <c r="N6" s="27"/>
      <c r="O6" s="27">
        <f>NVDATable13182022[[#This Row],[Last Price]]*D6*D16</f>
        <v>830000.00000000012</v>
      </c>
      <c r="P6" s="27">
        <f>NVDATable13182022[[#This Row],[Margin Payment]]+NVDATable13182022[[#This Row],[Current Account]]</f>
        <v>830000.00000000012</v>
      </c>
    </row>
    <row r="7" spans="1:16" x14ac:dyDescent="0.25">
      <c r="B7" t="s">
        <v>157</v>
      </c>
      <c r="D7" s="18" t="s">
        <v>188</v>
      </c>
      <c r="H7" s="11">
        <v>45623</v>
      </c>
      <c r="I7" s="13"/>
      <c r="J7" s="33">
        <v>3.6</v>
      </c>
      <c r="K7" s="33" t="s">
        <v>73</v>
      </c>
      <c r="L7" s="12">
        <f>NVDATable13182022[[#This Row],[Last Price]]-J6</f>
        <v>-0.55000000000000027</v>
      </c>
      <c r="M7" s="27">
        <f>(NVDATable13182022[[#This Row],[Last Price]]-$J$6)*$D$16*$D$6</f>
        <v>-110000.00000000004</v>
      </c>
      <c r="N7" s="27">
        <f>P6+NVDATable13182022[[#This Row],[Cum. Total]]-M6</f>
        <v>720000.00000000012</v>
      </c>
      <c r="O7" s="27">
        <v>0</v>
      </c>
      <c r="P7" s="27">
        <f>NVDATable13182022[[#This Row],[Margin Payment]]+NVDATable13182022[[#This Row],[Current Account]]</f>
        <v>720000.00000000012</v>
      </c>
    </row>
    <row r="8" spans="1:16" x14ac:dyDescent="0.25">
      <c r="B8" t="s">
        <v>162</v>
      </c>
      <c r="D8" s="18" t="s">
        <v>163</v>
      </c>
    </row>
    <row r="9" spans="1:16" x14ac:dyDescent="0.25">
      <c r="H9" t="s">
        <v>106</v>
      </c>
    </row>
    <row r="10" spans="1:16" x14ac:dyDescent="0.25">
      <c r="D10" s="55" t="s">
        <v>136</v>
      </c>
      <c r="E10" s="55" t="s">
        <v>106</v>
      </c>
      <c r="H10" s="34" t="s">
        <v>22</v>
      </c>
      <c r="I10" s="34" t="s">
        <v>197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45602</v>
      </c>
      <c r="E11" s="48">
        <v>45602</v>
      </c>
      <c r="H11" s="11">
        <v>45601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>
        <v>45639</v>
      </c>
      <c r="E12" s="50">
        <v>45639</v>
      </c>
      <c r="H12" s="11">
        <v>45602</v>
      </c>
      <c r="I12" s="13">
        <v>121</v>
      </c>
      <c r="J12" s="33">
        <v>1.62</v>
      </c>
      <c r="K12" s="33" t="s">
        <v>27</v>
      </c>
      <c r="L12" s="12">
        <f>NVDATable1314192123[[#This Row],[Last Price]]-J11</f>
        <v>1.62</v>
      </c>
      <c r="M12" s="27"/>
      <c r="N12" s="27"/>
      <c r="O12" s="27">
        <f>NVDATable1314192123[[#This Row],[Last Price]]*D6*-E16</f>
        <v>-324000</v>
      </c>
      <c r="P12" s="27">
        <f>NVDATable1314192123[[#This Row],[Margin Payment]]+NVDATable1314192123[[#This Row],[Current Account]]</f>
        <v>-324000</v>
      </c>
    </row>
    <row r="13" spans="1:16" x14ac:dyDescent="0.25">
      <c r="B13" t="s">
        <v>32</v>
      </c>
      <c r="D13" s="15" t="s">
        <v>199</v>
      </c>
      <c r="E13" s="15" t="s">
        <v>198</v>
      </c>
      <c r="H13" s="11">
        <v>45623</v>
      </c>
      <c r="I13" s="13"/>
      <c r="J13" s="33">
        <v>1.6</v>
      </c>
      <c r="K13" s="33" t="s">
        <v>73</v>
      </c>
      <c r="L13" s="12">
        <f>NVDATable1314192123[[#This Row],[Last Price]]-J12</f>
        <v>-2.0000000000000018E-2</v>
      </c>
      <c r="M13" s="27">
        <f>(NVDATable1314192123[[#This Row],[Last Price]]-$J$12)*$E$16*$D$6</f>
        <v>-4000.0000000000036</v>
      </c>
      <c r="N13" s="27">
        <f>P12+NVDATable1314192123[[#This Row],[Cum. Total]]-M12</f>
        <v>-328000</v>
      </c>
      <c r="O13" s="27">
        <v>0</v>
      </c>
      <c r="P13" s="27">
        <f>NVDATable1314192123[[#This Row],[Margin Payment]]+NVDATable1314192123[[#This Row],[Current Account]]</f>
        <v>-328000</v>
      </c>
    </row>
    <row r="14" spans="1:16" s="12" customFormat="1" x14ac:dyDescent="0.25">
      <c r="B14" t="s">
        <v>34</v>
      </c>
      <c r="C14"/>
      <c r="D14" s="15" t="s">
        <v>136</v>
      </c>
      <c r="E14" s="15" t="s">
        <v>206</v>
      </c>
      <c r="F14"/>
    </row>
    <row r="15" spans="1:16" s="12" customFormat="1" x14ac:dyDescent="0.25">
      <c r="B15" t="s">
        <v>104</v>
      </c>
      <c r="C15"/>
      <c r="D15" s="19">
        <v>200000</v>
      </c>
      <c r="E15" s="19">
        <v>200000</v>
      </c>
    </row>
    <row r="16" spans="1:16" x14ac:dyDescent="0.25">
      <c r="B16" t="s">
        <v>42</v>
      </c>
      <c r="D16" s="20">
        <f>D15/$D$6</f>
        <v>2000</v>
      </c>
      <c r="E16" s="20">
        <f t="shared" ref="E16" si="0">E15/$D$6</f>
        <v>2000</v>
      </c>
    </row>
    <row r="17" spans="2:6" x14ac:dyDescent="0.25">
      <c r="B17" t="s">
        <v>48</v>
      </c>
      <c r="D17" s="19">
        <f>D16*J6*D6</f>
        <v>830000</v>
      </c>
      <c r="E17" s="19">
        <f>D6*E16*J12</f>
        <v>324000</v>
      </c>
    </row>
    <row r="18" spans="2:6" x14ac:dyDescent="0.25">
      <c r="B18" t="s">
        <v>105</v>
      </c>
      <c r="D18" s="19">
        <v>122</v>
      </c>
      <c r="E18" s="19">
        <v>117</v>
      </c>
    </row>
    <row r="19" spans="2:6" x14ac:dyDescent="0.25">
      <c r="B19" s="56" t="s">
        <v>167</v>
      </c>
      <c r="C19" s="12"/>
      <c r="D19" s="57">
        <f>M7</f>
        <v>-110000.00000000004</v>
      </c>
      <c r="E19" s="57">
        <f>-M13</f>
        <v>4000.0000000000036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-106000.00000000004</v>
      </c>
    </row>
    <row r="21" spans="2:6" ht="15.75" thickTop="1" x14ac:dyDescent="0.25"/>
    <row r="22" spans="2:6" x14ac:dyDescent="0.25">
      <c r="B22" s="6" t="s">
        <v>160</v>
      </c>
      <c r="F22" s="6" t="s">
        <v>10</v>
      </c>
    </row>
    <row r="23" spans="2:6" x14ac:dyDescent="0.25">
      <c r="B23" t="s">
        <v>91</v>
      </c>
      <c r="C23" s="12"/>
      <c r="D23" s="23">
        <f>D16*$J$6*D6</f>
        <v>830000</v>
      </c>
      <c r="E23" s="23">
        <f>-E16*$J$12*D6</f>
        <v>-324000</v>
      </c>
      <c r="F23" t="s">
        <v>146</v>
      </c>
    </row>
    <row r="24" spans="2:6" x14ac:dyDescent="0.25">
      <c r="B24" t="s">
        <v>44</v>
      </c>
      <c r="D24" s="24" t="s">
        <v>103</v>
      </c>
      <c r="E24" s="52">
        <f>J12+0.2*I12- (I12-E18)</f>
        <v>21.820000000000004</v>
      </c>
      <c r="F24" t="s">
        <v>147</v>
      </c>
    </row>
    <row r="25" spans="2:6" x14ac:dyDescent="0.25">
      <c r="B25" t="s">
        <v>50</v>
      </c>
      <c r="D25" s="49" t="s">
        <v>103</v>
      </c>
      <c r="E25" s="49">
        <f>E24*E15</f>
        <v>4364000.0000000009</v>
      </c>
      <c r="F25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EFB6AB04-FAB9-4089-B86F-F67ECBA39F2E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EA8D-8DB1-457C-8282-22C386313FDA}">
  <dimension ref="A1:P33"/>
  <sheetViews>
    <sheetView showGridLines="0" topLeftCell="E1" zoomScale="90" zoomScaleNormal="90" workbookViewId="0">
      <pane ySplit="1" topLeftCell="A2" activePane="bottomLeft" state="frozen"/>
      <selection pane="bottomLeft" activeCell="M27" sqref="M27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193</v>
      </c>
      <c r="E1" s="41" t="s">
        <v>194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87</v>
      </c>
    </row>
    <row r="4" spans="1:16" x14ac:dyDescent="0.25">
      <c r="B4" s="6" t="s">
        <v>47</v>
      </c>
      <c r="H4" s="34" t="s">
        <v>22</v>
      </c>
      <c r="I4" s="34" t="s">
        <v>172</v>
      </c>
      <c r="J4" s="34" t="s">
        <v>89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192</v>
      </c>
      <c r="H5" s="11">
        <v>45597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45600</v>
      </c>
      <c r="I6" s="13"/>
      <c r="J6" s="33">
        <v>4.0999999999999996</v>
      </c>
      <c r="K6" s="33" t="s">
        <v>27</v>
      </c>
      <c r="L6" s="12">
        <f>NVDATable131820[[#This Row],[Last Price]]-J5</f>
        <v>4.0999999999999996</v>
      </c>
      <c r="M6" s="27"/>
      <c r="N6" s="27"/>
      <c r="O6" s="27">
        <f>NVDATable131820[[#This Row],[Last Price]]*D6*D16</f>
        <v>327999.99999999994</v>
      </c>
      <c r="P6" s="27">
        <f>NVDATable131820[[#This Row],[Margin Payment]]+NVDATable131820[[#This Row],[Current Account]]</f>
        <v>327999.99999999994</v>
      </c>
    </row>
    <row r="7" spans="1:16" x14ac:dyDescent="0.25">
      <c r="B7" t="s">
        <v>157</v>
      </c>
      <c r="D7" s="18" t="s">
        <v>158</v>
      </c>
      <c r="H7" s="11">
        <v>45608</v>
      </c>
      <c r="I7" s="13"/>
      <c r="J7" s="33">
        <v>4</v>
      </c>
      <c r="K7" s="33" t="s">
        <v>73</v>
      </c>
      <c r="L7" s="12">
        <f>NVDATable131820[[#This Row],[Last Price]]-J6</f>
        <v>-9.9999999999999645E-2</v>
      </c>
      <c r="M7" s="27">
        <f>(NVDATable131820[[#This Row],[Last Price]]-$J$6)*$D$16*$D$6</f>
        <v>-7999.9999999999718</v>
      </c>
      <c r="N7" s="27">
        <f>P6+NVDATable131820[[#This Row],[Cum. Total]]-M6</f>
        <v>319999.99999999994</v>
      </c>
      <c r="O7" s="27">
        <v>0</v>
      </c>
      <c r="P7" s="27">
        <f>NVDATable131820[[#This Row],[Margin Payment]]+NVDATable131820[[#This Row],[Current Account]]</f>
        <v>319999.99999999994</v>
      </c>
    </row>
    <row r="8" spans="1:16" x14ac:dyDescent="0.25">
      <c r="B8" t="s">
        <v>162</v>
      </c>
      <c r="D8" s="18" t="s">
        <v>163</v>
      </c>
    </row>
    <row r="9" spans="1:16" x14ac:dyDescent="0.25">
      <c r="H9" t="s">
        <v>159</v>
      </c>
    </row>
    <row r="10" spans="1:16" x14ac:dyDescent="0.25">
      <c r="D10" s="55" t="s">
        <v>87</v>
      </c>
      <c r="E10" s="55" t="s">
        <v>159</v>
      </c>
      <c r="H10" s="34" t="s">
        <v>22</v>
      </c>
      <c r="I10" s="34" t="s">
        <v>172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45600</v>
      </c>
      <c r="E11" s="48">
        <v>45600</v>
      </c>
      <c r="H11" s="11">
        <v>45597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>
        <v>45674</v>
      </c>
      <c r="E12" s="50">
        <v>45611</v>
      </c>
      <c r="H12" s="11">
        <v>45600</v>
      </c>
      <c r="I12" s="13">
        <v>34.340000000000003</v>
      </c>
      <c r="J12" s="33">
        <v>2.29</v>
      </c>
      <c r="K12" s="33" t="s">
        <v>27</v>
      </c>
      <c r="L12" s="12">
        <f>NVDATable13141921[[#This Row],[Last Price]]-J11</f>
        <v>2.29</v>
      </c>
      <c r="M12" s="27"/>
      <c r="N12" s="27"/>
      <c r="O12" s="27">
        <f>NVDATable13141921[[#This Row],[Last Price]]*D6*-E16</f>
        <v>-183200</v>
      </c>
      <c r="P12" s="27">
        <f>NVDATable13141921[[#This Row],[Margin Payment]]+NVDATable13141921[[#This Row],[Current Account]]</f>
        <v>-183200</v>
      </c>
    </row>
    <row r="13" spans="1:16" x14ac:dyDescent="0.25">
      <c r="B13" t="s">
        <v>32</v>
      </c>
      <c r="D13" s="15" t="s">
        <v>184</v>
      </c>
      <c r="E13" s="15" t="s">
        <v>183</v>
      </c>
      <c r="H13" s="11">
        <v>45608</v>
      </c>
      <c r="I13" s="13"/>
      <c r="J13" s="33">
        <v>0.65</v>
      </c>
      <c r="K13" s="33" t="s">
        <v>73</v>
      </c>
      <c r="L13" s="12">
        <f>NVDATable13141921[[#This Row],[Last Price]]-J12</f>
        <v>-1.6400000000000001</v>
      </c>
      <c r="M13" s="27">
        <f>(NVDATable13141921[[#This Row],[Last Price]]-$J$12)*$E$16*$D$6</f>
        <v>-131200</v>
      </c>
      <c r="N13" s="27">
        <f>P12+NVDATable13141921[[#This Row],[Cum. Total]]-M12</f>
        <v>-314400</v>
      </c>
      <c r="O13" s="27">
        <v>0</v>
      </c>
      <c r="P13" s="27">
        <f>NVDATable13141921[[#This Row],[Margin Payment]]+NVDATable13141921[[#This Row],[Current Account]]</f>
        <v>-314400</v>
      </c>
    </row>
    <row r="14" spans="1:16" s="12" customFormat="1" x14ac:dyDescent="0.25">
      <c r="B14" t="s">
        <v>34</v>
      </c>
      <c r="C14"/>
      <c r="D14" s="15" t="s">
        <v>87</v>
      </c>
      <c r="E14" s="15" t="s">
        <v>159</v>
      </c>
      <c r="F14"/>
    </row>
    <row r="15" spans="1:16" s="12" customFormat="1" x14ac:dyDescent="0.25">
      <c r="B15" t="s">
        <v>104</v>
      </c>
      <c r="C15"/>
      <c r="D15" s="19">
        <v>80000</v>
      </c>
      <c r="E15" s="19">
        <v>80000</v>
      </c>
    </row>
    <row r="16" spans="1:16" x14ac:dyDescent="0.25">
      <c r="B16" t="s">
        <v>42</v>
      </c>
      <c r="D16" s="20">
        <f>D15/$D$6</f>
        <v>800</v>
      </c>
      <c r="E16" s="20">
        <f t="shared" ref="E16" si="0">E15/$D$6</f>
        <v>800</v>
      </c>
    </row>
    <row r="17" spans="2:6" x14ac:dyDescent="0.25">
      <c r="B17" t="s">
        <v>48</v>
      </c>
      <c r="D17" s="19">
        <f>D16*J6*D6</f>
        <v>327999.99999999994</v>
      </c>
      <c r="E17" s="19">
        <f>D6*E16*J12</f>
        <v>183200</v>
      </c>
    </row>
    <row r="18" spans="2:6" x14ac:dyDescent="0.25">
      <c r="B18" t="s">
        <v>105</v>
      </c>
      <c r="D18" s="19">
        <v>135</v>
      </c>
      <c r="E18" s="19">
        <v>135</v>
      </c>
    </row>
    <row r="19" spans="2:6" x14ac:dyDescent="0.25">
      <c r="B19" s="56" t="s">
        <v>167</v>
      </c>
      <c r="C19" s="12"/>
      <c r="D19" s="57">
        <f>M7</f>
        <v>-7999.9999999999718</v>
      </c>
      <c r="E19" s="57">
        <f>-M13</f>
        <v>131200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123200.00000000003</v>
      </c>
    </row>
    <row r="21" spans="2:6" ht="15.75" thickTop="1" x14ac:dyDescent="0.25"/>
    <row r="22" spans="2:6" x14ac:dyDescent="0.25">
      <c r="B22" s="6" t="s">
        <v>160</v>
      </c>
      <c r="F22" s="6" t="s">
        <v>10</v>
      </c>
    </row>
    <row r="23" spans="2:6" x14ac:dyDescent="0.25">
      <c r="B23" t="s">
        <v>91</v>
      </c>
      <c r="C23" s="12"/>
      <c r="D23" s="23">
        <f>D16*$J$6*D6</f>
        <v>327999.99999999994</v>
      </c>
      <c r="E23" s="23">
        <f>-E16*$J$12*D6</f>
        <v>-183200</v>
      </c>
      <c r="F23" t="s">
        <v>146</v>
      </c>
    </row>
    <row r="24" spans="2:6" x14ac:dyDescent="0.25">
      <c r="B24" t="s">
        <v>44</v>
      </c>
      <c r="D24" s="24" t="s">
        <v>103</v>
      </c>
      <c r="E24" s="52">
        <f>J12+0.2*I12- (I12-E18)</f>
        <v>109.818</v>
      </c>
      <c r="F24" t="s">
        <v>147</v>
      </c>
    </row>
    <row r="25" spans="2:6" x14ac:dyDescent="0.25">
      <c r="B25" t="s">
        <v>50</v>
      </c>
      <c r="D25" s="49" t="s">
        <v>103</v>
      </c>
      <c r="E25" s="49">
        <f>E24*E15</f>
        <v>8785440</v>
      </c>
      <c r="F25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4E9BD4B2-8AEC-4F37-9ED9-B66E02F2C11E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9E2C-B0CE-4126-892D-17D246A87CC7}">
  <dimension ref="A1:P33"/>
  <sheetViews>
    <sheetView showGridLines="0" topLeftCell="E1" zoomScale="90" zoomScaleNormal="90" workbookViewId="0">
      <pane ySplit="1" topLeftCell="A2" activePane="bottomLeft" state="frozen"/>
      <selection pane="bottomLeft" activeCell="P31" sqref="P31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195</v>
      </c>
      <c r="E1" s="41" t="s">
        <v>178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87</v>
      </c>
    </row>
    <row r="4" spans="1:16" x14ac:dyDescent="0.25">
      <c r="B4" s="6" t="s">
        <v>47</v>
      </c>
      <c r="H4" s="34" t="s">
        <v>22</v>
      </c>
      <c r="I4" s="34" t="s">
        <v>171</v>
      </c>
      <c r="J4" s="34" t="s">
        <v>89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191</v>
      </c>
      <c r="H5" s="11">
        <v>45597</v>
      </c>
      <c r="I5" s="13"/>
      <c r="J5" s="33">
        <v>0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45600</v>
      </c>
      <c r="I6" s="13"/>
      <c r="J6" s="33">
        <v>14.1</v>
      </c>
      <c r="K6" s="33" t="s">
        <v>27</v>
      </c>
      <c r="L6" s="12">
        <f>NVDATable1318[[#This Row],[Last Price]]-J5</f>
        <v>14.1</v>
      </c>
      <c r="M6" s="27"/>
      <c r="N6" s="27"/>
      <c r="O6" s="27">
        <f>NVDATable1318[[#This Row],[Last Price]]*D6*D16</f>
        <v>11280000</v>
      </c>
      <c r="P6" s="27">
        <f>NVDATable1318[[#This Row],[Margin Payment]]+NVDATable1318[[#This Row],[Current Account]]</f>
        <v>11280000</v>
      </c>
    </row>
    <row r="7" spans="1:16" x14ac:dyDescent="0.25">
      <c r="B7" t="s">
        <v>157</v>
      </c>
      <c r="D7" s="18" t="s">
        <v>158</v>
      </c>
      <c r="H7" s="11">
        <v>45614</v>
      </c>
      <c r="I7" s="13"/>
      <c r="J7" s="33">
        <v>8.6</v>
      </c>
      <c r="K7" s="33" t="s">
        <v>73</v>
      </c>
      <c r="L7" s="12">
        <f>NVDATable1318[[#This Row],[Last Price]]-J6</f>
        <v>-5.5</v>
      </c>
      <c r="M7" s="27">
        <f>(NVDATable1318[[#This Row],[Last Price]]-$J$6)*$D$16*$D$6</f>
        <v>-4400000</v>
      </c>
      <c r="N7" s="27">
        <f>P6+NVDATable1318[[#This Row],[Cum. Total]]-M6</f>
        <v>6880000</v>
      </c>
      <c r="O7" s="27">
        <v>0</v>
      </c>
      <c r="P7" s="27">
        <f>NVDATable1318[[#This Row],[Margin Payment]]+NVDATable1318[[#This Row],[Current Account]]</f>
        <v>6880000</v>
      </c>
    </row>
    <row r="8" spans="1:16" x14ac:dyDescent="0.25">
      <c r="B8" t="s">
        <v>162</v>
      </c>
      <c r="D8" s="18" t="s">
        <v>163</v>
      </c>
    </row>
    <row r="9" spans="1:16" x14ac:dyDescent="0.25">
      <c r="H9" t="s">
        <v>159</v>
      </c>
    </row>
    <row r="10" spans="1:16" x14ac:dyDescent="0.25">
      <c r="D10" s="55" t="s">
        <v>87</v>
      </c>
      <c r="E10" s="55" t="s">
        <v>159</v>
      </c>
      <c r="H10" s="34" t="s">
        <v>22</v>
      </c>
      <c r="I10" s="34" t="s">
        <v>171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45600</v>
      </c>
      <c r="E11" s="48">
        <v>45600</v>
      </c>
      <c r="H11" s="11">
        <v>45597</v>
      </c>
      <c r="I11" s="13"/>
      <c r="J11" s="33">
        <v>0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>
        <v>45674</v>
      </c>
      <c r="E12" s="50">
        <v>45625</v>
      </c>
      <c r="H12" s="11">
        <v>45600</v>
      </c>
      <c r="I12" s="13">
        <v>34.340000000000003</v>
      </c>
      <c r="J12" s="33">
        <v>11.77</v>
      </c>
      <c r="K12" s="33" t="s">
        <v>27</v>
      </c>
      <c r="L12" s="12">
        <f>NVDATable131419[[#This Row],[Last Price]]-J11</f>
        <v>11.77</v>
      </c>
      <c r="M12" s="27"/>
      <c r="N12" s="27"/>
      <c r="O12" s="27">
        <f>NVDATable131419[[#This Row],[Last Price]]*D6*-E16</f>
        <v>-9416000</v>
      </c>
      <c r="P12" s="27">
        <f>NVDATable131419[[#This Row],[Margin Payment]]+NVDATable131419[[#This Row],[Current Account]]</f>
        <v>-9416000</v>
      </c>
    </row>
    <row r="13" spans="1:16" x14ac:dyDescent="0.25">
      <c r="B13" t="s">
        <v>32</v>
      </c>
      <c r="D13" s="15" t="s">
        <v>181</v>
      </c>
      <c r="E13" s="15" t="s">
        <v>180</v>
      </c>
      <c r="H13" s="11">
        <v>45614</v>
      </c>
      <c r="I13" s="13"/>
      <c r="J13" s="33">
        <v>4.8</v>
      </c>
      <c r="K13" s="33" t="s">
        <v>73</v>
      </c>
      <c r="L13" s="12">
        <f>NVDATable131419[[#This Row],[Last Price]]-J12</f>
        <v>-6.97</v>
      </c>
      <c r="M13" s="27">
        <f>(NVDATable131419[[#This Row],[Last Price]]-$J$12)*$E$16*$D$6</f>
        <v>-5576000</v>
      </c>
      <c r="N13" s="27">
        <f>P12+NVDATable131419[[#This Row],[Cum. Total]]-M12</f>
        <v>-14992000</v>
      </c>
      <c r="O13" s="27">
        <v>0</v>
      </c>
      <c r="P13" s="27">
        <f>NVDATable131419[[#This Row],[Margin Payment]]+NVDATable131419[[#This Row],[Current Account]]</f>
        <v>-14992000</v>
      </c>
    </row>
    <row r="14" spans="1:16" s="12" customFormat="1" x14ac:dyDescent="0.25">
      <c r="B14" t="s">
        <v>34</v>
      </c>
      <c r="C14"/>
      <c r="D14" s="15" t="s">
        <v>87</v>
      </c>
      <c r="E14" s="15" t="s">
        <v>159</v>
      </c>
      <c r="F14"/>
    </row>
    <row r="15" spans="1:16" s="12" customFormat="1" x14ac:dyDescent="0.25">
      <c r="B15" t="s">
        <v>104</v>
      </c>
      <c r="C15"/>
      <c r="D15" s="19">
        <v>800000</v>
      </c>
      <c r="E15" s="19">
        <v>800000</v>
      </c>
    </row>
    <row r="16" spans="1:16" x14ac:dyDescent="0.25">
      <c r="B16" t="s">
        <v>42</v>
      </c>
      <c r="D16" s="20">
        <f>D15/$D$6</f>
        <v>8000</v>
      </c>
      <c r="E16" s="20">
        <f>E15/$D$6</f>
        <v>8000</v>
      </c>
    </row>
    <row r="17" spans="2:6" x14ac:dyDescent="0.25">
      <c r="B17" t="s">
        <v>48</v>
      </c>
      <c r="D17" s="19">
        <f>D16*J6*D6</f>
        <v>11280000</v>
      </c>
      <c r="E17" s="19">
        <f>D6*E16*J12</f>
        <v>9416000</v>
      </c>
    </row>
    <row r="18" spans="2:6" x14ac:dyDescent="0.25">
      <c r="B18" t="s">
        <v>105</v>
      </c>
      <c r="D18" s="19">
        <v>30</v>
      </c>
      <c r="E18" s="19">
        <v>30</v>
      </c>
    </row>
    <row r="19" spans="2:6" x14ac:dyDescent="0.25">
      <c r="B19" s="56" t="s">
        <v>167</v>
      </c>
      <c r="C19" s="12"/>
      <c r="D19" s="57">
        <f>M7</f>
        <v>-4400000</v>
      </c>
      <c r="E19" s="57">
        <f>-M13</f>
        <v>5576000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1176000</v>
      </c>
    </row>
    <row r="21" spans="2:6" ht="15.75" thickTop="1" x14ac:dyDescent="0.25"/>
    <row r="22" spans="2:6" x14ac:dyDescent="0.25">
      <c r="B22" s="6" t="s">
        <v>160</v>
      </c>
      <c r="F22" s="6" t="s">
        <v>10</v>
      </c>
    </row>
    <row r="23" spans="2:6" x14ac:dyDescent="0.25">
      <c r="B23" t="s">
        <v>91</v>
      </c>
      <c r="C23" s="12"/>
      <c r="D23" s="23">
        <f>D16*$J$6*D6</f>
        <v>11280000</v>
      </c>
      <c r="E23" s="23">
        <f>-E16*$J$12*D6</f>
        <v>-9416000</v>
      </c>
      <c r="F23" t="s">
        <v>146</v>
      </c>
    </row>
    <row r="24" spans="2:6" x14ac:dyDescent="0.25">
      <c r="B24" t="s">
        <v>44</v>
      </c>
      <c r="D24" s="24" t="s">
        <v>103</v>
      </c>
      <c r="E24" s="52">
        <f>J12+0.2*I12- (I12-E18)</f>
        <v>14.297999999999998</v>
      </c>
      <c r="F24" t="s">
        <v>147</v>
      </c>
    </row>
    <row r="25" spans="2:6" x14ac:dyDescent="0.25">
      <c r="B25" t="s">
        <v>50</v>
      </c>
      <c r="D25" s="49" t="s">
        <v>103</v>
      </c>
      <c r="E25" s="49">
        <f>E24*E15</f>
        <v>11438399.999999998</v>
      </c>
      <c r="F25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973D9B2A-4869-4B7C-8DCE-1091A778921D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1944-3626-4441-953A-4D0A3744085C}">
  <dimension ref="A1:P33"/>
  <sheetViews>
    <sheetView showGridLines="0" zoomScale="70" zoomScaleNormal="90" workbookViewId="0">
      <pane ySplit="1" topLeftCell="A2" activePane="bottomLeft" state="frozen"/>
      <selection pane="bottomLeft" sqref="A1:P26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5" max="5" width="32.5703125" customWidth="1"/>
    <col min="6" max="6" width="9.7109375" bestFit="1" customWidth="1"/>
    <col min="8" max="8" width="8.5703125" customWidth="1"/>
    <col min="9" max="9" width="5.85546875" bestFit="1" customWidth="1"/>
    <col min="10" max="12" width="12.5703125" customWidth="1"/>
    <col min="13" max="13" width="15.28515625" bestFit="1" customWidth="1"/>
    <col min="14" max="15" width="15.5703125" customWidth="1"/>
    <col min="16" max="16" width="25.5703125" customWidth="1"/>
    <col min="17" max="17" width="15.85546875" customWidth="1"/>
    <col min="18" max="18" width="16" customWidth="1"/>
    <col min="19" max="19" width="25.5703125" customWidth="1"/>
  </cols>
  <sheetData>
    <row r="1" spans="1:16" ht="26.25" x14ac:dyDescent="0.4">
      <c r="B1" s="1" t="s">
        <v>161</v>
      </c>
      <c r="E1" s="41" t="s">
        <v>156</v>
      </c>
    </row>
    <row r="2" spans="1:16" ht="10.15" customHeight="1" x14ac:dyDescent="0.4">
      <c r="B2" s="1"/>
    </row>
    <row r="3" spans="1:16" x14ac:dyDescent="0.25">
      <c r="A3" t="s">
        <v>11</v>
      </c>
      <c r="B3" s="2" t="s">
        <v>31</v>
      </c>
      <c r="C3" s="2"/>
      <c r="D3" s="2"/>
      <c r="E3" s="2"/>
      <c r="F3" s="2"/>
      <c r="H3" t="s">
        <v>87</v>
      </c>
    </row>
    <row r="4" spans="1:16" x14ac:dyDescent="0.25">
      <c r="B4" s="6" t="s">
        <v>47</v>
      </c>
      <c r="H4" s="34" t="s">
        <v>22</v>
      </c>
      <c r="I4" s="34" t="s">
        <v>164</v>
      </c>
      <c r="J4" s="34" t="s">
        <v>89</v>
      </c>
      <c r="K4" s="34" t="s">
        <v>26</v>
      </c>
      <c r="L4" s="34" t="s">
        <v>23</v>
      </c>
      <c r="M4" s="34" t="s">
        <v>57</v>
      </c>
      <c r="N4" s="34" t="s">
        <v>28</v>
      </c>
      <c r="O4" s="34" t="s">
        <v>52</v>
      </c>
      <c r="P4" s="34" t="s">
        <v>53</v>
      </c>
    </row>
    <row r="5" spans="1:16" x14ac:dyDescent="0.25">
      <c r="B5" t="s">
        <v>36</v>
      </c>
      <c r="D5" s="16" t="s">
        <v>155</v>
      </c>
      <c r="H5" s="11">
        <v>45597</v>
      </c>
      <c r="I5" s="13"/>
      <c r="J5" s="33">
        <v>2.88</v>
      </c>
      <c r="K5" s="33"/>
      <c r="L5" s="12"/>
      <c r="M5" s="27"/>
      <c r="N5" s="27"/>
      <c r="O5" s="27"/>
      <c r="P5" s="51"/>
    </row>
    <row r="6" spans="1:16" x14ac:dyDescent="0.25">
      <c r="B6" t="s">
        <v>86</v>
      </c>
      <c r="D6" s="18">
        <v>100</v>
      </c>
      <c r="H6" s="11">
        <v>45600</v>
      </c>
      <c r="I6" s="13"/>
      <c r="J6" s="33">
        <v>2.4</v>
      </c>
      <c r="K6" s="33" t="s">
        <v>27</v>
      </c>
      <c r="L6" s="12">
        <f>NVDATable13[[#This Row],[Last Price]]-J5</f>
        <v>-0.48</v>
      </c>
      <c r="M6" s="27"/>
      <c r="N6" s="27"/>
      <c r="O6" s="27">
        <f>NVDATable13[[#This Row],[Last Price]]*D6*D16</f>
        <v>192000</v>
      </c>
      <c r="P6" s="27">
        <f>NVDATable13[[#This Row],[Margin Payment]]+NVDATable13[[#This Row],[Current Account]]</f>
        <v>192000</v>
      </c>
    </row>
    <row r="7" spans="1:16" x14ac:dyDescent="0.25">
      <c r="B7" t="s">
        <v>157</v>
      </c>
      <c r="D7" s="18" t="s">
        <v>158</v>
      </c>
      <c r="H7" s="11">
        <v>45614</v>
      </c>
      <c r="I7" s="13"/>
      <c r="J7" s="33">
        <v>29.8</v>
      </c>
      <c r="K7" s="33" t="s">
        <v>73</v>
      </c>
      <c r="L7" s="12">
        <f>NVDATable13[[#This Row],[Last Price]]-J6</f>
        <v>27.400000000000002</v>
      </c>
      <c r="M7" s="27">
        <f>(NVDATable13[[#This Row],[Last Price]]-$J$6)*$D$16*$D$6</f>
        <v>2192000</v>
      </c>
      <c r="N7" s="27">
        <f>P6+NVDATable13[[#This Row],[Cum. Total]]-M6</f>
        <v>2384000</v>
      </c>
      <c r="O7" s="27">
        <v>0</v>
      </c>
      <c r="P7" s="27">
        <f>NVDATable13[[#This Row],[Margin Payment]]+NVDATable13[[#This Row],[Current Account]]</f>
        <v>2384000</v>
      </c>
    </row>
    <row r="8" spans="1:16" x14ac:dyDescent="0.25">
      <c r="B8" t="s">
        <v>162</v>
      </c>
      <c r="D8" s="18" t="s">
        <v>163</v>
      </c>
    </row>
    <row r="9" spans="1:16" x14ac:dyDescent="0.25">
      <c r="H9" t="s">
        <v>159</v>
      </c>
    </row>
    <row r="10" spans="1:16" x14ac:dyDescent="0.25">
      <c r="D10" s="55" t="s">
        <v>87</v>
      </c>
      <c r="E10" s="55" t="s">
        <v>159</v>
      </c>
      <c r="H10" s="34" t="s">
        <v>22</v>
      </c>
      <c r="I10" s="34" t="s">
        <v>164</v>
      </c>
      <c r="J10" s="34" t="s">
        <v>89</v>
      </c>
      <c r="K10" s="34" t="s">
        <v>26</v>
      </c>
      <c r="L10" s="34" t="s">
        <v>23</v>
      </c>
      <c r="M10" s="34" t="s">
        <v>57</v>
      </c>
      <c r="N10" s="34" t="s">
        <v>28</v>
      </c>
      <c r="O10" s="34" t="s">
        <v>52</v>
      </c>
      <c r="P10" s="34" t="s">
        <v>53</v>
      </c>
    </row>
    <row r="11" spans="1:16" x14ac:dyDescent="0.25">
      <c r="B11" t="s">
        <v>39</v>
      </c>
      <c r="D11" s="48">
        <v>45600</v>
      </c>
      <c r="E11" s="48">
        <v>45600</v>
      </c>
      <c r="H11" s="11">
        <v>45597</v>
      </c>
      <c r="I11" s="13"/>
      <c r="J11" s="33">
        <v>0.96</v>
      </c>
      <c r="K11" s="33"/>
      <c r="L11" s="12"/>
      <c r="M11" s="27"/>
      <c r="N11" s="27"/>
      <c r="O11" s="27"/>
      <c r="P11" s="51"/>
    </row>
    <row r="12" spans="1:16" x14ac:dyDescent="0.25">
      <c r="B12" s="37" t="s">
        <v>135</v>
      </c>
      <c r="C12" s="37"/>
      <c r="D12" s="50">
        <v>45674</v>
      </c>
      <c r="E12" s="50">
        <v>45639</v>
      </c>
      <c r="H12" s="11">
        <v>45600</v>
      </c>
      <c r="I12" s="13">
        <v>242.84</v>
      </c>
      <c r="J12" s="33">
        <v>0.67</v>
      </c>
      <c r="K12" s="33" t="s">
        <v>27</v>
      </c>
      <c r="L12" s="12">
        <f>NVDATable1314[[#This Row],[Last Price]]-J11</f>
        <v>-0.28999999999999992</v>
      </c>
      <c r="M12" s="27"/>
      <c r="N12" s="27"/>
      <c r="O12" s="27">
        <f>NVDATable1314[[#This Row],[Last Price]]*D6*-E16</f>
        <v>-53600</v>
      </c>
      <c r="P12" s="27">
        <f>NVDATable1314[[#This Row],[Margin Payment]]+NVDATable1314[[#This Row],[Current Account]]</f>
        <v>-53600</v>
      </c>
    </row>
    <row r="13" spans="1:16" x14ac:dyDescent="0.25">
      <c r="B13" t="s">
        <v>32</v>
      </c>
      <c r="D13" s="15" t="s">
        <v>165</v>
      </c>
      <c r="E13" s="15" t="s">
        <v>166</v>
      </c>
      <c r="H13" s="11">
        <v>45614</v>
      </c>
      <c r="I13" s="13"/>
      <c r="J13" s="33">
        <v>18.5</v>
      </c>
      <c r="K13" s="33" t="s">
        <v>73</v>
      </c>
      <c r="L13" s="12">
        <f>NVDATable1314[[#This Row],[Last Price]]-J12</f>
        <v>17.829999999999998</v>
      </c>
      <c r="M13" s="27">
        <f>(NVDATable1314[[#This Row],[Last Price]]-$J$12)*$E$16*$D$6</f>
        <v>1426399.9999999998</v>
      </c>
      <c r="N13" s="27">
        <f>P12+NVDATable1314[[#This Row],[Cum. Total]]-M12</f>
        <v>1372799.9999999998</v>
      </c>
      <c r="O13" s="27">
        <v>0</v>
      </c>
      <c r="P13" s="27">
        <f>NVDATable1314[[#This Row],[Margin Payment]]+NVDATable1314[[#This Row],[Current Account]]</f>
        <v>1372799.9999999998</v>
      </c>
    </row>
    <row r="14" spans="1:16" s="12" customFormat="1" x14ac:dyDescent="0.25">
      <c r="B14" t="s">
        <v>34</v>
      </c>
      <c r="C14"/>
      <c r="D14" s="15" t="s">
        <v>87</v>
      </c>
      <c r="E14" s="15" t="s">
        <v>159</v>
      </c>
      <c r="F14"/>
    </row>
    <row r="15" spans="1:16" s="12" customFormat="1" x14ac:dyDescent="0.25">
      <c r="B15" t="s">
        <v>104</v>
      </c>
      <c r="C15"/>
      <c r="D15" s="19">
        <v>80000</v>
      </c>
      <c r="E15" s="19">
        <v>80000</v>
      </c>
    </row>
    <row r="16" spans="1:16" x14ac:dyDescent="0.25">
      <c r="B16" t="s">
        <v>42</v>
      </c>
      <c r="D16" s="20">
        <f>D15/$D$6</f>
        <v>800</v>
      </c>
      <c r="E16" s="20">
        <f>E15/$D$6</f>
        <v>800</v>
      </c>
    </row>
    <row r="17" spans="2:6" x14ac:dyDescent="0.25">
      <c r="B17" t="s">
        <v>48</v>
      </c>
      <c r="D17" s="19">
        <f>D16*J6*D6</f>
        <v>192000</v>
      </c>
      <c r="E17" s="19">
        <f>D6*E16*J12</f>
        <v>53600</v>
      </c>
    </row>
    <row r="18" spans="2:6" x14ac:dyDescent="0.25">
      <c r="B18" t="s">
        <v>105</v>
      </c>
      <c r="D18" s="19">
        <v>350</v>
      </c>
      <c r="E18" s="19">
        <v>350</v>
      </c>
    </row>
    <row r="19" spans="2:6" x14ac:dyDescent="0.25">
      <c r="B19" s="56" t="s">
        <v>167</v>
      </c>
      <c r="C19" s="12"/>
      <c r="D19" s="57">
        <f>M7</f>
        <v>2192000</v>
      </c>
      <c r="E19" s="57">
        <f>-M13</f>
        <v>-1426399.9999999998</v>
      </c>
      <c r="F19" s="58"/>
    </row>
    <row r="20" spans="2:6" ht="15.75" thickBot="1" x14ac:dyDescent="0.3">
      <c r="B20" s="59" t="s">
        <v>168</v>
      </c>
      <c r="C20" s="60"/>
      <c r="D20" s="60"/>
      <c r="E20" s="60"/>
      <c r="F20" s="61">
        <f>D19+E19</f>
        <v>765600.00000000023</v>
      </c>
    </row>
    <row r="21" spans="2:6" ht="15.75" thickTop="1" x14ac:dyDescent="0.25"/>
    <row r="22" spans="2:6" x14ac:dyDescent="0.25">
      <c r="B22" s="6" t="s">
        <v>160</v>
      </c>
      <c r="F22" s="6" t="s">
        <v>10</v>
      </c>
    </row>
    <row r="23" spans="2:6" x14ac:dyDescent="0.25">
      <c r="B23" t="s">
        <v>91</v>
      </c>
      <c r="C23" s="12"/>
      <c r="D23" s="23">
        <f>D16*$J$6*D6</f>
        <v>192000</v>
      </c>
      <c r="E23" s="23">
        <f>-E16*$J$12*D6</f>
        <v>-53600</v>
      </c>
      <c r="F23" t="s">
        <v>146</v>
      </c>
    </row>
    <row r="24" spans="2:6" x14ac:dyDescent="0.25">
      <c r="B24" t="s">
        <v>44</v>
      </c>
      <c r="D24" s="24" t="s">
        <v>103</v>
      </c>
      <c r="E24" s="52">
        <f>J12+0.2*I12- (I12-E18)</f>
        <v>156.398</v>
      </c>
      <c r="F24" t="s">
        <v>147</v>
      </c>
    </row>
    <row r="25" spans="2:6" x14ac:dyDescent="0.25">
      <c r="B25" t="s">
        <v>50</v>
      </c>
      <c r="D25" s="49" t="s">
        <v>103</v>
      </c>
      <c r="E25" s="49">
        <f>E24*E15</f>
        <v>12511840</v>
      </c>
      <c r="F25" t="s">
        <v>132</v>
      </c>
    </row>
    <row r="26" spans="2:6" x14ac:dyDescent="0.25">
      <c r="B26" t="s">
        <v>51</v>
      </c>
      <c r="D26" s="26" t="s">
        <v>103</v>
      </c>
      <c r="E26" s="26" t="s">
        <v>103</v>
      </c>
      <c r="F26" t="s">
        <v>51</v>
      </c>
    </row>
    <row r="27" spans="2:6" s="65" customFormat="1" x14ac:dyDescent="0.25">
      <c r="B27"/>
      <c r="C27"/>
      <c r="D27"/>
      <c r="E27"/>
      <c r="F27"/>
    </row>
    <row r="33" spans="5:5" x14ac:dyDescent="0.25">
      <c r="E33" s="12"/>
    </row>
  </sheetData>
  <hyperlinks>
    <hyperlink ref="E1" r:id="rId1" xr:uid="{BE3A2788-381A-452C-A6E2-A3B4156C6716}"/>
  </hyperlinks>
  <pageMargins left="0.7" right="0.7" top="0.75" bottom="0.75" header="0.3" footer="0.3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82D5-56FA-4992-B30F-8EAE0C1C94C8}">
  <dimension ref="A1:R24"/>
  <sheetViews>
    <sheetView showGridLines="0" zoomScale="74" zoomScaleNormal="100" workbookViewId="0">
      <pane ySplit="1" topLeftCell="A2" activePane="bottomLeft" state="frozen"/>
      <selection pane="bottomLeft" activeCell="K19" sqref="K19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10" width="12.5703125" customWidth="1"/>
    <col min="11" max="11" width="10.5703125" customWidth="1"/>
    <col min="12" max="15" width="12.5703125" customWidth="1"/>
    <col min="16" max="16" width="15.85546875" customWidth="1"/>
    <col min="17" max="17" width="16" customWidth="1"/>
    <col min="18" max="18" width="25.5703125" customWidth="1"/>
  </cols>
  <sheetData>
    <row r="1" spans="1:18" ht="26.25" x14ac:dyDescent="0.4">
      <c r="B1" s="1" t="s">
        <v>43</v>
      </c>
      <c r="D1" s="41" t="str">
        <f>+HYPERLINK("https://www.cmegroup.com/markets/metals/battery-metals/lithium-hydroxide-cif-cjk-fastmarkets.contractSpecs.html")</f>
        <v>https://www.cmegroup.com/markets/metals/battery-metals/lithium-hydroxide-cif-cjk-fastmarkets.contractSpecs.html</v>
      </c>
    </row>
    <row r="3" spans="1:18" ht="3" customHeight="1" x14ac:dyDescent="0.4">
      <c r="B3" s="1"/>
    </row>
    <row r="4" spans="1:18" x14ac:dyDescent="0.25">
      <c r="A4" t="s">
        <v>11</v>
      </c>
      <c r="B4" s="2" t="s">
        <v>31</v>
      </c>
      <c r="C4" s="2"/>
      <c r="D4" s="2"/>
      <c r="E4" s="2"/>
      <c r="G4" s="34" t="s">
        <v>22</v>
      </c>
      <c r="H4" t="s">
        <v>24</v>
      </c>
      <c r="I4" t="s">
        <v>25</v>
      </c>
      <c r="J4" t="s">
        <v>23</v>
      </c>
      <c r="K4" s="34" t="s">
        <v>26</v>
      </c>
      <c r="L4" s="34" t="s">
        <v>54</v>
      </c>
      <c r="M4" s="34" t="s">
        <v>55</v>
      </c>
      <c r="N4" s="34" t="s">
        <v>56</v>
      </c>
      <c r="O4" s="34" t="s">
        <v>57</v>
      </c>
      <c r="P4" s="34" t="s">
        <v>28</v>
      </c>
      <c r="Q4" s="34" t="s">
        <v>52</v>
      </c>
      <c r="R4" s="34" t="s">
        <v>53</v>
      </c>
    </row>
    <row r="5" spans="1:18" x14ac:dyDescent="0.25">
      <c r="B5" s="6" t="s">
        <v>47</v>
      </c>
      <c r="G5" s="11">
        <v>45574</v>
      </c>
      <c r="H5" s="13">
        <v>10.220000000000001</v>
      </c>
      <c r="I5" s="33">
        <v>11.48</v>
      </c>
      <c r="J5" s="12"/>
      <c r="K5" s="12"/>
      <c r="L5" s="12"/>
      <c r="M5" s="12"/>
      <c r="N5" s="12"/>
      <c r="O5" s="12"/>
      <c r="P5" s="27">
        <v>0</v>
      </c>
      <c r="Q5" s="27">
        <v>0</v>
      </c>
      <c r="R5" s="27">
        <f>P5+Q5</f>
        <v>0</v>
      </c>
    </row>
    <row r="6" spans="1:18" x14ac:dyDescent="0.25">
      <c r="B6" t="s">
        <v>36</v>
      </c>
      <c r="D6" s="16" t="s">
        <v>37</v>
      </c>
      <c r="G6" s="11">
        <v>45575</v>
      </c>
      <c r="H6" s="13">
        <v>10.1</v>
      </c>
      <c r="I6" s="33">
        <v>11.26</v>
      </c>
      <c r="J6" s="33">
        <f>I6-I5</f>
        <v>-0.22000000000000064</v>
      </c>
      <c r="K6" s="39" t="s">
        <v>27</v>
      </c>
      <c r="L6" s="33">
        <f>J6</f>
        <v>-0.22000000000000064</v>
      </c>
      <c r="M6" s="27"/>
      <c r="N6" s="12"/>
      <c r="O6" s="12"/>
      <c r="P6" s="27">
        <v>0</v>
      </c>
      <c r="Q6" s="27">
        <f>D18</f>
        <v>5984000</v>
      </c>
      <c r="R6" s="27">
        <f>P6+Q6</f>
        <v>5984000</v>
      </c>
    </row>
    <row r="7" spans="1:18" x14ac:dyDescent="0.25">
      <c r="B7" t="s">
        <v>38</v>
      </c>
      <c r="D7" s="18">
        <v>1000</v>
      </c>
      <c r="G7" s="11">
        <v>45576</v>
      </c>
      <c r="H7" s="13">
        <v>9.9499999999999993</v>
      </c>
      <c r="I7" s="33">
        <v>11.29</v>
      </c>
      <c r="J7" s="33">
        <f t="shared" ref="J7:J9" si="0">I7-I6</f>
        <v>2.9999999999999361E-2</v>
      </c>
      <c r="K7" s="12"/>
      <c r="L7" s="33">
        <f t="shared" ref="L7:L9" si="1">J7</f>
        <v>2.9999999999999361E-2</v>
      </c>
      <c r="M7" s="36">
        <f t="shared" ref="M7:M13" si="2">$D$12*L7</f>
        <v>84489.795918365562</v>
      </c>
      <c r="N7" s="33">
        <f t="shared" ref="N7:N13" si="3">I7-$I$6</f>
        <v>2.9999999999999361E-2</v>
      </c>
      <c r="O7" s="40">
        <f t="shared" ref="O7:O13" si="4">N7*$D$12</f>
        <v>84489.795918365562</v>
      </c>
      <c r="P7" s="27">
        <f>R6+M7</f>
        <v>6068489.7959183659</v>
      </c>
      <c r="Q7" s="27">
        <f t="shared" ref="Q7:Q13" si="5">IF(P7&lt;$D$22, $D$18-P7, 0)</f>
        <v>0</v>
      </c>
      <c r="R7" s="27">
        <f>P7+Q7</f>
        <v>6068489.7959183659</v>
      </c>
    </row>
    <row r="8" spans="1:18" x14ac:dyDescent="0.25">
      <c r="B8" t="s">
        <v>39</v>
      </c>
      <c r="D8" s="15">
        <v>45566</v>
      </c>
      <c r="G8" s="11">
        <v>45579</v>
      </c>
      <c r="H8" s="13">
        <v>9.56</v>
      </c>
      <c r="I8" s="33">
        <v>11.25</v>
      </c>
      <c r="J8" s="33">
        <f t="shared" si="0"/>
        <v>-3.9999999999999147E-2</v>
      </c>
      <c r="K8" s="12"/>
      <c r="L8" s="33">
        <f t="shared" si="1"/>
        <v>-3.9999999999999147E-2</v>
      </c>
      <c r="M8" s="36">
        <f t="shared" si="2"/>
        <v>-112653.06122448741</v>
      </c>
      <c r="N8" s="33">
        <f t="shared" si="3"/>
        <v>-9.9999999999997868E-3</v>
      </c>
      <c r="O8" s="40">
        <f t="shared" si="4"/>
        <v>-28163.265306121852</v>
      </c>
      <c r="P8" s="27">
        <f t="shared" ref="P8:P9" si="6">R7+M8</f>
        <v>5955836.7346938783</v>
      </c>
      <c r="Q8" s="27">
        <f t="shared" si="5"/>
        <v>0</v>
      </c>
      <c r="R8" s="27">
        <f t="shared" ref="R8:R9" si="7">P8+Q8</f>
        <v>5955836.7346938783</v>
      </c>
    </row>
    <row r="9" spans="1:18" x14ac:dyDescent="0.25">
      <c r="B9" s="37" t="s">
        <v>40</v>
      </c>
      <c r="C9" s="37"/>
      <c r="D9" s="38">
        <v>45689</v>
      </c>
      <c r="G9" s="11">
        <v>45580</v>
      </c>
      <c r="H9" s="13">
        <v>10.1</v>
      </c>
      <c r="I9" s="33">
        <v>11.24</v>
      </c>
      <c r="J9" s="33">
        <f t="shared" si="0"/>
        <v>-9.9999999999997868E-3</v>
      </c>
      <c r="K9" s="12"/>
      <c r="L9" s="33">
        <f t="shared" si="1"/>
        <v>-9.9999999999997868E-3</v>
      </c>
      <c r="M9" s="36">
        <f t="shared" si="2"/>
        <v>-28163.265306121852</v>
      </c>
      <c r="N9" s="33">
        <f t="shared" si="3"/>
        <v>-1.9999999999999574E-2</v>
      </c>
      <c r="O9" s="40">
        <f t="shared" si="4"/>
        <v>-56326.530612243703</v>
      </c>
      <c r="P9" s="27">
        <f t="shared" si="6"/>
        <v>5927673.4693877567</v>
      </c>
      <c r="Q9" s="27">
        <f t="shared" si="5"/>
        <v>0</v>
      </c>
      <c r="R9" s="27">
        <f t="shared" si="7"/>
        <v>5927673.4693877567</v>
      </c>
    </row>
    <row r="10" spans="1:18" x14ac:dyDescent="0.25">
      <c r="B10" t="s">
        <v>32</v>
      </c>
      <c r="D10" s="15" t="s">
        <v>33</v>
      </c>
      <c r="G10" s="11">
        <v>45581</v>
      </c>
      <c r="H10" s="13">
        <v>10.87</v>
      </c>
      <c r="I10" s="33">
        <v>11.11</v>
      </c>
      <c r="J10" s="33">
        <f t="shared" ref="J10:J17" si="8">I10-I9</f>
        <v>-0.13000000000000078</v>
      </c>
      <c r="K10" s="12"/>
      <c r="L10" s="33">
        <f t="shared" ref="L10:L17" si="9">J10</f>
        <v>-0.13000000000000078</v>
      </c>
      <c r="M10" s="36">
        <f t="shared" si="2"/>
        <v>-366122.4489795941</v>
      </c>
      <c r="N10" s="33">
        <f t="shared" si="3"/>
        <v>-0.15000000000000036</v>
      </c>
      <c r="O10" s="40">
        <f t="shared" si="4"/>
        <v>-422448.97959183779</v>
      </c>
      <c r="P10" s="27">
        <f t="shared" ref="P10" si="10">R9+M10</f>
        <v>5561551.0204081628</v>
      </c>
      <c r="Q10" s="27">
        <f t="shared" si="5"/>
        <v>0</v>
      </c>
      <c r="R10" s="27">
        <f t="shared" ref="R10" si="11">P10+Q10</f>
        <v>5561551.0204081628</v>
      </c>
    </row>
    <row r="11" spans="1:18" x14ac:dyDescent="0.25">
      <c r="B11" t="s">
        <v>34</v>
      </c>
      <c r="D11" s="15" t="s">
        <v>35</v>
      </c>
      <c r="G11" s="11">
        <v>45582</v>
      </c>
      <c r="H11" s="13"/>
      <c r="I11" s="33">
        <v>10.9</v>
      </c>
      <c r="J11" s="33">
        <f t="shared" si="8"/>
        <v>-0.20999999999999908</v>
      </c>
      <c r="K11" s="12"/>
      <c r="L11" s="33">
        <f t="shared" si="9"/>
        <v>-0.20999999999999908</v>
      </c>
      <c r="M11" s="36">
        <f t="shared" si="2"/>
        <v>-591428.57142856892</v>
      </c>
      <c r="N11" s="33">
        <f t="shared" si="3"/>
        <v>-0.35999999999999943</v>
      </c>
      <c r="O11" s="40">
        <f t="shared" si="4"/>
        <v>-1013877.5510204067</v>
      </c>
      <c r="P11" s="27">
        <f t="shared" ref="P11" si="12">R10+M11</f>
        <v>4970122.4489795938</v>
      </c>
      <c r="Q11" s="27">
        <f t="shared" si="5"/>
        <v>0</v>
      </c>
      <c r="R11" s="27">
        <f t="shared" ref="R11" si="13">P11+Q11</f>
        <v>4970122.4489795938</v>
      </c>
    </row>
    <row r="12" spans="1:18" x14ac:dyDescent="0.25">
      <c r="B12" t="s">
        <v>41</v>
      </c>
      <c r="D12" s="19">
        <v>2816326.5306122452</v>
      </c>
      <c r="G12" s="11">
        <v>45584</v>
      </c>
      <c r="H12" s="13"/>
      <c r="I12" s="33">
        <v>11</v>
      </c>
      <c r="J12" s="33">
        <f t="shared" si="8"/>
        <v>9.9999999999999645E-2</v>
      </c>
      <c r="K12" s="12"/>
      <c r="L12" s="33">
        <f t="shared" si="9"/>
        <v>9.9999999999999645E-2</v>
      </c>
      <c r="M12" s="36">
        <f t="shared" si="2"/>
        <v>281632.65306122351</v>
      </c>
      <c r="N12" s="33">
        <f t="shared" si="3"/>
        <v>-0.25999999999999979</v>
      </c>
      <c r="O12" s="40">
        <f t="shared" si="4"/>
        <v>-732244.8979591832</v>
      </c>
      <c r="P12" s="27">
        <f t="shared" ref="P12" si="14">R11+M12</f>
        <v>5251755.102040817</v>
      </c>
      <c r="Q12" s="27">
        <f t="shared" si="5"/>
        <v>0</v>
      </c>
      <c r="R12" s="27">
        <f t="shared" ref="R12" si="15">P12+Q12</f>
        <v>5251755.102040817</v>
      </c>
    </row>
    <row r="13" spans="1:18" x14ac:dyDescent="0.25">
      <c r="B13" t="s">
        <v>42</v>
      </c>
      <c r="D13" s="20">
        <f>ROUND(D12/D7,0)</f>
        <v>2816</v>
      </c>
      <c r="G13" s="11">
        <v>45586</v>
      </c>
      <c r="H13" s="13"/>
      <c r="I13" s="12">
        <v>10.89</v>
      </c>
      <c r="J13" s="33">
        <f t="shared" si="8"/>
        <v>-0.10999999999999943</v>
      </c>
      <c r="K13" s="12"/>
      <c r="L13" s="33">
        <f t="shared" si="9"/>
        <v>-0.10999999999999943</v>
      </c>
      <c r="M13" s="36">
        <f t="shared" si="2"/>
        <v>-309795.91836734535</v>
      </c>
      <c r="N13" s="33">
        <f t="shared" si="3"/>
        <v>-0.36999999999999922</v>
      </c>
      <c r="O13" s="40">
        <f t="shared" si="4"/>
        <v>-1042040.8163265286</v>
      </c>
      <c r="P13" s="27">
        <f t="shared" ref="P13" si="16">R12+M13</f>
        <v>4941959.1836734712</v>
      </c>
      <c r="Q13" s="27">
        <f t="shared" si="5"/>
        <v>0</v>
      </c>
      <c r="R13" s="27">
        <f t="shared" ref="R13" si="17">P13+Q13</f>
        <v>4941959.1836734712</v>
      </c>
    </row>
    <row r="14" spans="1:18" x14ac:dyDescent="0.25">
      <c r="B14" t="s">
        <v>48</v>
      </c>
      <c r="D14" s="19">
        <f>D13*I6*D7</f>
        <v>31708160</v>
      </c>
      <c r="G14" s="11">
        <v>45587</v>
      </c>
      <c r="H14" s="13"/>
      <c r="I14" s="12">
        <v>10.85</v>
      </c>
      <c r="J14" s="33">
        <f t="shared" si="8"/>
        <v>-4.0000000000000924E-2</v>
      </c>
      <c r="K14" s="12"/>
      <c r="L14" s="12">
        <f t="shared" si="9"/>
        <v>-4.0000000000000924E-2</v>
      </c>
      <c r="M14" s="36">
        <f t="shared" ref="M14" si="18">$D$12*L14</f>
        <v>-112653.06122449241</v>
      </c>
      <c r="N14" s="33">
        <f t="shared" ref="N14" si="19">I14-$I$6</f>
        <v>-0.41000000000000014</v>
      </c>
      <c r="O14" s="40">
        <f t="shared" ref="O14" si="20">N14*$D$12</f>
        <v>-1154693.8775510208</v>
      </c>
      <c r="P14" s="27">
        <f t="shared" ref="P14" si="21">R13+M14</f>
        <v>4829306.1224489789</v>
      </c>
      <c r="Q14" s="27">
        <f t="shared" ref="Q14" si="22">IF(P14&lt;$D$22, $D$18-P14, 0)</f>
        <v>0</v>
      </c>
      <c r="R14" s="27">
        <f t="shared" ref="R14" si="23">P14+Q14</f>
        <v>4829306.1224489789</v>
      </c>
    </row>
    <row r="15" spans="1:18" s="12" customFormat="1" x14ac:dyDescent="0.25">
      <c r="B15"/>
      <c r="C15"/>
      <c r="D15"/>
      <c r="E15"/>
      <c r="G15" s="11">
        <v>45588</v>
      </c>
      <c r="H15" s="13"/>
      <c r="I15" s="12">
        <v>10.84</v>
      </c>
      <c r="J15" s="33">
        <f t="shared" si="8"/>
        <v>-9.9999999999997868E-3</v>
      </c>
      <c r="L15" s="12">
        <f t="shared" si="9"/>
        <v>-9.9999999999997868E-3</v>
      </c>
      <c r="M15" s="36">
        <f t="shared" ref="M15" si="24">$D$12*L15</f>
        <v>-28163.265306121852</v>
      </c>
      <c r="N15" s="33">
        <f t="shared" ref="N15" si="25">I15-$I$6</f>
        <v>-0.41999999999999993</v>
      </c>
      <c r="O15" s="40">
        <f t="shared" ref="O15" si="26">N15*$D$12</f>
        <v>-1182857.1428571427</v>
      </c>
      <c r="P15" s="27">
        <f t="shared" ref="P15" si="27">R14+M15</f>
        <v>4801142.8571428573</v>
      </c>
      <c r="Q15" s="27">
        <f t="shared" ref="Q15" si="28">IF(P15&lt;$D$22, $D$18-P15, 0)</f>
        <v>0</v>
      </c>
      <c r="R15" s="27">
        <f t="shared" ref="R15" si="29">P15+Q15</f>
        <v>4801142.8571428573</v>
      </c>
    </row>
    <row r="16" spans="1:18" s="12" customFormat="1" x14ac:dyDescent="0.25">
      <c r="B16" s="6" t="s">
        <v>10</v>
      </c>
      <c r="C16"/>
      <c r="D16"/>
      <c r="G16" s="11">
        <v>45589</v>
      </c>
      <c r="H16" s="13"/>
      <c r="I16" s="33">
        <v>10.8</v>
      </c>
      <c r="J16" s="33">
        <f t="shared" si="8"/>
        <v>-3.9999999999999147E-2</v>
      </c>
      <c r="L16" s="12">
        <f t="shared" si="9"/>
        <v>-3.9999999999999147E-2</v>
      </c>
      <c r="M16" s="36">
        <f t="shared" ref="M16" si="30">$D$12*L16</f>
        <v>-112653.06122448741</v>
      </c>
      <c r="N16" s="33">
        <f t="shared" ref="N16" si="31">I16-$I$6</f>
        <v>-0.45999999999999908</v>
      </c>
      <c r="O16" s="40">
        <f t="shared" ref="O16" si="32">N16*$D$12</f>
        <v>-1295510.2040816301</v>
      </c>
      <c r="P16" s="27">
        <f t="shared" ref="P16" si="33">R15+M16</f>
        <v>4688489.7959183697</v>
      </c>
      <c r="Q16" s="27">
        <f t="shared" ref="Q16" si="34">IF(P16&lt;$D$22, $D$18-P16, 0)</f>
        <v>1295510.2040816303</v>
      </c>
      <c r="R16" s="27">
        <f t="shared" ref="R16" si="35">P16+Q16</f>
        <v>5984000</v>
      </c>
    </row>
    <row r="17" spans="1:18" x14ac:dyDescent="0.25">
      <c r="B17" t="s">
        <v>49</v>
      </c>
      <c r="C17" s="12"/>
      <c r="D17" s="19">
        <v>1700</v>
      </c>
      <c r="E17" s="12"/>
      <c r="G17" s="11">
        <v>45590</v>
      </c>
      <c r="H17" s="13"/>
      <c r="I17" s="12">
        <v>10.6</v>
      </c>
      <c r="J17" s="33">
        <f t="shared" si="8"/>
        <v>-0.20000000000000107</v>
      </c>
      <c r="K17" s="12"/>
      <c r="L17" s="12">
        <f t="shared" si="9"/>
        <v>-0.20000000000000107</v>
      </c>
      <c r="M17" s="36">
        <f t="shared" ref="M17" si="36">$D$12*L17</f>
        <v>-563265.30612245202</v>
      </c>
      <c r="N17" s="33">
        <f t="shared" ref="N17" si="37">I17-$I$6</f>
        <v>-0.66000000000000014</v>
      </c>
      <c r="O17" s="40">
        <f t="shared" ref="O17" si="38">N17*$D$12</f>
        <v>-1858775.5102040821</v>
      </c>
      <c r="P17" s="27">
        <f t="shared" ref="P17" si="39">R16+M17</f>
        <v>5420734.693877548</v>
      </c>
      <c r="Q17" s="27">
        <f t="shared" ref="Q17" si="40">IF(P17&lt;$D$22, $D$18-P17, 0)</f>
        <v>0</v>
      </c>
      <c r="R17" s="27">
        <f t="shared" ref="R17" si="41">P17+Q17</f>
        <v>5420734.693877548</v>
      </c>
    </row>
    <row r="18" spans="1:18" x14ac:dyDescent="0.25">
      <c r="B18" t="s">
        <v>46</v>
      </c>
      <c r="C18" s="12"/>
      <c r="D18" s="23">
        <f>D17*D19*D13</f>
        <v>5984000</v>
      </c>
      <c r="G18" s="11">
        <v>45622</v>
      </c>
      <c r="H18" s="13"/>
      <c r="I18" s="12">
        <v>10.44</v>
      </c>
      <c r="J18" s="33">
        <f>I18-I17</f>
        <v>-0.16000000000000014</v>
      </c>
      <c r="K18" s="12" t="s">
        <v>73</v>
      </c>
      <c r="L18" s="12">
        <f>J18</f>
        <v>-0.16000000000000014</v>
      </c>
      <c r="M18" s="36">
        <f t="shared" ref="M18" si="42">$D$12*L18</f>
        <v>-450612.24489795964</v>
      </c>
      <c r="N18" s="33">
        <f t="shared" ref="N18" si="43">I18-$I$6</f>
        <v>-0.82000000000000028</v>
      </c>
      <c r="O18" s="40">
        <f t="shared" ref="O18" si="44">N18*$D$12</f>
        <v>-2309387.7551020416</v>
      </c>
      <c r="P18" s="27">
        <f t="shared" ref="P18" si="45">R17+M18</f>
        <v>4970122.4489795882</v>
      </c>
      <c r="Q18" s="27">
        <f t="shared" ref="Q18" si="46">IF(P18&lt;$D$22, $D$18-P18, 0)</f>
        <v>0</v>
      </c>
      <c r="R18" s="27">
        <f t="shared" ref="R18" si="47">P18+Q18</f>
        <v>4970122.4489795882</v>
      </c>
    </row>
    <row r="19" spans="1:18" x14ac:dyDescent="0.25">
      <c r="B19" s="21" t="s">
        <v>45</v>
      </c>
      <c r="C19" s="12"/>
      <c r="D19" s="25">
        <v>1.25</v>
      </c>
    </row>
    <row r="20" spans="1:18" x14ac:dyDescent="0.25">
      <c r="B20" t="s">
        <v>44</v>
      </c>
      <c r="D20" s="24">
        <f>D18/D14</f>
        <v>0.18872113676731794</v>
      </c>
    </row>
    <row r="21" spans="1:18" x14ac:dyDescent="0.25">
      <c r="B21" t="s">
        <v>50</v>
      </c>
      <c r="D21" s="23">
        <f>D17*D13</f>
        <v>4787200</v>
      </c>
    </row>
    <row r="22" spans="1:18" x14ac:dyDescent="0.25">
      <c r="B22" t="s">
        <v>51</v>
      </c>
      <c r="D22" s="26">
        <f>D21</f>
        <v>4787200</v>
      </c>
    </row>
    <row r="23" spans="1:18" x14ac:dyDescent="0.25">
      <c r="B23" t="s">
        <v>65</v>
      </c>
      <c r="D23" s="23">
        <f>COUNTIF(LithiumTable[Margin Payment], "&gt;0") -1</f>
        <v>1</v>
      </c>
    </row>
    <row r="24" spans="1:18" x14ac:dyDescent="0.25">
      <c r="A24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5FFF-3B9F-4508-A4BF-889DA6331758}">
  <dimension ref="A1:R22"/>
  <sheetViews>
    <sheetView showGridLines="0" zoomScale="95" zoomScaleNormal="118" workbookViewId="0">
      <pane ySplit="1" topLeftCell="A2" activePane="bottomLeft" state="frozen"/>
      <selection pane="bottomLeft" activeCell="K18" sqref="K18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85546875" bestFit="1" customWidth="1"/>
    <col min="8" max="8" width="10.5703125" customWidth="1"/>
    <col min="9" max="9" width="11.5703125" customWidth="1"/>
    <col min="10" max="10" width="9.5703125" customWidth="1"/>
    <col min="11" max="11" width="10.5703125" customWidth="1"/>
    <col min="12" max="12" width="12.5703125" customWidth="1"/>
    <col min="13" max="13" width="11.5703125" bestFit="1" customWidth="1"/>
    <col min="14" max="15" width="12.5703125" customWidth="1"/>
    <col min="16" max="16" width="15.85546875" customWidth="1"/>
    <col min="17" max="17" width="15.5703125" customWidth="1"/>
    <col min="18" max="18" width="25.5703125" customWidth="1"/>
  </cols>
  <sheetData>
    <row r="1" spans="1:18" ht="26.25" x14ac:dyDescent="0.4">
      <c r="B1" s="1" t="s">
        <v>61</v>
      </c>
      <c r="D1" s="41" t="str">
        <f>+HYPERLINK("https://www.cmegroup.com/markets/agriculture/livestock/live-cattle.quotes.html")</f>
        <v>https://www.cmegroup.com/markets/agriculture/livestock/live-cattle.quotes.html</v>
      </c>
    </row>
    <row r="2" spans="1:18" x14ac:dyDescent="0.25">
      <c r="L2" s="68" t="s">
        <v>29</v>
      </c>
      <c r="M2" s="68"/>
      <c r="N2" s="68" t="s">
        <v>30</v>
      </c>
      <c r="O2" s="68"/>
    </row>
    <row r="3" spans="1:18" x14ac:dyDescent="0.25">
      <c r="A3" t="s">
        <v>11</v>
      </c>
      <c r="B3" s="2" t="s">
        <v>31</v>
      </c>
      <c r="C3" s="2"/>
      <c r="D3" s="2"/>
      <c r="E3" s="2"/>
      <c r="G3" s="34" t="s">
        <v>22</v>
      </c>
      <c r="H3" t="s">
        <v>24</v>
      </c>
      <c r="I3" s="34" t="s">
        <v>25</v>
      </c>
      <c r="J3" s="34" t="s">
        <v>23</v>
      </c>
      <c r="K3" s="34" t="s">
        <v>26</v>
      </c>
      <c r="L3" s="34" t="s">
        <v>54</v>
      </c>
      <c r="M3" s="34" t="s">
        <v>55</v>
      </c>
      <c r="N3" s="34" t="s">
        <v>56</v>
      </c>
      <c r="O3" s="34" t="s">
        <v>57</v>
      </c>
      <c r="P3" s="34" t="s">
        <v>28</v>
      </c>
      <c r="Q3" s="34" t="s">
        <v>52</v>
      </c>
      <c r="R3" t="s">
        <v>53</v>
      </c>
    </row>
    <row r="4" spans="1:18" x14ac:dyDescent="0.25">
      <c r="B4" s="6" t="s">
        <v>47</v>
      </c>
      <c r="G4" s="11">
        <v>45574</v>
      </c>
      <c r="H4" s="32">
        <v>1.87225</v>
      </c>
      <c r="I4" s="32">
        <v>1.8732500000000001</v>
      </c>
      <c r="J4" s="32"/>
      <c r="K4" s="12"/>
      <c r="L4" s="12"/>
      <c r="M4" s="12"/>
      <c r="N4" s="12"/>
      <c r="O4" s="12"/>
      <c r="P4" s="27">
        <v>0</v>
      </c>
      <c r="Q4" s="27">
        <v>0</v>
      </c>
      <c r="R4" s="27">
        <f>P4+Q4</f>
        <v>0</v>
      </c>
    </row>
    <row r="5" spans="1:18" x14ac:dyDescent="0.25">
      <c r="B5" t="s">
        <v>36</v>
      </c>
      <c r="D5" s="16" t="s">
        <v>81</v>
      </c>
      <c r="G5" s="11">
        <v>45575</v>
      </c>
      <c r="H5" s="32">
        <v>1.8827499999999999</v>
      </c>
      <c r="I5" s="32">
        <v>1.8825000000000001</v>
      </c>
      <c r="J5" s="32">
        <f>I5-I4</f>
        <v>9.2499999999999805E-3</v>
      </c>
      <c r="K5" s="39" t="s">
        <v>27</v>
      </c>
      <c r="L5" s="33">
        <f>J5</f>
        <v>9.2499999999999805E-3</v>
      </c>
      <c r="M5" s="27"/>
      <c r="N5" s="12"/>
      <c r="O5" s="12"/>
      <c r="P5" s="27">
        <v>0</v>
      </c>
      <c r="Q5" s="27">
        <f>D17</f>
        <v>7656250</v>
      </c>
      <c r="R5" s="27">
        <f>P5+Q5</f>
        <v>7656250</v>
      </c>
    </row>
    <row r="6" spans="1:18" x14ac:dyDescent="0.25">
      <c r="B6" t="s">
        <v>62</v>
      </c>
      <c r="D6" s="31">
        <v>40000</v>
      </c>
      <c r="G6" s="11">
        <v>45576</v>
      </c>
      <c r="H6" s="32">
        <v>1.87575</v>
      </c>
      <c r="I6" s="32">
        <v>1.8740000000000001</v>
      </c>
      <c r="J6" s="32">
        <f t="shared" ref="J6:J8" si="0">I6-I5</f>
        <v>-8.499999999999952E-3</v>
      </c>
      <c r="K6" s="12"/>
      <c r="L6" s="33">
        <f t="shared" ref="L6:L8" si="1">J6</f>
        <v>-8.499999999999952E-3</v>
      </c>
      <c r="M6" s="36">
        <f t="shared" ref="M6:M12" si="2">$D$11*L6</f>
        <v>-849999.99999999523</v>
      </c>
      <c r="N6" s="33">
        <f>I6-$I$5</f>
        <v>-8.499999999999952E-3</v>
      </c>
      <c r="O6" s="36">
        <f t="shared" ref="O6:O12" si="3">N6*$D$11</f>
        <v>-849999.99999999523</v>
      </c>
      <c r="P6" s="27">
        <f>R5+M6</f>
        <v>6806250.0000000047</v>
      </c>
      <c r="Q6" s="27">
        <f t="shared" ref="Q6:Q12" si="4">IF(P6&lt;$D$21, $D$17-P6, 0)</f>
        <v>0</v>
      </c>
      <c r="R6" s="27">
        <f>P6+Q6</f>
        <v>6806250.0000000047</v>
      </c>
    </row>
    <row r="7" spans="1:18" x14ac:dyDescent="0.25">
      <c r="B7" t="s">
        <v>39</v>
      </c>
      <c r="D7" s="15">
        <v>45566</v>
      </c>
      <c r="G7" s="11">
        <v>45579</v>
      </c>
      <c r="H7" s="32">
        <v>1.8792500000000001</v>
      </c>
      <c r="I7" s="32">
        <v>1.87825</v>
      </c>
      <c r="J7" s="32">
        <f t="shared" si="0"/>
        <v>4.249999999999865E-3</v>
      </c>
      <c r="K7" s="12"/>
      <c r="L7" s="33">
        <f t="shared" si="1"/>
        <v>4.249999999999865E-3</v>
      </c>
      <c r="M7" s="36">
        <f t="shared" si="2"/>
        <v>424999.9999999865</v>
      </c>
      <c r="N7" s="33">
        <f t="shared" ref="N7:N8" si="5">I7-$I$5</f>
        <v>-4.250000000000087E-3</v>
      </c>
      <c r="O7" s="36">
        <f t="shared" si="3"/>
        <v>-425000.00000000873</v>
      </c>
      <c r="P7" s="27">
        <f t="shared" ref="P7:P8" si="6">R6+M7</f>
        <v>7231249.9999999907</v>
      </c>
      <c r="Q7" s="27">
        <f t="shared" si="4"/>
        <v>0</v>
      </c>
      <c r="R7" s="27">
        <f t="shared" ref="R7:R8" si="7">P7+Q7</f>
        <v>7231249.9999999907</v>
      </c>
    </row>
    <row r="8" spans="1:18" x14ac:dyDescent="0.25">
      <c r="B8" s="37" t="s">
        <v>40</v>
      </c>
      <c r="C8" s="37"/>
      <c r="D8" s="38">
        <v>45627</v>
      </c>
      <c r="G8" s="11">
        <v>45580</v>
      </c>
      <c r="H8" s="32">
        <v>1.8652500000000001</v>
      </c>
      <c r="I8" s="32">
        <v>1.86625</v>
      </c>
      <c r="J8" s="32">
        <f t="shared" si="0"/>
        <v>-1.2000000000000011E-2</v>
      </c>
      <c r="K8" s="12"/>
      <c r="L8" s="33">
        <f t="shared" si="1"/>
        <v>-1.2000000000000011E-2</v>
      </c>
      <c r="M8" s="36">
        <f t="shared" si="2"/>
        <v>-1200000.0000000012</v>
      </c>
      <c r="N8" s="33">
        <f t="shared" si="5"/>
        <v>-1.6250000000000098E-2</v>
      </c>
      <c r="O8" s="36">
        <f t="shared" si="3"/>
        <v>-1625000.0000000098</v>
      </c>
      <c r="P8" s="27">
        <f t="shared" si="6"/>
        <v>6031249.9999999898</v>
      </c>
      <c r="Q8" s="27">
        <f t="shared" si="4"/>
        <v>1625000.0000000102</v>
      </c>
      <c r="R8" s="27">
        <f t="shared" si="7"/>
        <v>7656250</v>
      </c>
    </row>
    <row r="9" spans="1:18" x14ac:dyDescent="0.25">
      <c r="B9" t="s">
        <v>32</v>
      </c>
      <c r="D9" s="15" t="s">
        <v>64</v>
      </c>
      <c r="G9" s="11">
        <v>45581</v>
      </c>
      <c r="H9" s="32"/>
      <c r="I9" s="32">
        <v>1.86625</v>
      </c>
      <c r="J9" s="32">
        <f t="shared" ref="J9:J16" si="8">I9-I8</f>
        <v>0</v>
      </c>
      <c r="K9" s="12"/>
      <c r="L9" s="33">
        <f t="shared" ref="L9:L16" si="9">J9</f>
        <v>0</v>
      </c>
      <c r="M9" s="36">
        <f t="shared" si="2"/>
        <v>0</v>
      </c>
      <c r="N9" s="33">
        <f t="shared" ref="N9:N12" si="10">I9-$I$5</f>
        <v>-1.6250000000000098E-2</v>
      </c>
      <c r="O9" s="36">
        <f t="shared" si="3"/>
        <v>-1625000.0000000098</v>
      </c>
      <c r="P9" s="27">
        <f t="shared" ref="P9:P12" si="11">R8+M9</f>
        <v>7656250</v>
      </c>
      <c r="Q9" s="27">
        <f t="shared" si="4"/>
        <v>0</v>
      </c>
      <c r="R9" s="27">
        <f t="shared" ref="R9:R12" si="12">P9+Q9</f>
        <v>7656250</v>
      </c>
    </row>
    <row r="10" spans="1:18" x14ac:dyDescent="0.25">
      <c r="B10" t="s">
        <v>34</v>
      </c>
      <c r="D10" s="15" t="s">
        <v>35</v>
      </c>
      <c r="G10" s="11">
        <v>45582</v>
      </c>
      <c r="H10" s="32"/>
      <c r="I10" s="32">
        <v>1.8612500000000001</v>
      </c>
      <c r="J10" s="32">
        <f t="shared" si="8"/>
        <v>-4.9999999999998934E-3</v>
      </c>
      <c r="K10" s="12"/>
      <c r="L10" s="33">
        <f t="shared" si="9"/>
        <v>-4.9999999999998934E-3</v>
      </c>
      <c r="M10" s="36">
        <f t="shared" si="2"/>
        <v>-499999.99999998935</v>
      </c>
      <c r="N10" s="33">
        <f t="shared" si="10"/>
        <v>-2.1249999999999991E-2</v>
      </c>
      <c r="O10" s="36">
        <f t="shared" si="3"/>
        <v>-2124999.9999999991</v>
      </c>
      <c r="P10" s="27">
        <f t="shared" si="11"/>
        <v>7156250.0000000102</v>
      </c>
      <c r="Q10" s="27">
        <f t="shared" si="4"/>
        <v>0</v>
      </c>
      <c r="R10" s="27">
        <f t="shared" si="12"/>
        <v>7156250.0000000102</v>
      </c>
    </row>
    <row r="11" spans="1:18" x14ac:dyDescent="0.25">
      <c r="B11" t="s">
        <v>63</v>
      </c>
      <c r="D11" s="19">
        <v>100000000</v>
      </c>
      <c r="G11" s="11">
        <v>45583</v>
      </c>
      <c r="H11" s="32"/>
      <c r="I11" s="32">
        <v>1.871</v>
      </c>
      <c r="J11" s="32">
        <f t="shared" si="8"/>
        <v>9.7499999999999254E-3</v>
      </c>
      <c r="K11" s="12"/>
      <c r="L11" s="33">
        <f t="shared" si="9"/>
        <v>9.7499999999999254E-3</v>
      </c>
      <c r="M11" s="36">
        <f t="shared" si="2"/>
        <v>974999.99999999255</v>
      </c>
      <c r="N11" s="33">
        <f t="shared" si="10"/>
        <v>-1.1500000000000066E-2</v>
      </c>
      <c r="O11" s="36">
        <f t="shared" si="3"/>
        <v>-1150000.0000000065</v>
      </c>
      <c r="P11" s="27">
        <f t="shared" si="11"/>
        <v>8131250.0000000028</v>
      </c>
      <c r="Q11" s="27">
        <f t="shared" si="4"/>
        <v>0</v>
      </c>
      <c r="R11" s="27">
        <f t="shared" si="12"/>
        <v>8131250.0000000028</v>
      </c>
    </row>
    <row r="12" spans="1:18" x14ac:dyDescent="0.25">
      <c r="B12" t="s">
        <v>42</v>
      </c>
      <c r="D12" s="20">
        <f>ROUND(D11/D6,0)</f>
        <v>2500</v>
      </c>
      <c r="G12" s="11">
        <v>45586</v>
      </c>
      <c r="H12" s="32"/>
      <c r="I12" s="32">
        <v>1.86825</v>
      </c>
      <c r="J12" s="32">
        <f t="shared" si="8"/>
        <v>-2.7500000000000302E-3</v>
      </c>
      <c r="K12" s="12"/>
      <c r="L12" s="33">
        <f t="shared" si="9"/>
        <v>-2.7500000000000302E-3</v>
      </c>
      <c r="M12" s="36">
        <f t="shared" si="2"/>
        <v>-275000.00000000303</v>
      </c>
      <c r="N12" s="33">
        <f t="shared" si="10"/>
        <v>-1.4250000000000096E-2</v>
      </c>
      <c r="O12" s="36">
        <f t="shared" si="3"/>
        <v>-1425000.0000000095</v>
      </c>
      <c r="P12" s="27">
        <f t="shared" si="11"/>
        <v>7856250</v>
      </c>
      <c r="Q12" s="27">
        <f t="shared" si="4"/>
        <v>0</v>
      </c>
      <c r="R12" s="27">
        <f t="shared" si="12"/>
        <v>7856250</v>
      </c>
    </row>
    <row r="13" spans="1:18" x14ac:dyDescent="0.25">
      <c r="B13" t="s">
        <v>48</v>
      </c>
      <c r="D13" s="19">
        <f>D12*I5*D6</f>
        <v>188250000</v>
      </c>
      <c r="G13" s="11">
        <v>45587</v>
      </c>
      <c r="H13" s="32"/>
      <c r="I13" s="32">
        <v>1.8807499999999999</v>
      </c>
      <c r="J13" s="32">
        <f t="shared" si="8"/>
        <v>1.2499999999999956E-2</v>
      </c>
      <c r="K13" s="12"/>
      <c r="L13" s="33">
        <f t="shared" si="9"/>
        <v>1.2499999999999956E-2</v>
      </c>
      <c r="M13" s="36">
        <f t="shared" ref="M13:M16" si="13">$D$11*L13</f>
        <v>1249999.9999999956</v>
      </c>
      <c r="N13" s="33">
        <f t="shared" ref="N13:N16" si="14">I13-$I$5</f>
        <v>-1.7500000000001403E-3</v>
      </c>
      <c r="O13" s="36">
        <f t="shared" ref="O13:O16" si="15">N13*$D$11</f>
        <v>-175000.00000001403</v>
      </c>
      <c r="P13" s="27">
        <f t="shared" ref="P13:P16" si="16">R12+M13</f>
        <v>9106249.9999999963</v>
      </c>
      <c r="Q13" s="27">
        <f t="shared" ref="Q13:Q16" si="17">IF(P13&lt;$D$21, $D$17-P13, 0)</f>
        <v>0</v>
      </c>
      <c r="R13" s="27">
        <f t="shared" ref="R13:R16" si="18">P13+Q13</f>
        <v>9106249.9999999963</v>
      </c>
    </row>
    <row r="14" spans="1:18" s="12" customFormat="1" x14ac:dyDescent="0.25">
      <c r="B14"/>
      <c r="C14"/>
      <c r="D14"/>
      <c r="E14"/>
      <c r="G14" s="11">
        <v>45588</v>
      </c>
      <c r="H14" s="32"/>
      <c r="I14" s="32">
        <v>1.8794999999999999</v>
      </c>
      <c r="J14" s="32">
        <f t="shared" si="8"/>
        <v>-1.2499999999999734E-3</v>
      </c>
      <c r="L14" s="33">
        <f t="shared" si="9"/>
        <v>-1.2499999999999734E-3</v>
      </c>
      <c r="M14" s="36">
        <f t="shared" si="13"/>
        <v>-124999.99999999734</v>
      </c>
      <c r="N14" s="33">
        <f t="shared" si="14"/>
        <v>-3.0000000000001137E-3</v>
      </c>
      <c r="O14" s="36">
        <f t="shared" si="15"/>
        <v>-300000.00000001135</v>
      </c>
      <c r="P14" s="27">
        <f t="shared" si="16"/>
        <v>8981249.9999999981</v>
      </c>
      <c r="Q14" s="27">
        <f t="shared" si="17"/>
        <v>0</v>
      </c>
      <c r="R14" s="27">
        <f t="shared" si="18"/>
        <v>8981249.9999999981</v>
      </c>
    </row>
    <row r="15" spans="1:18" s="12" customFormat="1" x14ac:dyDescent="0.25">
      <c r="B15" s="6" t="s">
        <v>10</v>
      </c>
      <c r="C15"/>
      <c r="D15"/>
      <c r="G15" s="11">
        <v>45589</v>
      </c>
      <c r="H15" s="32"/>
      <c r="I15" s="32">
        <v>1.8927499999999999</v>
      </c>
      <c r="J15" s="32">
        <f t="shared" si="8"/>
        <v>1.3249999999999984E-2</v>
      </c>
      <c r="L15" s="33">
        <f t="shared" si="9"/>
        <v>1.3249999999999984E-2</v>
      </c>
      <c r="M15" s="36">
        <f t="shared" si="13"/>
        <v>1324999.9999999984</v>
      </c>
      <c r="N15" s="33">
        <f t="shared" si="14"/>
        <v>1.024999999999987E-2</v>
      </c>
      <c r="O15" s="36">
        <f t="shared" si="15"/>
        <v>1024999.9999999871</v>
      </c>
      <c r="P15" s="27">
        <f t="shared" si="16"/>
        <v>10306249.999999996</v>
      </c>
      <c r="Q15" s="27">
        <f t="shared" si="17"/>
        <v>0</v>
      </c>
      <c r="R15" s="27">
        <f t="shared" si="18"/>
        <v>10306249.999999996</v>
      </c>
    </row>
    <row r="16" spans="1:18" x14ac:dyDescent="0.25">
      <c r="B16" t="s">
        <v>49</v>
      </c>
      <c r="C16" s="12"/>
      <c r="D16" s="19">
        <v>2450</v>
      </c>
      <c r="E16" s="12"/>
      <c r="G16" s="11">
        <v>45590</v>
      </c>
      <c r="H16" s="32"/>
      <c r="I16" s="32">
        <v>1.88975</v>
      </c>
      <c r="J16" s="32">
        <f t="shared" si="8"/>
        <v>-2.9999999999998916E-3</v>
      </c>
      <c r="K16" s="12"/>
      <c r="L16" s="33">
        <f t="shared" si="9"/>
        <v>-2.9999999999998916E-3</v>
      </c>
      <c r="M16" s="36">
        <f t="shared" si="13"/>
        <v>-299999.99999998917</v>
      </c>
      <c r="N16" s="33">
        <f t="shared" si="14"/>
        <v>7.2499999999999787E-3</v>
      </c>
      <c r="O16" s="36">
        <f t="shared" si="15"/>
        <v>724999.9999999979</v>
      </c>
      <c r="P16" s="27">
        <f t="shared" si="16"/>
        <v>10006250.000000007</v>
      </c>
      <c r="Q16" s="27">
        <f t="shared" si="17"/>
        <v>0</v>
      </c>
      <c r="R16" s="27">
        <f t="shared" si="18"/>
        <v>10006250.000000007</v>
      </c>
    </row>
    <row r="17" spans="2:18" x14ac:dyDescent="0.25">
      <c r="B17" t="s">
        <v>46</v>
      </c>
      <c r="C17" s="12"/>
      <c r="D17" s="23">
        <f>D16*D18*D12</f>
        <v>7656250</v>
      </c>
      <c r="G17" s="11">
        <v>45594</v>
      </c>
      <c r="H17" s="32"/>
      <c r="I17" s="32">
        <v>1.9</v>
      </c>
      <c r="J17" s="32">
        <f>I17-I16</f>
        <v>1.024999999999987E-2</v>
      </c>
      <c r="K17" s="12" t="s">
        <v>73</v>
      </c>
      <c r="L17" s="33">
        <f>J17</f>
        <v>1.024999999999987E-2</v>
      </c>
      <c r="M17" s="36">
        <f t="shared" ref="M17" si="19">$D$11*L17</f>
        <v>1024999.9999999871</v>
      </c>
      <c r="N17" s="33">
        <f t="shared" ref="N17" si="20">I17-$I$5</f>
        <v>1.7499999999999849E-2</v>
      </c>
      <c r="O17" s="36">
        <f t="shared" ref="O17" si="21">N17*$D$11</f>
        <v>1749999.9999999849</v>
      </c>
      <c r="P17" s="27">
        <f t="shared" ref="P17" si="22">R16+M17</f>
        <v>11031249.999999994</v>
      </c>
      <c r="Q17" s="27">
        <f t="shared" ref="Q17" si="23">IF(P17&lt;$D$21, $D$17-P17, 0)</f>
        <v>0</v>
      </c>
      <c r="R17" s="27">
        <f t="shared" ref="R17" si="24">P17+Q17</f>
        <v>11031249.999999994</v>
      </c>
    </row>
    <row r="18" spans="2:18" x14ac:dyDescent="0.25">
      <c r="B18" s="21" t="s">
        <v>45</v>
      </c>
      <c r="C18" s="12"/>
      <c r="D18" s="25">
        <v>1.25</v>
      </c>
    </row>
    <row r="19" spans="2:18" x14ac:dyDescent="0.25">
      <c r="B19" t="s">
        <v>44</v>
      </c>
      <c r="D19" s="24">
        <f>D17/D13</f>
        <v>4.0670650730411685E-2</v>
      </c>
    </row>
    <row r="20" spans="2:18" x14ac:dyDescent="0.25">
      <c r="B20" t="s">
        <v>50</v>
      </c>
      <c r="D20" s="23">
        <f>D16*D12</f>
        <v>6125000</v>
      </c>
    </row>
    <row r="21" spans="2:18" x14ac:dyDescent="0.25">
      <c r="B21" t="s">
        <v>51</v>
      </c>
      <c r="D21" s="26">
        <f>D20</f>
        <v>6125000</v>
      </c>
    </row>
    <row r="22" spans="2:18" x14ac:dyDescent="0.25">
      <c r="B22" t="s">
        <v>65</v>
      </c>
      <c r="D22" s="23">
        <f>COUNTIF(CattleTable[Margin Payment], "&gt;0") -1</f>
        <v>1</v>
      </c>
    </row>
  </sheetData>
  <mergeCells count="2">
    <mergeCell ref="L2:M2"/>
    <mergeCell ref="N2:O2"/>
  </mergeCells>
  <hyperlinks>
    <hyperlink ref="D1" r:id="rId1" display="https://www.cmegroup.com/markets/agriculture/livestock/live-cattle.quotes.html" xr:uid="{D3BF76FB-DE6E-467A-AF02-70322CF143DD}"/>
  </hyperlinks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E295-6123-4EAF-B935-988A904176E6}">
  <dimension ref="A1:R22"/>
  <sheetViews>
    <sheetView showGridLines="0" zoomScale="113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8" width="10.5703125" customWidth="1"/>
    <col min="9" max="9" width="14.5703125" customWidth="1"/>
    <col min="10" max="10" width="9.5703125" customWidth="1"/>
    <col min="11" max="11" width="10.5703125" customWidth="1"/>
    <col min="12" max="12" width="15.5703125" customWidth="1"/>
    <col min="13" max="13" width="11.5703125" bestFit="1" customWidth="1"/>
    <col min="14" max="15" width="12.5703125" customWidth="1"/>
    <col min="16" max="16" width="15.85546875" customWidth="1"/>
    <col min="17" max="17" width="15.5703125" customWidth="1"/>
    <col min="18" max="18" width="25.5703125" customWidth="1"/>
  </cols>
  <sheetData>
    <row r="1" spans="1:18" ht="26.25" x14ac:dyDescent="0.4">
      <c r="B1" s="1" t="s">
        <v>109</v>
      </c>
      <c r="D1" s="41" t="s">
        <v>110</v>
      </c>
    </row>
    <row r="2" spans="1:18" x14ac:dyDescent="0.25">
      <c r="L2" s="68" t="s">
        <v>29</v>
      </c>
      <c r="M2" s="68"/>
      <c r="N2" s="68" t="s">
        <v>30</v>
      </c>
      <c r="O2" s="68"/>
    </row>
    <row r="3" spans="1:18" x14ac:dyDescent="0.25">
      <c r="A3" t="s">
        <v>11</v>
      </c>
      <c r="B3" s="2" t="s">
        <v>31</v>
      </c>
      <c r="C3" s="2"/>
      <c r="D3" s="2"/>
      <c r="E3" s="2"/>
      <c r="G3" t="s">
        <v>22</v>
      </c>
      <c r="H3" s="34" t="s">
        <v>24</v>
      </c>
      <c r="I3" s="34" t="s">
        <v>114</v>
      </c>
      <c r="J3" s="34" t="s">
        <v>23</v>
      </c>
      <c r="K3" s="34" t="s">
        <v>26</v>
      </c>
      <c r="L3" s="34" t="s">
        <v>115</v>
      </c>
      <c r="M3" s="34" t="s">
        <v>55</v>
      </c>
      <c r="N3" s="34" t="s">
        <v>116</v>
      </c>
      <c r="O3" s="34" t="s">
        <v>57</v>
      </c>
      <c r="P3" s="34" t="s">
        <v>28</v>
      </c>
      <c r="Q3" s="34" t="s">
        <v>52</v>
      </c>
      <c r="R3" s="34" t="s">
        <v>53</v>
      </c>
    </row>
    <row r="4" spans="1:18" x14ac:dyDescent="0.25">
      <c r="B4" s="6" t="s">
        <v>47</v>
      </c>
      <c r="G4" s="11">
        <v>45583</v>
      </c>
      <c r="H4" s="32"/>
      <c r="I4" s="32"/>
      <c r="J4" s="32"/>
      <c r="K4" s="12"/>
      <c r="L4" s="33"/>
      <c r="M4" s="36"/>
      <c r="N4" s="33"/>
      <c r="O4" s="36"/>
      <c r="P4" s="27">
        <v>0</v>
      </c>
      <c r="Q4" s="27">
        <v>0</v>
      </c>
      <c r="R4" s="27">
        <f>P4+Q4</f>
        <v>0</v>
      </c>
    </row>
    <row r="5" spans="1:18" x14ac:dyDescent="0.25">
      <c r="B5" t="s">
        <v>36</v>
      </c>
      <c r="D5" s="16" t="s">
        <v>108</v>
      </c>
      <c r="G5" s="11">
        <v>45586</v>
      </c>
      <c r="H5" s="32"/>
      <c r="I5" s="32">
        <v>10.012499999999999</v>
      </c>
      <c r="J5" s="32">
        <f t="shared" ref="J5:J9" si="0">I5-I4</f>
        <v>10.012499999999999</v>
      </c>
      <c r="K5" s="12" t="s">
        <v>27</v>
      </c>
      <c r="L5" s="33">
        <f>J5</f>
        <v>10.012499999999999</v>
      </c>
      <c r="M5" s="36"/>
      <c r="N5" s="33"/>
      <c r="O5" s="36"/>
      <c r="P5" s="27">
        <v>0</v>
      </c>
      <c r="Q5" s="27">
        <f>D17</f>
        <v>9900000</v>
      </c>
      <c r="R5" s="27">
        <f>P5+Q5</f>
        <v>9900000</v>
      </c>
    </row>
    <row r="6" spans="1:18" x14ac:dyDescent="0.25">
      <c r="B6" t="s">
        <v>111</v>
      </c>
      <c r="D6" s="31">
        <v>5000</v>
      </c>
      <c r="G6" s="11">
        <v>45587</v>
      </c>
      <c r="H6" s="32"/>
      <c r="I6" s="32">
        <v>10.1325</v>
      </c>
      <c r="J6" s="32">
        <f t="shared" si="0"/>
        <v>0.12000000000000099</v>
      </c>
      <c r="K6" s="12"/>
      <c r="L6" s="33">
        <f t="shared" ref="L6:L8" si="1">J6</f>
        <v>0.12000000000000099</v>
      </c>
      <c r="M6" s="36">
        <f t="shared" ref="M6:M9" si="2">$D$11*L6</f>
        <v>2640000.0000000219</v>
      </c>
      <c r="N6" s="33">
        <f t="shared" ref="N6:N9" si="3">I6-$I$5</f>
        <v>0.12000000000000099</v>
      </c>
      <c r="O6" s="36">
        <f t="shared" ref="O6:O9" si="4">N6*$D$11</f>
        <v>2640000.0000000219</v>
      </c>
      <c r="P6" s="27">
        <f>R5+M6</f>
        <v>12540000.000000022</v>
      </c>
      <c r="Q6" s="27">
        <f t="shared" ref="Q6:Q9" si="5">IF(P6&lt;$D$21, $D$17-P6, 0)</f>
        <v>0</v>
      </c>
      <c r="R6" s="27">
        <f>P6+Q6</f>
        <v>12540000.000000022</v>
      </c>
    </row>
    <row r="7" spans="1:18" x14ac:dyDescent="0.25">
      <c r="B7" t="s">
        <v>39</v>
      </c>
      <c r="D7" s="15">
        <v>45566</v>
      </c>
      <c r="G7" s="11">
        <v>45588</v>
      </c>
      <c r="H7" s="32"/>
      <c r="I7" s="32">
        <v>10.16</v>
      </c>
      <c r="J7" s="32">
        <f t="shared" si="0"/>
        <v>2.7499999999999858E-2</v>
      </c>
      <c r="K7" s="12"/>
      <c r="L7" s="33">
        <f t="shared" si="1"/>
        <v>2.7499999999999858E-2</v>
      </c>
      <c r="M7" s="36">
        <f t="shared" si="2"/>
        <v>604999.99999999686</v>
      </c>
      <c r="N7" s="33">
        <f t="shared" si="3"/>
        <v>0.14750000000000085</v>
      </c>
      <c r="O7" s="36">
        <f t="shared" si="4"/>
        <v>3245000.0000000186</v>
      </c>
      <c r="P7" s="27">
        <f t="shared" ref="P7:P9" si="6">R6+M7</f>
        <v>13145000.000000019</v>
      </c>
      <c r="Q7" s="27">
        <f t="shared" si="5"/>
        <v>0</v>
      </c>
      <c r="R7" s="27">
        <f t="shared" ref="R7:R9" si="7">P7+Q7</f>
        <v>13145000.000000019</v>
      </c>
    </row>
    <row r="8" spans="1:18" x14ac:dyDescent="0.25">
      <c r="B8" s="37" t="s">
        <v>40</v>
      </c>
      <c r="C8" s="37"/>
      <c r="D8" s="38">
        <v>45717</v>
      </c>
      <c r="G8" s="11">
        <v>45589</v>
      </c>
      <c r="H8" s="32"/>
      <c r="I8" s="32">
        <v>10.1675</v>
      </c>
      <c r="J8" s="32">
        <f t="shared" si="0"/>
        <v>7.5000000000002842E-3</v>
      </c>
      <c r="K8" s="12"/>
      <c r="L8" s="33">
        <f t="shared" si="1"/>
        <v>7.5000000000002842E-3</v>
      </c>
      <c r="M8" s="36">
        <f t="shared" si="2"/>
        <v>165000.00000000626</v>
      </c>
      <c r="N8" s="33">
        <f t="shared" si="3"/>
        <v>0.15500000000000114</v>
      </c>
      <c r="O8" s="36">
        <f t="shared" si="4"/>
        <v>3410000.0000000251</v>
      </c>
      <c r="P8" s="27">
        <f t="shared" si="6"/>
        <v>13310000.000000024</v>
      </c>
      <c r="Q8" s="27">
        <f t="shared" si="5"/>
        <v>0</v>
      </c>
      <c r="R8" s="27">
        <f t="shared" si="7"/>
        <v>13310000.000000024</v>
      </c>
    </row>
    <row r="9" spans="1:18" x14ac:dyDescent="0.25">
      <c r="B9" t="s">
        <v>32</v>
      </c>
      <c r="D9" s="15" t="s">
        <v>112</v>
      </c>
      <c r="G9" s="11">
        <v>45590</v>
      </c>
      <c r="H9" s="32"/>
      <c r="I9" s="32">
        <v>10.09</v>
      </c>
      <c r="J9" s="32">
        <f t="shared" si="0"/>
        <v>-7.7500000000000568E-2</v>
      </c>
      <c r="K9" s="12"/>
      <c r="L9" s="33">
        <f>J9</f>
        <v>-7.7500000000000568E-2</v>
      </c>
      <c r="M9" s="36">
        <f t="shared" si="2"/>
        <v>-1705000.0000000126</v>
      </c>
      <c r="N9" s="33">
        <f t="shared" si="3"/>
        <v>7.7500000000000568E-2</v>
      </c>
      <c r="O9" s="36">
        <f t="shared" si="4"/>
        <v>1705000.0000000126</v>
      </c>
      <c r="P9" s="27">
        <f t="shared" si="6"/>
        <v>11605000.000000011</v>
      </c>
      <c r="Q9" s="27">
        <f t="shared" si="5"/>
        <v>0</v>
      </c>
      <c r="R9" s="27">
        <f t="shared" si="7"/>
        <v>11605000.000000011</v>
      </c>
    </row>
    <row r="10" spans="1:18" x14ac:dyDescent="0.25">
      <c r="B10" t="s">
        <v>34</v>
      </c>
      <c r="D10" s="15" t="s">
        <v>35</v>
      </c>
      <c r="G10" s="11">
        <v>45603</v>
      </c>
      <c r="H10" s="32"/>
      <c r="I10" s="32">
        <v>10.375</v>
      </c>
      <c r="J10" s="32">
        <f>I10-I9</f>
        <v>0.28500000000000014</v>
      </c>
      <c r="K10" s="12" t="s">
        <v>73</v>
      </c>
      <c r="L10" s="33">
        <f>J10</f>
        <v>0.28500000000000014</v>
      </c>
      <c r="M10" s="36">
        <f t="shared" ref="M10" si="8">$D$11*L10</f>
        <v>6270000.0000000028</v>
      </c>
      <c r="N10" s="33">
        <f t="shared" ref="N10" si="9">I10-$I$5</f>
        <v>0.36250000000000071</v>
      </c>
      <c r="O10" s="36">
        <f t="shared" ref="O10" si="10">N10*$D$11</f>
        <v>7975000.0000000158</v>
      </c>
      <c r="P10" s="27">
        <f t="shared" ref="P10" si="11">R9+M10</f>
        <v>17875000.000000015</v>
      </c>
      <c r="Q10" s="27">
        <f t="shared" ref="Q10" si="12">IF(P10&lt;$D$21, $D$17-P10, 0)</f>
        <v>0</v>
      </c>
      <c r="R10" s="27">
        <f t="shared" ref="R10" si="13">P10+Q10</f>
        <v>17875000.000000015</v>
      </c>
    </row>
    <row r="11" spans="1:18" x14ac:dyDescent="0.25">
      <c r="B11" t="s">
        <v>113</v>
      </c>
      <c r="D11" s="19">
        <v>22000000</v>
      </c>
      <c r="G11" s="11"/>
      <c r="H11" s="32"/>
      <c r="I11" s="32"/>
      <c r="J11" s="32"/>
      <c r="K11" s="12"/>
      <c r="L11" s="33"/>
      <c r="M11" s="36"/>
      <c r="N11" s="33"/>
      <c r="O11" s="36"/>
      <c r="P11" s="27"/>
      <c r="Q11" s="27"/>
      <c r="R11" s="27"/>
    </row>
    <row r="12" spans="1:18" x14ac:dyDescent="0.25">
      <c r="B12" t="s">
        <v>42</v>
      </c>
      <c r="D12" s="20">
        <f>ROUND(D11/D6,0)</f>
        <v>4400</v>
      </c>
      <c r="F12" t="s">
        <v>107</v>
      </c>
      <c r="G12" s="11"/>
      <c r="H12" s="32"/>
      <c r="I12" s="32"/>
      <c r="J12" s="32"/>
      <c r="K12" s="12"/>
      <c r="L12" s="33"/>
      <c r="M12" s="36"/>
      <c r="N12" s="33"/>
      <c r="O12" s="36"/>
      <c r="P12" s="27"/>
      <c r="Q12" s="27"/>
      <c r="R12" s="27"/>
    </row>
    <row r="13" spans="1:18" x14ac:dyDescent="0.25">
      <c r="B13" t="s">
        <v>48</v>
      </c>
      <c r="D13" s="19">
        <f>D12*I5*D6</f>
        <v>220275000</v>
      </c>
    </row>
    <row r="14" spans="1:18" s="12" customFormat="1" x14ac:dyDescent="0.25">
      <c r="B14"/>
      <c r="C14"/>
      <c r="D14"/>
      <c r="E14"/>
    </row>
    <row r="15" spans="1:18" s="12" customFormat="1" x14ac:dyDescent="0.25">
      <c r="B15" s="6" t="s">
        <v>10</v>
      </c>
      <c r="C15"/>
      <c r="D15"/>
    </row>
    <row r="16" spans="1:18" x14ac:dyDescent="0.25">
      <c r="B16" t="s">
        <v>49</v>
      </c>
      <c r="C16" s="12"/>
      <c r="D16" s="19">
        <v>1800</v>
      </c>
      <c r="E16" s="12"/>
    </row>
    <row r="17" spans="2:4" x14ac:dyDescent="0.25">
      <c r="B17" t="s">
        <v>46</v>
      </c>
      <c r="C17" s="12"/>
      <c r="D17" s="23">
        <f>D16*D18*D12</f>
        <v>9900000</v>
      </c>
    </row>
    <row r="18" spans="2:4" x14ac:dyDescent="0.25">
      <c r="B18" s="21" t="s">
        <v>45</v>
      </c>
      <c r="C18" s="12"/>
      <c r="D18" s="25">
        <v>1.25</v>
      </c>
    </row>
    <row r="19" spans="2:4" x14ac:dyDescent="0.25">
      <c r="B19" t="s">
        <v>44</v>
      </c>
      <c r="D19" s="24">
        <f>D17/D13</f>
        <v>4.49438202247191E-2</v>
      </c>
    </row>
    <row r="20" spans="2:4" x14ac:dyDescent="0.25">
      <c r="B20" t="s">
        <v>50</v>
      </c>
      <c r="D20" s="23">
        <f>D16*D12</f>
        <v>7920000</v>
      </c>
    </row>
    <row r="21" spans="2:4" x14ac:dyDescent="0.25">
      <c r="B21" t="s">
        <v>51</v>
      </c>
      <c r="D21" s="26">
        <f>D20</f>
        <v>7920000</v>
      </c>
    </row>
    <row r="22" spans="2:4" x14ac:dyDescent="0.25">
      <c r="B22" t="s">
        <v>65</v>
      </c>
      <c r="D22" s="23">
        <f>COUNTIF(SoyTable[Margin Payment], "&gt;0") -1</f>
        <v>0</v>
      </c>
    </row>
  </sheetData>
  <mergeCells count="2">
    <mergeCell ref="L2:M2"/>
    <mergeCell ref="N2:O2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46E8-C978-4122-9408-8F4886A2A66B}">
  <dimension ref="A1:R22"/>
  <sheetViews>
    <sheetView showGridLines="0" topLeftCell="C1" zoomScale="113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2.5703125" customWidth="1"/>
    <col min="2" max="2" width="18.7109375" bestFit="1" customWidth="1"/>
    <col min="3" max="3" width="13.5703125" customWidth="1"/>
    <col min="4" max="4" width="32.5703125" bestFit="1" customWidth="1"/>
    <col min="7" max="7" width="8.5703125" customWidth="1"/>
    <col min="8" max="8" width="10.5703125" customWidth="1"/>
    <col min="9" max="9" width="14.5703125" customWidth="1"/>
    <col min="10" max="10" width="9.5703125" customWidth="1"/>
    <col min="11" max="11" width="10.5703125" customWidth="1"/>
    <col min="12" max="12" width="15.5703125" customWidth="1"/>
    <col min="13" max="13" width="11.5703125" bestFit="1" customWidth="1"/>
    <col min="14" max="15" width="12.5703125" customWidth="1"/>
    <col min="16" max="16" width="15.85546875" customWidth="1"/>
    <col min="17" max="17" width="15.5703125" customWidth="1"/>
    <col min="18" max="18" width="25.5703125" customWidth="1"/>
  </cols>
  <sheetData>
    <row r="1" spans="1:18" ht="26.25" x14ac:dyDescent="0.4">
      <c r="B1" s="1" t="s">
        <v>119</v>
      </c>
      <c r="D1" s="41" t="s">
        <v>118</v>
      </c>
    </row>
    <row r="2" spans="1:18" x14ac:dyDescent="0.25">
      <c r="L2" s="68" t="s">
        <v>29</v>
      </c>
      <c r="M2" s="68"/>
      <c r="N2" s="68" t="s">
        <v>30</v>
      </c>
      <c r="O2" s="68"/>
    </row>
    <row r="3" spans="1:18" x14ac:dyDescent="0.25">
      <c r="A3" t="s">
        <v>11</v>
      </c>
      <c r="B3" s="2" t="s">
        <v>31</v>
      </c>
      <c r="C3" s="2"/>
      <c r="D3" s="2"/>
      <c r="E3" s="2"/>
      <c r="G3" t="s">
        <v>22</v>
      </c>
      <c r="H3" s="34" t="s">
        <v>24</v>
      </c>
      <c r="I3" s="34" t="s">
        <v>125</v>
      </c>
      <c r="J3" s="34" t="s">
        <v>23</v>
      </c>
      <c r="K3" s="34" t="s">
        <v>26</v>
      </c>
      <c r="L3" s="34" t="s">
        <v>126</v>
      </c>
      <c r="M3" s="34" t="s">
        <v>55</v>
      </c>
      <c r="N3" s="34" t="s">
        <v>127</v>
      </c>
      <c r="O3" s="34" t="s">
        <v>57</v>
      </c>
      <c r="P3" s="34" t="s">
        <v>28</v>
      </c>
      <c r="Q3" s="34" t="s">
        <v>52</v>
      </c>
      <c r="R3" s="34" t="s">
        <v>53</v>
      </c>
    </row>
    <row r="4" spans="1:18" x14ac:dyDescent="0.25">
      <c r="B4" s="6" t="s">
        <v>47</v>
      </c>
      <c r="G4" s="11">
        <v>45583</v>
      </c>
      <c r="H4" s="32"/>
      <c r="I4" s="32"/>
      <c r="J4" s="32"/>
      <c r="K4" s="12"/>
      <c r="L4" s="33"/>
      <c r="M4" s="36"/>
      <c r="N4" s="33"/>
      <c r="O4" s="36"/>
      <c r="P4" s="27">
        <v>0</v>
      </c>
      <c r="Q4" s="27">
        <v>0</v>
      </c>
      <c r="R4" s="27">
        <f>P4+Q4</f>
        <v>0</v>
      </c>
    </row>
    <row r="5" spans="1:18" x14ac:dyDescent="0.25">
      <c r="B5" t="s">
        <v>36</v>
      </c>
      <c r="D5" s="16" t="s">
        <v>120</v>
      </c>
      <c r="G5" s="11">
        <v>45586</v>
      </c>
      <c r="H5" s="32"/>
      <c r="I5" s="32">
        <v>2.1903000000000001</v>
      </c>
      <c r="J5" s="32">
        <f t="shared" ref="J5:J9" si="0">I4-I5</f>
        <v>-2.1903000000000001</v>
      </c>
      <c r="K5" s="12" t="s">
        <v>27</v>
      </c>
      <c r="L5" s="33">
        <f>J5</f>
        <v>-2.1903000000000001</v>
      </c>
      <c r="M5" s="36"/>
      <c r="N5" s="33"/>
      <c r="O5" s="36"/>
      <c r="P5" s="27">
        <v>0</v>
      </c>
      <c r="Q5" s="27">
        <f>D17</f>
        <v>17278220</v>
      </c>
      <c r="R5" s="27">
        <f>P5+Q5</f>
        <v>17278220</v>
      </c>
    </row>
    <row r="6" spans="1:18" x14ac:dyDescent="0.25">
      <c r="B6" t="s">
        <v>121</v>
      </c>
      <c r="D6" s="31">
        <v>42000</v>
      </c>
      <c r="G6" s="11">
        <v>45587</v>
      </c>
      <c r="H6" s="32"/>
      <c r="I6" s="32">
        <v>2.2395999999999998</v>
      </c>
      <c r="J6" s="32">
        <f t="shared" si="0"/>
        <v>-4.9299999999999677E-2</v>
      </c>
      <c r="K6" s="12"/>
      <c r="L6" s="33">
        <f t="shared" ref="L6:L8" si="1">J6</f>
        <v>-4.9299999999999677E-2</v>
      </c>
      <c r="M6" s="36">
        <f t="shared" ref="M6:M9" si="2">$D$11*L6</f>
        <v>-4592064.4411950586</v>
      </c>
      <c r="N6" s="33">
        <f t="shared" ref="N6:N9" si="3">$I$5-I6</f>
        <v>-4.9299999999999677E-2</v>
      </c>
      <c r="O6" s="36">
        <f t="shared" ref="O6:O9" si="4">N6*$D$11</f>
        <v>-4592064.4411950586</v>
      </c>
      <c r="P6" s="27">
        <f>R5+M6</f>
        <v>12686155.55880494</v>
      </c>
      <c r="Q6" s="27">
        <f t="shared" ref="Q6:Q9" si="5">IF(P6&lt;$D$21, $D$17-P6, 0)</f>
        <v>4592064.4411950596</v>
      </c>
      <c r="R6" s="27">
        <f>P6+Q6</f>
        <v>17278220</v>
      </c>
    </row>
    <row r="7" spans="1:18" x14ac:dyDescent="0.25">
      <c r="B7" t="s">
        <v>39</v>
      </c>
      <c r="D7" s="15">
        <v>45566</v>
      </c>
      <c r="G7" s="11">
        <v>45588</v>
      </c>
      <c r="H7" s="32"/>
      <c r="I7" s="32">
        <v>2.2383999999999999</v>
      </c>
      <c r="J7" s="32">
        <f t="shared" si="0"/>
        <v>1.1999999999998678E-3</v>
      </c>
      <c r="K7" s="12"/>
      <c r="L7" s="33">
        <f t="shared" si="1"/>
        <v>1.1999999999998678E-3</v>
      </c>
      <c r="M7" s="36">
        <f t="shared" si="2"/>
        <v>111774.38802096347</v>
      </c>
      <c r="N7" s="33">
        <f t="shared" si="3"/>
        <v>-4.809999999999981E-2</v>
      </c>
      <c r="O7" s="36">
        <f t="shared" si="4"/>
        <v>-4480290.0531740952</v>
      </c>
      <c r="P7" s="27">
        <f t="shared" ref="P7:P9" si="6">R6+M7</f>
        <v>17389994.388020962</v>
      </c>
      <c r="Q7" s="27">
        <f t="shared" si="5"/>
        <v>0</v>
      </c>
      <c r="R7" s="27">
        <f t="shared" ref="R7:R9" si="7">P7+Q7</f>
        <v>17389994.388020962</v>
      </c>
    </row>
    <row r="8" spans="1:18" x14ac:dyDescent="0.25">
      <c r="B8" s="37" t="s">
        <v>40</v>
      </c>
      <c r="C8" s="37"/>
      <c r="D8" s="38">
        <v>45627</v>
      </c>
      <c r="G8" s="11">
        <v>45589</v>
      </c>
      <c r="H8" s="32"/>
      <c r="I8" s="32">
        <v>2.2212999999999998</v>
      </c>
      <c r="J8" s="32">
        <f t="shared" si="0"/>
        <v>1.7100000000000115E-2</v>
      </c>
      <c r="K8" s="12"/>
      <c r="L8" s="33">
        <f t="shared" si="1"/>
        <v>1.7100000000000115E-2</v>
      </c>
      <c r="M8" s="36">
        <f t="shared" si="2"/>
        <v>1592785.0292989155</v>
      </c>
      <c r="N8" s="33">
        <f t="shared" si="3"/>
        <v>-3.0999999999999694E-2</v>
      </c>
      <c r="O8" s="36">
        <f t="shared" si="4"/>
        <v>-2887505.0238751792</v>
      </c>
      <c r="P8" s="27">
        <f t="shared" si="6"/>
        <v>18982779.417319879</v>
      </c>
      <c r="Q8" s="27">
        <f t="shared" si="5"/>
        <v>0</v>
      </c>
      <c r="R8" s="27">
        <f t="shared" si="7"/>
        <v>18982779.417319879</v>
      </c>
    </row>
    <row r="9" spans="1:18" x14ac:dyDescent="0.25">
      <c r="B9" t="s">
        <v>32</v>
      </c>
      <c r="D9" s="15" t="s">
        <v>122</v>
      </c>
      <c r="G9" s="11">
        <v>45590</v>
      </c>
      <c r="H9" s="32"/>
      <c r="I9" s="32">
        <v>2.2494999999999998</v>
      </c>
      <c r="J9" s="32">
        <f t="shared" si="0"/>
        <v>-2.8200000000000003E-2</v>
      </c>
      <c r="K9" s="12"/>
      <c r="L9" s="33">
        <f>J9</f>
        <v>-2.8200000000000003E-2</v>
      </c>
      <c r="M9" s="36">
        <f t="shared" si="2"/>
        <v>-2626698.1184929311</v>
      </c>
      <c r="N9" s="33">
        <f t="shared" si="3"/>
        <v>-5.9199999999999697E-2</v>
      </c>
      <c r="O9" s="36">
        <f t="shared" si="4"/>
        <v>-5514203.1423681099</v>
      </c>
      <c r="P9" s="27">
        <f t="shared" si="6"/>
        <v>16356081.298826948</v>
      </c>
      <c r="Q9" s="27">
        <f t="shared" si="5"/>
        <v>0</v>
      </c>
      <c r="R9" s="27">
        <f t="shared" si="7"/>
        <v>16356081.298826948</v>
      </c>
    </row>
    <row r="10" spans="1:18" x14ac:dyDescent="0.25">
      <c r="B10" t="s">
        <v>34</v>
      </c>
      <c r="D10" s="15" t="s">
        <v>69</v>
      </c>
      <c r="G10" s="11">
        <v>45625</v>
      </c>
      <c r="H10" s="32"/>
      <c r="I10" s="32">
        <v>2.2031999999999998</v>
      </c>
      <c r="J10" s="32">
        <f>I9-I10</f>
        <v>4.6300000000000008E-2</v>
      </c>
      <c r="K10" s="12" t="s">
        <v>73</v>
      </c>
      <c r="L10" s="33">
        <f>J10</f>
        <v>4.6300000000000008E-2</v>
      </c>
      <c r="M10" s="36">
        <f t="shared" ref="M10" si="8">$D$11*L10</f>
        <v>4312628.4711426497</v>
      </c>
      <c r="N10" s="33">
        <f t="shared" ref="N10" si="9">$I$5-I10</f>
        <v>-1.2899999999999689E-2</v>
      </c>
      <c r="O10" s="36">
        <f t="shared" ref="O10" si="10">N10*$D$11</f>
        <v>-1201574.6712254607</v>
      </c>
      <c r="P10" s="27">
        <f t="shared" ref="P10" si="11">R9+M10</f>
        <v>20668709.769969597</v>
      </c>
      <c r="Q10" s="27">
        <f t="shared" ref="Q10" si="12">IF(P10&lt;$D$21, $D$17-P10, 0)</f>
        <v>0</v>
      </c>
      <c r="R10" s="27">
        <f t="shared" ref="R10" si="13">P10+Q10</f>
        <v>20668709.769969597</v>
      </c>
    </row>
    <row r="11" spans="1:18" x14ac:dyDescent="0.25">
      <c r="B11" t="s">
        <v>123</v>
      </c>
      <c r="D11" s="19">
        <v>93145323.35081315</v>
      </c>
      <c r="G11" s="11"/>
      <c r="H11" s="32"/>
      <c r="I11" s="32"/>
      <c r="J11" s="32"/>
      <c r="K11" s="12"/>
      <c r="L11" s="33"/>
      <c r="M11" s="36"/>
      <c r="N11" s="33"/>
      <c r="O11" s="36"/>
      <c r="P11" s="27"/>
      <c r="Q11" s="27"/>
      <c r="R11" s="27"/>
    </row>
    <row r="12" spans="1:18" x14ac:dyDescent="0.25">
      <c r="B12" t="s">
        <v>42</v>
      </c>
      <c r="D12" s="20">
        <f>ROUND(D11/D6,0)</f>
        <v>2218</v>
      </c>
      <c r="G12" s="11"/>
      <c r="H12" s="32"/>
      <c r="I12" s="32"/>
      <c r="J12" s="32"/>
      <c r="K12" s="12"/>
      <c r="L12" s="33"/>
      <c r="M12" s="36"/>
      <c r="N12" s="33"/>
      <c r="O12" s="36"/>
      <c r="P12" s="27"/>
      <c r="Q12" s="27"/>
      <c r="R12" s="27"/>
    </row>
    <row r="13" spans="1:18" x14ac:dyDescent="0.25">
      <c r="B13" t="s">
        <v>48</v>
      </c>
      <c r="D13" s="19">
        <f>D12*I5*D6</f>
        <v>204039586.80000001</v>
      </c>
    </row>
    <row r="14" spans="1:18" s="12" customFormat="1" x14ac:dyDescent="0.25">
      <c r="B14"/>
      <c r="C14"/>
      <c r="D14"/>
      <c r="E14"/>
    </row>
    <row r="15" spans="1:18" s="12" customFormat="1" x14ac:dyDescent="0.25">
      <c r="B15" s="6" t="s">
        <v>10</v>
      </c>
      <c r="C15"/>
      <c r="D15"/>
    </row>
    <row r="16" spans="1:18" x14ac:dyDescent="0.25">
      <c r="B16" t="s">
        <v>124</v>
      </c>
      <c r="C16" s="12"/>
      <c r="D16" s="19">
        <v>6232</v>
      </c>
      <c r="E16" s="12"/>
    </row>
    <row r="17" spans="2:4" x14ac:dyDescent="0.25">
      <c r="B17" t="s">
        <v>46</v>
      </c>
      <c r="C17" s="12"/>
      <c r="D17" s="23">
        <f>D16*D18*D12</f>
        <v>17278220</v>
      </c>
    </row>
    <row r="18" spans="2:4" x14ac:dyDescent="0.25">
      <c r="B18" s="21" t="s">
        <v>45</v>
      </c>
      <c r="C18" s="12"/>
      <c r="D18" s="25">
        <v>1.25</v>
      </c>
    </row>
    <row r="19" spans="2:4" x14ac:dyDescent="0.25">
      <c r="B19" t="s">
        <v>44</v>
      </c>
      <c r="D19" s="24">
        <f>D17/D13</f>
        <v>8.4680724319130013E-2</v>
      </c>
    </row>
    <row r="20" spans="2:4" x14ac:dyDescent="0.25">
      <c r="B20" t="s">
        <v>50</v>
      </c>
      <c r="D20" s="23">
        <f>D16*D12</f>
        <v>13822576</v>
      </c>
    </row>
    <row r="21" spans="2:4" x14ac:dyDescent="0.25">
      <c r="B21" t="s">
        <v>51</v>
      </c>
      <c r="D21" s="26">
        <f>D20</f>
        <v>13822576</v>
      </c>
    </row>
    <row r="22" spans="2:4" x14ac:dyDescent="0.25">
      <c r="B22" t="s">
        <v>65</v>
      </c>
      <c r="D22" s="23">
        <f>COUNTIF(HoTable[Margin Payment], "&gt;0") -1</f>
        <v>1</v>
      </c>
    </row>
  </sheetData>
  <mergeCells count="2">
    <mergeCell ref="L2:M2"/>
    <mergeCell ref="N2:O2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D651-2BE1-4F1E-B5CF-DE9641843D98}">
  <dimension ref="A1:R22"/>
  <sheetViews>
    <sheetView showGridLines="0" zoomScale="56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12" width="12.5703125" customWidth="1"/>
    <col min="13" max="13" width="14" bestFit="1" customWidth="1"/>
    <col min="14" max="14" width="15.5703125" bestFit="1" customWidth="1"/>
    <col min="15" max="15" width="14" bestFit="1" customWidth="1"/>
    <col min="16" max="16" width="15.85546875" customWidth="1"/>
    <col min="17" max="17" width="16" customWidth="1"/>
    <col min="18" max="18" width="25.5703125" customWidth="1"/>
  </cols>
  <sheetData>
    <row r="1" spans="1:18" ht="26.25" x14ac:dyDescent="0.4">
      <c r="B1" s="1" t="s">
        <v>80</v>
      </c>
      <c r="D1" s="41" t="str">
        <f>+HYPERLINK("https://www.cmegroup.com/markets/energy/crude-oil/brent-crude-oil.settlements.html#tradeDate=10%2F17%2F2024")</f>
        <v>https://www.cmegroup.com/markets/energy/crude-oil/brent-crude-oil.settlements.html#tradeDate=10%2F17%2F2024</v>
      </c>
    </row>
    <row r="2" spans="1:18" x14ac:dyDescent="0.25">
      <c r="L2" s="68" t="s">
        <v>29</v>
      </c>
      <c r="M2" s="68"/>
      <c r="N2" s="68" t="s">
        <v>30</v>
      </c>
      <c r="O2" s="68"/>
    </row>
    <row r="3" spans="1:18" x14ac:dyDescent="0.25">
      <c r="A3" t="s">
        <v>11</v>
      </c>
      <c r="B3" s="2" t="s">
        <v>31</v>
      </c>
      <c r="C3" s="2"/>
      <c r="D3" s="2"/>
      <c r="E3" s="2"/>
      <c r="G3" t="s">
        <v>22</v>
      </c>
      <c r="H3" t="s">
        <v>24</v>
      </c>
      <c r="I3" t="s">
        <v>25</v>
      </c>
      <c r="J3" t="s">
        <v>23</v>
      </c>
      <c r="K3" t="s">
        <v>26</v>
      </c>
      <c r="L3" t="s">
        <v>54</v>
      </c>
      <c r="M3" t="s">
        <v>55</v>
      </c>
      <c r="N3" t="s">
        <v>117</v>
      </c>
      <c r="O3" t="s">
        <v>57</v>
      </c>
      <c r="P3" t="s">
        <v>28</v>
      </c>
      <c r="Q3" t="s">
        <v>52</v>
      </c>
      <c r="R3" t="s">
        <v>53</v>
      </c>
    </row>
    <row r="4" spans="1:18" x14ac:dyDescent="0.25">
      <c r="B4" s="6" t="s">
        <v>47</v>
      </c>
      <c r="G4" s="11"/>
      <c r="H4" s="13"/>
      <c r="I4" s="35"/>
      <c r="J4" s="12"/>
      <c r="K4" s="12"/>
      <c r="L4" s="12"/>
      <c r="M4" s="12"/>
      <c r="N4" s="12"/>
      <c r="O4" s="12"/>
      <c r="R4" s="17"/>
    </row>
    <row r="5" spans="1:18" x14ac:dyDescent="0.25">
      <c r="B5" t="s">
        <v>36</v>
      </c>
      <c r="D5" s="16" t="s">
        <v>66</v>
      </c>
      <c r="G5" s="11">
        <v>45575</v>
      </c>
      <c r="H5" s="13">
        <v>78.78</v>
      </c>
      <c r="I5" s="33">
        <v>79.400000000000006</v>
      </c>
      <c r="J5" s="33">
        <f>I4-BrentTable[[#This Row],[Settle $/KG]]</f>
        <v>-79.400000000000006</v>
      </c>
      <c r="K5" s="39" t="s">
        <v>27</v>
      </c>
      <c r="L5" s="33">
        <f>J5</f>
        <v>-79.400000000000006</v>
      </c>
      <c r="M5" s="27"/>
      <c r="N5" s="12"/>
      <c r="O5" s="12"/>
      <c r="P5" s="12">
        <v>0</v>
      </c>
      <c r="Q5" s="22">
        <f>D17</f>
        <v>8238000</v>
      </c>
      <c r="R5" s="22">
        <f>P5+Q5</f>
        <v>8238000</v>
      </c>
    </row>
    <row r="6" spans="1:18" x14ac:dyDescent="0.25">
      <c r="B6" t="s">
        <v>67</v>
      </c>
      <c r="D6" s="31">
        <v>1000</v>
      </c>
      <c r="G6" s="11">
        <v>45576</v>
      </c>
      <c r="H6" s="13">
        <v>79.06</v>
      </c>
      <c r="I6" s="33">
        <v>79.040000000000006</v>
      </c>
      <c r="J6" s="33">
        <f>I5-BrentTable[[#This Row],[Settle $/KG]]</f>
        <v>0.35999999999999943</v>
      </c>
      <c r="K6" s="12"/>
      <c r="L6" s="33">
        <f t="shared" ref="L6:L8" si="0">J6</f>
        <v>0.35999999999999943</v>
      </c>
      <c r="M6" s="36">
        <f>$D$11*L6</f>
        <v>431999.9999999993</v>
      </c>
      <c r="N6" s="33">
        <f t="shared" ref="N6:N9" si="1">$I$5-I6</f>
        <v>0.35999999999999943</v>
      </c>
      <c r="O6" s="36">
        <f>N6*$D$11</f>
        <v>431999.9999999993</v>
      </c>
      <c r="P6" s="27">
        <f>R5+M6</f>
        <v>8670000</v>
      </c>
      <c r="Q6" s="12">
        <f>IF(P6&lt;$D$21, $D$17-P6, 0)</f>
        <v>0</v>
      </c>
      <c r="R6" s="27">
        <f>P6+Q6</f>
        <v>8670000</v>
      </c>
    </row>
    <row r="7" spans="1:18" x14ac:dyDescent="0.25">
      <c r="B7" t="s">
        <v>39</v>
      </c>
      <c r="D7" s="15">
        <v>45566</v>
      </c>
      <c r="G7" s="11">
        <v>45579</v>
      </c>
      <c r="H7" s="13">
        <v>77.34</v>
      </c>
      <c r="I7" s="33">
        <v>77.459999999999994</v>
      </c>
      <c r="J7" s="33">
        <f>I6-BrentTable[[#This Row],[Settle $/KG]]</f>
        <v>1.5800000000000125</v>
      </c>
      <c r="K7" s="12"/>
      <c r="L7" s="33">
        <f t="shared" si="0"/>
        <v>1.5800000000000125</v>
      </c>
      <c r="M7" s="36">
        <f>$D$11*L7</f>
        <v>1896000.0000000149</v>
      </c>
      <c r="N7" s="33">
        <f t="shared" si="1"/>
        <v>1.9400000000000119</v>
      </c>
      <c r="O7" s="36">
        <f>N7*$D$11</f>
        <v>2328000.0000000144</v>
      </c>
      <c r="P7" s="27">
        <f t="shared" ref="P7:P8" si="2">R6+M7</f>
        <v>10566000.000000015</v>
      </c>
      <c r="Q7" s="12">
        <f>IF(P7&lt;$D$21, $D$17-P7, 0)</f>
        <v>0</v>
      </c>
      <c r="R7" s="27">
        <f t="shared" ref="R7:R8" si="3">P7+Q7</f>
        <v>10566000.000000015</v>
      </c>
    </row>
    <row r="8" spans="1:18" x14ac:dyDescent="0.25">
      <c r="B8" s="37" t="s">
        <v>40</v>
      </c>
      <c r="C8" s="37"/>
      <c r="D8" s="38">
        <v>45627</v>
      </c>
      <c r="G8" s="11">
        <v>45580</v>
      </c>
      <c r="H8" s="13">
        <v>74.13</v>
      </c>
      <c r="I8" s="33">
        <v>74.25</v>
      </c>
      <c r="J8" s="33">
        <f>I7-BrentTable[[#This Row],[Settle $/KG]]</f>
        <v>3.2099999999999937</v>
      </c>
      <c r="K8" s="12"/>
      <c r="L8" s="33">
        <f t="shared" si="0"/>
        <v>3.2099999999999937</v>
      </c>
      <c r="M8" s="36">
        <f>$D$11*L8</f>
        <v>3851999.9999999925</v>
      </c>
      <c r="N8" s="33">
        <f t="shared" si="1"/>
        <v>5.1500000000000057</v>
      </c>
      <c r="O8" s="36">
        <f>N8*$D$11</f>
        <v>6180000.0000000065</v>
      </c>
      <c r="P8" s="27">
        <f t="shared" si="2"/>
        <v>14418000.000000007</v>
      </c>
      <c r="Q8" s="12">
        <f>IF(P8&lt;$D$21, $D$17-P8, 0)</f>
        <v>0</v>
      </c>
      <c r="R8" s="27">
        <f t="shared" si="3"/>
        <v>14418000.000000007</v>
      </c>
    </row>
    <row r="9" spans="1:18" x14ac:dyDescent="0.25">
      <c r="B9" t="s">
        <v>32</v>
      </c>
      <c r="D9" s="15" t="s">
        <v>68</v>
      </c>
      <c r="G9" s="11">
        <v>45581</v>
      </c>
      <c r="H9" s="13">
        <v>74.099999999999994</v>
      </c>
      <c r="I9" s="33">
        <v>74.22</v>
      </c>
      <c r="J9" s="33">
        <f>I8-BrentTable[[#This Row],[Settle $/KG]]</f>
        <v>3.0000000000001137E-2</v>
      </c>
      <c r="K9" s="39" t="s">
        <v>73</v>
      </c>
      <c r="L9" s="33">
        <f>J9</f>
        <v>3.0000000000001137E-2</v>
      </c>
      <c r="M9" s="36">
        <f>$D$11*L9</f>
        <v>36000.000000001368</v>
      </c>
      <c r="N9" s="33">
        <f t="shared" si="1"/>
        <v>5.1800000000000068</v>
      </c>
      <c r="O9" s="36">
        <f>N9*$D$11</f>
        <v>6216000.0000000084</v>
      </c>
      <c r="P9" s="27">
        <f t="shared" ref="P9" si="4">R8+M9</f>
        <v>14454000.000000009</v>
      </c>
      <c r="Q9" s="12">
        <f>IF(P9&lt;$D$21, $D$17-P9, 0)</f>
        <v>0</v>
      </c>
      <c r="R9" s="27">
        <f>P9+Q9</f>
        <v>14454000.000000009</v>
      </c>
    </row>
    <row r="10" spans="1:18" x14ac:dyDescent="0.25">
      <c r="B10" t="s">
        <v>34</v>
      </c>
      <c r="D10" s="15" t="s">
        <v>69</v>
      </c>
    </row>
    <row r="11" spans="1:18" x14ac:dyDescent="0.25">
      <c r="B11" t="s">
        <v>70</v>
      </c>
      <c r="D11" s="19">
        <v>1200000</v>
      </c>
    </row>
    <row r="12" spans="1:18" x14ac:dyDescent="0.25">
      <c r="B12" t="s">
        <v>42</v>
      </c>
      <c r="D12" s="20">
        <f>ROUND(D11/D6,0)</f>
        <v>1200</v>
      </c>
    </row>
    <row r="13" spans="1:18" x14ac:dyDescent="0.25">
      <c r="B13" t="s">
        <v>48</v>
      </c>
      <c r="D13" s="19">
        <f>D12*I5*D6</f>
        <v>95280000</v>
      </c>
    </row>
    <row r="14" spans="1:18" s="12" customFormat="1" x14ac:dyDescent="0.25">
      <c r="B14"/>
      <c r="C14"/>
      <c r="D14"/>
      <c r="E14"/>
    </row>
    <row r="15" spans="1:18" s="12" customFormat="1" x14ac:dyDescent="0.25">
      <c r="B15" s="6" t="s">
        <v>10</v>
      </c>
      <c r="C15"/>
      <c r="D15"/>
    </row>
    <row r="16" spans="1:18" x14ac:dyDescent="0.25">
      <c r="B16" t="s">
        <v>49</v>
      </c>
      <c r="C16" s="12"/>
      <c r="D16" s="19">
        <v>5492</v>
      </c>
      <c r="E16" s="12"/>
    </row>
    <row r="17" spans="2:4" x14ac:dyDescent="0.25">
      <c r="B17" t="s">
        <v>46</v>
      </c>
      <c r="C17" s="12"/>
      <c r="D17" s="23">
        <f>D16*D18*D12</f>
        <v>8238000</v>
      </c>
    </row>
    <row r="18" spans="2:4" x14ac:dyDescent="0.25">
      <c r="B18" s="21" t="s">
        <v>45</v>
      </c>
      <c r="C18" s="12"/>
      <c r="D18" s="25">
        <v>1.25</v>
      </c>
    </row>
    <row r="19" spans="2:4" x14ac:dyDescent="0.25">
      <c r="B19" t="s">
        <v>44</v>
      </c>
      <c r="D19" s="24">
        <f>D17/D13</f>
        <v>8.6460957178841308E-2</v>
      </c>
    </row>
    <row r="20" spans="2:4" x14ac:dyDescent="0.25">
      <c r="B20" t="s">
        <v>50</v>
      </c>
      <c r="D20" s="23">
        <f>D16*D12</f>
        <v>6590400</v>
      </c>
    </row>
    <row r="21" spans="2:4" x14ac:dyDescent="0.25">
      <c r="B21" t="s">
        <v>51</v>
      </c>
      <c r="D21" s="26">
        <f>D20</f>
        <v>6590400</v>
      </c>
    </row>
    <row r="22" spans="2:4" x14ac:dyDescent="0.25">
      <c r="B22" t="s">
        <v>65</v>
      </c>
      <c r="D22" s="23">
        <f>COUNTIF(BrentTable[Margin Payment], "&gt;0") -1</f>
        <v>0</v>
      </c>
    </row>
  </sheetData>
  <mergeCells count="2">
    <mergeCell ref="L2:M2"/>
    <mergeCell ref="N2:O2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A3-3B1B-4B9C-8178-DB9D107B5DA2}">
  <dimension ref="A1:R2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15" width="12.5703125" customWidth="1"/>
    <col min="16" max="16" width="15.85546875" customWidth="1"/>
    <col min="17" max="17" width="16" customWidth="1"/>
    <col min="18" max="18" width="25.5703125" customWidth="1"/>
  </cols>
  <sheetData>
    <row r="1" spans="1:18" ht="26.25" x14ac:dyDescent="0.4">
      <c r="B1" s="1" t="s">
        <v>75</v>
      </c>
      <c r="D1" s="41" t="str">
        <f>+HYPERLINK("https://www.cmegroup.com/markets/metals/precious/gold.settlements.html")</f>
        <v>https://www.cmegroup.com/markets/metals/precious/gold.settlements.html</v>
      </c>
    </row>
    <row r="2" spans="1:18" ht="10.15" customHeight="1" x14ac:dyDescent="0.4">
      <c r="B2" s="1"/>
    </row>
    <row r="3" spans="1:18" x14ac:dyDescent="0.25">
      <c r="A3" t="s">
        <v>11</v>
      </c>
      <c r="B3" s="2" t="s">
        <v>31</v>
      </c>
      <c r="C3" s="2"/>
      <c r="D3" s="2"/>
      <c r="E3" s="2"/>
      <c r="G3" s="34" t="s">
        <v>22</v>
      </c>
      <c r="H3" t="s">
        <v>24</v>
      </c>
      <c r="I3" t="s">
        <v>25</v>
      </c>
      <c r="J3" t="s">
        <v>23</v>
      </c>
      <c r="K3" t="s">
        <v>26</v>
      </c>
      <c r="L3" t="s">
        <v>54</v>
      </c>
      <c r="M3" t="s">
        <v>55</v>
      </c>
      <c r="N3" t="s">
        <v>56</v>
      </c>
      <c r="O3" t="s">
        <v>57</v>
      </c>
      <c r="P3" t="s">
        <v>28</v>
      </c>
      <c r="Q3" t="s">
        <v>52</v>
      </c>
      <c r="R3" t="s">
        <v>53</v>
      </c>
    </row>
    <row r="4" spans="1:18" x14ac:dyDescent="0.25">
      <c r="B4" s="6" t="s">
        <v>47</v>
      </c>
      <c r="G4" s="11">
        <v>45580</v>
      </c>
      <c r="H4" s="13"/>
      <c r="I4" s="35"/>
      <c r="J4" s="12"/>
      <c r="K4" s="12"/>
      <c r="L4" s="12"/>
      <c r="M4" s="12"/>
      <c r="N4" s="12"/>
      <c r="O4" s="12"/>
      <c r="P4" s="28">
        <v>0</v>
      </c>
      <c r="Q4" s="28">
        <v>0</v>
      </c>
      <c r="R4" s="28">
        <f>P4+Q4</f>
        <v>0</v>
      </c>
    </row>
    <row r="5" spans="1:18" x14ac:dyDescent="0.25">
      <c r="B5" t="s">
        <v>36</v>
      </c>
      <c r="D5" s="16" t="s">
        <v>76</v>
      </c>
      <c r="G5" s="11">
        <v>45581</v>
      </c>
      <c r="H5" s="13"/>
      <c r="I5" s="35">
        <v>2678.6</v>
      </c>
      <c r="J5" s="33">
        <f>I5-I4</f>
        <v>2678.6</v>
      </c>
      <c r="K5" s="12" t="s">
        <v>27</v>
      </c>
      <c r="L5" s="33">
        <f>J5</f>
        <v>2678.6</v>
      </c>
      <c r="M5" s="27"/>
      <c r="N5" s="12"/>
      <c r="O5" s="12"/>
      <c r="P5" s="28">
        <v>0</v>
      </c>
      <c r="Q5" s="28">
        <f>D17</f>
        <v>13750000</v>
      </c>
      <c r="R5" s="28">
        <f>P5+Q5</f>
        <v>13750000</v>
      </c>
    </row>
    <row r="6" spans="1:18" x14ac:dyDescent="0.25">
      <c r="B6" t="s">
        <v>77</v>
      </c>
      <c r="D6" s="18">
        <v>100</v>
      </c>
      <c r="G6" s="11">
        <v>45582</v>
      </c>
      <c r="H6" s="14"/>
      <c r="I6" s="35">
        <v>2695.5</v>
      </c>
      <c r="J6" s="33">
        <f t="shared" ref="J6:J7" si="0">I6-I5</f>
        <v>16.900000000000091</v>
      </c>
      <c r="L6" s="33">
        <f t="shared" ref="L6:L7" si="1">J6</f>
        <v>16.900000000000091</v>
      </c>
      <c r="M6" s="36">
        <f t="shared" ref="M6:M8" si="2">$D$11*L6</f>
        <v>1690000.0000000091</v>
      </c>
      <c r="N6" s="35">
        <f t="shared" ref="N6:N7" si="3">I6-$I$5</f>
        <v>16.900000000000091</v>
      </c>
      <c r="O6" s="40">
        <f t="shared" ref="O6:O8" si="4">N6*$D$11</f>
        <v>1690000.0000000091</v>
      </c>
      <c r="P6" s="28">
        <f>R5+M6</f>
        <v>15440000.000000009</v>
      </c>
      <c r="Q6" s="28">
        <f t="shared" ref="Q6:Q8" si="5">IF(P6&lt;$D$21, $D$17-P6, 0)</f>
        <v>0</v>
      </c>
      <c r="R6" s="28">
        <f>P6+Q6</f>
        <v>15440000.000000009</v>
      </c>
    </row>
    <row r="7" spans="1:18" x14ac:dyDescent="0.25">
      <c r="B7" t="s">
        <v>39</v>
      </c>
      <c r="D7" s="15">
        <v>45566</v>
      </c>
      <c r="G7" s="11">
        <v>45583</v>
      </c>
      <c r="H7" s="14"/>
      <c r="I7" s="35">
        <v>2725.6</v>
      </c>
      <c r="J7" s="33">
        <f t="shared" si="0"/>
        <v>30.099999999999909</v>
      </c>
      <c r="L7" s="33">
        <f t="shared" si="1"/>
        <v>30.099999999999909</v>
      </c>
      <c r="M7" s="36">
        <f t="shared" si="2"/>
        <v>3009999.9999999907</v>
      </c>
      <c r="N7" s="35">
        <f t="shared" si="3"/>
        <v>47</v>
      </c>
      <c r="O7" s="40">
        <f t="shared" si="4"/>
        <v>4700000</v>
      </c>
      <c r="P7" s="28">
        <f t="shared" ref="P7" si="6">R6+M7</f>
        <v>18450000</v>
      </c>
      <c r="Q7" s="28">
        <f t="shared" si="5"/>
        <v>0</v>
      </c>
      <c r="R7" s="28">
        <f t="shared" ref="R7" si="7">P7+Q7</f>
        <v>18450000</v>
      </c>
    </row>
    <row r="8" spans="1:18" x14ac:dyDescent="0.25">
      <c r="B8" s="37" t="s">
        <v>40</v>
      </c>
      <c r="C8" s="37"/>
      <c r="D8" s="38">
        <v>45597</v>
      </c>
      <c r="G8" s="11">
        <v>45586</v>
      </c>
      <c r="H8" s="14"/>
      <c r="I8" s="35">
        <v>2721.9</v>
      </c>
      <c r="J8" s="33">
        <f>I8-I7</f>
        <v>-3.6999999999998181</v>
      </c>
      <c r="K8" t="s">
        <v>93</v>
      </c>
      <c r="L8" s="33">
        <f>J8</f>
        <v>-3.6999999999998181</v>
      </c>
      <c r="M8" s="36">
        <f t="shared" si="2"/>
        <v>-369999.99999998184</v>
      </c>
      <c r="N8" s="35">
        <f t="shared" ref="N8" si="8">I8-$I$5</f>
        <v>43.300000000000182</v>
      </c>
      <c r="O8" s="40">
        <f t="shared" si="4"/>
        <v>4330000.0000000186</v>
      </c>
      <c r="P8" s="28">
        <f t="shared" ref="P8" si="9">R7+M8</f>
        <v>18080000.000000019</v>
      </c>
      <c r="Q8" s="28">
        <f t="shared" si="5"/>
        <v>0</v>
      </c>
      <c r="R8" s="28">
        <f t="shared" ref="R8" si="10">P8+Q8</f>
        <v>18080000.000000019</v>
      </c>
    </row>
    <row r="9" spans="1:18" x14ac:dyDescent="0.25">
      <c r="B9" t="s">
        <v>32</v>
      </c>
      <c r="D9" s="15" t="s">
        <v>78</v>
      </c>
    </row>
    <row r="10" spans="1:18" x14ac:dyDescent="0.25">
      <c r="B10" t="s">
        <v>34</v>
      </c>
      <c r="D10" s="15" t="s">
        <v>35</v>
      </c>
    </row>
    <row r="11" spans="1:18" x14ac:dyDescent="0.25">
      <c r="B11" t="s">
        <v>79</v>
      </c>
      <c r="D11" s="19">
        <v>100000</v>
      </c>
    </row>
    <row r="12" spans="1:18" x14ac:dyDescent="0.25">
      <c r="B12" t="s">
        <v>42</v>
      </c>
      <c r="D12" s="20">
        <f>ROUND(D11/D6,0)</f>
        <v>1000</v>
      </c>
    </row>
    <row r="13" spans="1:18" x14ac:dyDescent="0.25">
      <c r="B13" t="s">
        <v>48</v>
      </c>
      <c r="D13" s="19">
        <f>D12*I5*D6</f>
        <v>267860000</v>
      </c>
    </row>
    <row r="14" spans="1:18" s="12" customFormat="1" x14ac:dyDescent="0.25">
      <c r="B14"/>
      <c r="C14"/>
      <c r="D14"/>
      <c r="E14"/>
    </row>
    <row r="15" spans="1:18" s="12" customFormat="1" x14ac:dyDescent="0.25">
      <c r="B15" s="6" t="s">
        <v>10</v>
      </c>
      <c r="C15"/>
      <c r="D15"/>
    </row>
    <row r="16" spans="1:18" x14ac:dyDescent="0.25">
      <c r="B16" t="s">
        <v>49</v>
      </c>
      <c r="C16" s="12"/>
      <c r="D16" s="19">
        <v>11000</v>
      </c>
      <c r="E16" s="12"/>
    </row>
    <row r="17" spans="1:4" x14ac:dyDescent="0.25">
      <c r="B17" t="s">
        <v>46</v>
      </c>
      <c r="C17" s="12"/>
      <c r="D17" s="23">
        <f>D16*D18*D12</f>
        <v>13750000</v>
      </c>
    </row>
    <row r="18" spans="1:4" x14ac:dyDescent="0.25">
      <c r="B18" s="21" t="s">
        <v>45</v>
      </c>
      <c r="C18" s="12"/>
      <c r="D18" s="25">
        <v>1.25</v>
      </c>
    </row>
    <row r="19" spans="1:4" x14ac:dyDescent="0.25">
      <c r="B19" t="s">
        <v>44</v>
      </c>
      <c r="D19" s="24">
        <f>D17/D13</f>
        <v>5.1332785783618308E-2</v>
      </c>
    </row>
    <row r="20" spans="1:4" x14ac:dyDescent="0.25">
      <c r="B20" t="s">
        <v>50</v>
      </c>
      <c r="D20" s="23">
        <f>D16*D12</f>
        <v>11000000</v>
      </c>
    </row>
    <row r="21" spans="1:4" x14ac:dyDescent="0.25">
      <c r="B21" t="s">
        <v>51</v>
      </c>
      <c r="D21" s="26">
        <f>D20</f>
        <v>11000000</v>
      </c>
    </row>
    <row r="22" spans="1:4" x14ac:dyDescent="0.25">
      <c r="B22" t="s">
        <v>65</v>
      </c>
      <c r="D22" s="23">
        <f>COUNTIF(GoldTable[Margin Payment], "&gt;0") -1</f>
        <v>0</v>
      </c>
    </row>
    <row r="23" spans="1:4" x14ac:dyDescent="0.25">
      <c r="A23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362D-6D4C-43D7-A88A-6D2503775840}">
  <dimension ref="A1:O21"/>
  <sheetViews>
    <sheetView showGridLines="0" zoomScale="111" zoomScaleNormal="9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11" width="12.5703125" customWidth="1"/>
    <col min="12" max="12" width="15.28515625" bestFit="1" customWidth="1"/>
    <col min="13" max="14" width="15.5703125" customWidth="1"/>
    <col min="15" max="15" width="25.5703125" customWidth="1"/>
    <col min="16" max="16" width="15.85546875" customWidth="1"/>
    <col min="17" max="17" width="16" customWidth="1"/>
    <col min="18" max="18" width="25.5703125" customWidth="1"/>
  </cols>
  <sheetData>
    <row r="1" spans="1:15" ht="26.25" x14ac:dyDescent="0.4">
      <c r="B1" s="1" t="s">
        <v>83</v>
      </c>
      <c r="D1" s="41" t="s">
        <v>138</v>
      </c>
    </row>
    <row r="2" spans="1:15" ht="10.15" customHeight="1" x14ac:dyDescent="0.4">
      <c r="B2" s="1"/>
    </row>
    <row r="3" spans="1:15" x14ac:dyDescent="0.25">
      <c r="A3" t="s">
        <v>11</v>
      </c>
      <c r="B3" s="2" t="s">
        <v>31</v>
      </c>
      <c r="C3" s="2"/>
      <c r="D3" s="2"/>
      <c r="E3" s="2"/>
      <c r="G3" s="34" t="s">
        <v>22</v>
      </c>
      <c r="H3" s="34" t="s">
        <v>88</v>
      </c>
      <c r="I3" s="34" t="s">
        <v>89</v>
      </c>
      <c r="J3" s="34" t="s">
        <v>26</v>
      </c>
      <c r="K3" s="34" t="s">
        <v>23</v>
      </c>
      <c r="L3" s="34" t="s">
        <v>57</v>
      </c>
      <c r="M3" s="34" t="s">
        <v>28</v>
      </c>
      <c r="N3" s="34" t="s">
        <v>52</v>
      </c>
      <c r="O3" s="34" t="s">
        <v>53</v>
      </c>
    </row>
    <row r="4" spans="1:15" x14ac:dyDescent="0.25">
      <c r="B4" s="6" t="s">
        <v>47</v>
      </c>
      <c r="G4" s="11">
        <v>45581</v>
      </c>
      <c r="H4" s="13">
        <v>135.72</v>
      </c>
      <c r="I4" s="33">
        <v>1.98</v>
      </c>
      <c r="J4" s="33"/>
      <c r="K4" s="12"/>
      <c r="L4" s="27"/>
      <c r="M4" s="27"/>
      <c r="N4" s="27"/>
      <c r="O4" s="51"/>
    </row>
    <row r="5" spans="1:15" x14ac:dyDescent="0.25">
      <c r="B5" t="s">
        <v>36</v>
      </c>
      <c r="D5" s="16" t="s">
        <v>84</v>
      </c>
      <c r="G5" s="11">
        <v>45582</v>
      </c>
      <c r="H5" s="13">
        <v>136.93</v>
      </c>
      <c r="I5" s="33">
        <v>2.09</v>
      </c>
      <c r="J5" s="33" t="s">
        <v>27</v>
      </c>
      <c r="K5" s="12">
        <f>NVDATable[[#This Row],[Last Price]]-I4</f>
        <v>0.10999999999999988</v>
      </c>
      <c r="L5" s="27"/>
      <c r="M5" s="27"/>
      <c r="N5" s="27">
        <f>NVDATable[[#This Row],[Last Price]]*D6*D12</f>
        <v>4180000</v>
      </c>
      <c r="O5" s="27">
        <f>NVDATable[[#This Row],[Margin Payment]]+NVDATable[[#This Row],[Current Account]]</f>
        <v>4180000</v>
      </c>
    </row>
    <row r="6" spans="1:15" x14ac:dyDescent="0.25">
      <c r="B6" t="s">
        <v>86</v>
      </c>
      <c r="D6" s="18">
        <v>100</v>
      </c>
      <c r="G6" s="11">
        <v>45583</v>
      </c>
      <c r="H6" s="13">
        <v>138</v>
      </c>
      <c r="I6" s="33">
        <v>2.04</v>
      </c>
      <c r="J6" s="33"/>
      <c r="K6" s="12">
        <f>NVDATable[[#This Row],[Last Price]]-I5</f>
        <v>-4.9999999999999822E-2</v>
      </c>
      <c r="L6" s="27">
        <f>(NVDATable[[#This Row],[Last Price]]-$I$5)*$D$12*$D$6</f>
        <v>-99999.999999999651</v>
      </c>
      <c r="M6" s="27">
        <f>O5+NVDATable[[#This Row],[Cum. Total]]-L5</f>
        <v>4080000.0000000005</v>
      </c>
      <c r="N6" s="27">
        <v>0</v>
      </c>
      <c r="O6" s="27">
        <f>NVDATable[[#This Row],[Margin Payment]]+NVDATable[[#This Row],[Current Account]]</f>
        <v>4080000.0000000005</v>
      </c>
    </row>
    <row r="7" spans="1:15" x14ac:dyDescent="0.25">
      <c r="B7" t="s">
        <v>39</v>
      </c>
      <c r="D7" s="48">
        <v>45582</v>
      </c>
      <c r="G7" s="11">
        <v>45586</v>
      </c>
      <c r="H7" s="13">
        <v>143.71</v>
      </c>
      <c r="I7" s="33">
        <v>5.0999999999999996</v>
      </c>
      <c r="J7" s="33"/>
      <c r="K7" s="12">
        <f>NVDATable[[#This Row],[Last Price]]-I6</f>
        <v>3.0599999999999996</v>
      </c>
      <c r="L7" s="27">
        <f>(NVDATable[[#This Row],[Last Price]]-$I$5)*$D$12*$D$6</f>
        <v>6019999.9999999991</v>
      </c>
      <c r="M7" s="27">
        <f>O6+NVDATable[[#This Row],[Cum. Total]]-L6</f>
        <v>10200000</v>
      </c>
      <c r="N7" s="27">
        <v>0</v>
      </c>
      <c r="O7" s="27">
        <f>NVDATable[[#This Row],[Margin Payment]]+NVDATable[[#This Row],[Current Account]]</f>
        <v>10200000</v>
      </c>
    </row>
    <row r="8" spans="1:15" x14ac:dyDescent="0.25">
      <c r="B8" s="37" t="s">
        <v>135</v>
      </c>
      <c r="C8" s="37"/>
      <c r="D8" s="50">
        <v>45590</v>
      </c>
      <c r="G8" s="11">
        <v>45587</v>
      </c>
      <c r="H8" s="13">
        <v>143.53</v>
      </c>
      <c r="I8" s="33">
        <v>4.66</v>
      </c>
      <c r="J8" s="33" t="s">
        <v>73</v>
      </c>
      <c r="K8" s="12">
        <f>NVDATable[[#This Row],[Last Price]]-I7</f>
        <v>-0.4399999999999995</v>
      </c>
      <c r="L8" s="27">
        <f>(NVDATable[[#This Row],[Last Price]]-$I$5)*$D$12*$D$6</f>
        <v>5140000.0000000009</v>
      </c>
      <c r="M8" s="27">
        <f>O7+NVDATable[[#This Row],[Cum. Total]]-L7</f>
        <v>9320000</v>
      </c>
      <c r="N8" s="27">
        <v>0</v>
      </c>
      <c r="O8" s="27">
        <f>NVDATable[[#This Row],[Margin Payment]]+NVDATable[[#This Row],[Current Account]]</f>
        <v>9320000</v>
      </c>
    </row>
    <row r="9" spans="1:15" x14ac:dyDescent="0.25">
      <c r="B9" t="s">
        <v>32</v>
      </c>
      <c r="D9" s="15" t="s">
        <v>85</v>
      </c>
    </row>
    <row r="10" spans="1:15" x14ac:dyDescent="0.25">
      <c r="B10" t="s">
        <v>34</v>
      </c>
      <c r="D10" s="15" t="s">
        <v>87</v>
      </c>
    </row>
    <row r="11" spans="1:15" x14ac:dyDescent="0.25">
      <c r="B11" t="s">
        <v>104</v>
      </c>
      <c r="D11" s="19">
        <v>2000000</v>
      </c>
    </row>
    <row r="12" spans="1:15" x14ac:dyDescent="0.25">
      <c r="B12" t="s">
        <v>42</v>
      </c>
      <c r="D12" s="20">
        <f>D11/D6</f>
        <v>20000</v>
      </c>
    </row>
    <row r="13" spans="1:15" x14ac:dyDescent="0.25">
      <c r="B13" t="s">
        <v>48</v>
      </c>
      <c r="D13" s="19">
        <f>D12*I5*D6</f>
        <v>4180000</v>
      </c>
    </row>
    <row r="14" spans="1:15" s="12" customFormat="1" x14ac:dyDescent="0.25">
      <c r="B14" t="s">
        <v>105</v>
      </c>
      <c r="C14"/>
      <c r="D14" s="19">
        <v>140</v>
      </c>
      <c r="E14"/>
    </row>
    <row r="15" spans="1:15" s="12" customFormat="1" ht="12.75" x14ac:dyDescent="0.2"/>
    <row r="16" spans="1:15" x14ac:dyDescent="0.25">
      <c r="B16" s="6" t="s">
        <v>90</v>
      </c>
    </row>
    <row r="17" spans="2:4" x14ac:dyDescent="0.25">
      <c r="B17" t="s">
        <v>91</v>
      </c>
      <c r="C17" s="12"/>
      <c r="D17" s="23">
        <f>D12*$I$5*D6</f>
        <v>4180000</v>
      </c>
    </row>
    <row r="18" spans="2:4" x14ac:dyDescent="0.25">
      <c r="B18" t="s">
        <v>44</v>
      </c>
      <c r="D18" s="24" t="s">
        <v>103</v>
      </c>
    </row>
    <row r="19" spans="2:4" x14ac:dyDescent="0.25">
      <c r="B19" t="s">
        <v>50</v>
      </c>
      <c r="D19" s="49" t="s">
        <v>103</v>
      </c>
    </row>
    <row r="20" spans="2:4" x14ac:dyDescent="0.25">
      <c r="B20" t="s">
        <v>51</v>
      </c>
      <c r="D20" s="26" t="s">
        <v>103</v>
      </c>
    </row>
    <row r="21" spans="2:4" x14ac:dyDescent="0.25">
      <c r="B21" t="s">
        <v>65</v>
      </c>
      <c r="D21" s="23" t="s">
        <v>103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0580-9171-40E4-BB3C-9C3EA3B610FE}">
  <dimension ref="A1:O21"/>
  <sheetViews>
    <sheetView showGridLines="0" topLeftCell="D1" zoomScaleNormal="90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11" width="12.5703125" customWidth="1"/>
    <col min="12" max="12" width="15.28515625" bestFit="1" customWidth="1"/>
    <col min="13" max="14" width="15.5703125" customWidth="1"/>
    <col min="15" max="15" width="25.5703125" customWidth="1"/>
    <col min="16" max="16" width="15.85546875" customWidth="1"/>
    <col min="17" max="17" width="16" customWidth="1"/>
    <col min="18" max="18" width="25.5703125" customWidth="1"/>
  </cols>
  <sheetData>
    <row r="1" spans="1:15" ht="26.25" x14ac:dyDescent="0.4">
      <c r="B1" s="1" t="s">
        <v>129</v>
      </c>
      <c r="D1" s="41" t="s">
        <v>139</v>
      </c>
    </row>
    <row r="2" spans="1:15" ht="10.15" customHeight="1" x14ac:dyDescent="0.4">
      <c r="B2" s="1"/>
    </row>
    <row r="3" spans="1:15" x14ac:dyDescent="0.25">
      <c r="A3" t="s">
        <v>11</v>
      </c>
      <c r="B3" s="2" t="s">
        <v>31</v>
      </c>
      <c r="C3" s="2"/>
      <c r="D3" s="2"/>
      <c r="E3" s="2"/>
      <c r="G3" s="34" t="s">
        <v>22</v>
      </c>
      <c r="H3" s="34" t="s">
        <v>130</v>
      </c>
      <c r="I3" s="34" t="s">
        <v>89</v>
      </c>
      <c r="J3" s="34" t="s">
        <v>26</v>
      </c>
      <c r="K3" s="34" t="s">
        <v>23</v>
      </c>
      <c r="L3" s="34" t="s">
        <v>57</v>
      </c>
      <c r="M3" s="34" t="s">
        <v>28</v>
      </c>
      <c r="N3" s="34" t="s">
        <v>52</v>
      </c>
      <c r="O3" s="34" t="s">
        <v>53</v>
      </c>
    </row>
    <row r="4" spans="1:15" x14ac:dyDescent="0.25">
      <c r="B4" s="6" t="s">
        <v>47</v>
      </c>
      <c r="G4" s="11">
        <v>45589</v>
      </c>
      <c r="H4" s="13">
        <v>92.66</v>
      </c>
      <c r="I4" s="33"/>
      <c r="J4" s="33"/>
      <c r="K4" s="12"/>
      <c r="L4" s="27"/>
      <c r="M4" s="27"/>
      <c r="N4" s="27"/>
      <c r="O4" s="51"/>
    </row>
    <row r="5" spans="1:15" x14ac:dyDescent="0.25">
      <c r="B5" t="s">
        <v>36</v>
      </c>
      <c r="D5" s="16" t="s">
        <v>128</v>
      </c>
      <c r="G5" s="11">
        <v>45590</v>
      </c>
      <c r="H5" s="13">
        <v>92.99</v>
      </c>
      <c r="I5" s="33">
        <v>4.17</v>
      </c>
      <c r="J5" s="33" t="s">
        <v>27</v>
      </c>
      <c r="K5" s="12">
        <f>TltTable[[#This Row],[Last Price]]-I4</f>
        <v>4.17</v>
      </c>
      <c r="L5" s="27"/>
      <c r="M5" s="27"/>
      <c r="N5" s="27">
        <f t="shared" ref="N5" si="0">D19</f>
        <v>10910999.999999998</v>
      </c>
      <c r="O5" s="27">
        <f>TltTable[[#This Row],[Margin Payment]]+TltTable[[#This Row],[Current Account]]</f>
        <v>10910999.999999998</v>
      </c>
    </row>
    <row r="6" spans="1:15" x14ac:dyDescent="0.25">
      <c r="B6" t="s">
        <v>86</v>
      </c>
      <c r="D6" s="18">
        <v>100</v>
      </c>
      <c r="G6" s="11">
        <v>45598</v>
      </c>
      <c r="H6" s="13"/>
      <c r="I6" s="33">
        <v>2.46</v>
      </c>
      <c r="J6" s="33" t="s">
        <v>73</v>
      </c>
      <c r="K6" s="33">
        <f>TltTable[[#This Row],[Last Price]]-I5</f>
        <v>-1.71</v>
      </c>
      <c r="L6" s="27">
        <f>(TltTable[[#This Row],[Last Price]]-$I$5)*$D$12*$D$6+D17</f>
        <v>1230000</v>
      </c>
      <c r="M6" s="27">
        <f>O5+TltTable[[#This Row],[Cum. Total]]-L5</f>
        <v>12140999.999999998</v>
      </c>
      <c r="N6" s="27">
        <v>0</v>
      </c>
      <c r="O6" s="51">
        <f>TltTable[[#This Row],[Margin Payment]]+TltTable[[#This Row],[Current Account]]</f>
        <v>12140999.999999998</v>
      </c>
    </row>
    <row r="7" spans="1:15" x14ac:dyDescent="0.25">
      <c r="B7" t="s">
        <v>39</v>
      </c>
      <c r="D7" s="48">
        <v>45590</v>
      </c>
    </row>
    <row r="8" spans="1:15" x14ac:dyDescent="0.25">
      <c r="B8" s="37" t="s">
        <v>135</v>
      </c>
      <c r="C8" s="37"/>
      <c r="D8" s="50">
        <v>45747</v>
      </c>
    </row>
    <row r="9" spans="1:15" x14ac:dyDescent="0.25">
      <c r="B9" t="s">
        <v>32</v>
      </c>
      <c r="D9" s="15" t="s">
        <v>243</v>
      </c>
    </row>
    <row r="10" spans="1:15" x14ac:dyDescent="0.25">
      <c r="B10" t="s">
        <v>34</v>
      </c>
      <c r="D10" s="15" t="s">
        <v>106</v>
      </c>
    </row>
    <row r="11" spans="1:15" x14ac:dyDescent="0.25">
      <c r="B11" t="s">
        <v>104</v>
      </c>
      <c r="D11" s="19">
        <v>500000</v>
      </c>
    </row>
    <row r="12" spans="1:15" x14ac:dyDescent="0.25">
      <c r="B12" t="s">
        <v>42</v>
      </c>
      <c r="D12" s="20">
        <f>D11/D6</f>
        <v>5000</v>
      </c>
    </row>
    <row r="13" spans="1:15" x14ac:dyDescent="0.25">
      <c r="B13" t="s">
        <v>48</v>
      </c>
      <c r="D13" s="19">
        <f>D12*I5*D6</f>
        <v>2085000</v>
      </c>
    </row>
    <row r="14" spans="1:15" s="12" customFormat="1" x14ac:dyDescent="0.25">
      <c r="B14" t="s">
        <v>105</v>
      </c>
      <c r="C14"/>
      <c r="D14" s="19">
        <v>93</v>
      </c>
      <c r="E14"/>
    </row>
    <row r="15" spans="1:15" s="12" customFormat="1" ht="12.75" x14ac:dyDescent="0.2"/>
    <row r="16" spans="1:15" x14ac:dyDescent="0.25">
      <c r="B16" s="6" t="s">
        <v>10</v>
      </c>
    </row>
    <row r="17" spans="2:4" x14ac:dyDescent="0.25">
      <c r="B17" t="s">
        <v>146</v>
      </c>
      <c r="C17" s="12"/>
      <c r="D17" s="23">
        <f>D12*$I$5*D6</f>
        <v>2085000</v>
      </c>
    </row>
    <row r="18" spans="2:4" x14ac:dyDescent="0.25">
      <c r="B18" t="s">
        <v>131</v>
      </c>
      <c r="D18" s="52">
        <f>I5+0.2*92.21- (93-92.21)</f>
        <v>21.821999999999996</v>
      </c>
    </row>
    <row r="19" spans="2:4" x14ac:dyDescent="0.25">
      <c r="B19" t="s">
        <v>132</v>
      </c>
      <c r="D19" s="49">
        <f>D18*D11</f>
        <v>10910999.999999998</v>
      </c>
    </row>
    <row r="20" spans="2:4" x14ac:dyDescent="0.25">
      <c r="B20" t="s">
        <v>51</v>
      </c>
      <c r="D20" s="26">
        <f>D19</f>
        <v>10910999.999999998</v>
      </c>
    </row>
    <row r="21" spans="2:4" x14ac:dyDescent="0.25">
      <c r="B21" t="s">
        <v>65</v>
      </c>
      <c r="D21" s="23" t="s">
        <v>103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AD6E-CEEE-42F8-B79F-EEEA604110B7}">
  <dimension ref="A1:O21"/>
  <sheetViews>
    <sheetView showGridLines="0" zoomScale="105" zoomScaleNormal="90" workbookViewId="0">
      <pane ySplit="1" topLeftCell="A3" activePane="bottomLeft" state="frozen"/>
      <selection pane="bottomLeft" activeCell="A8" sqref="A8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11" width="12.5703125" customWidth="1"/>
    <col min="12" max="12" width="15.28515625" bestFit="1" customWidth="1"/>
    <col min="13" max="14" width="15.5703125" customWidth="1"/>
    <col min="15" max="15" width="25.5703125" customWidth="1"/>
    <col min="16" max="16" width="15.85546875" customWidth="1"/>
    <col min="17" max="17" width="16" customWidth="1"/>
    <col min="18" max="18" width="25.5703125" customWidth="1"/>
  </cols>
  <sheetData>
    <row r="1" spans="1:15" ht="26.25" x14ac:dyDescent="0.4">
      <c r="B1" s="1" t="s">
        <v>141</v>
      </c>
      <c r="D1" s="41" t="s">
        <v>140</v>
      </c>
    </row>
    <row r="2" spans="1:15" ht="10.15" customHeight="1" x14ac:dyDescent="0.4">
      <c r="B2" s="1"/>
    </row>
    <row r="3" spans="1:15" x14ac:dyDescent="0.25">
      <c r="A3" t="s">
        <v>11</v>
      </c>
      <c r="B3" s="2" t="s">
        <v>31</v>
      </c>
      <c r="C3" s="2"/>
      <c r="D3" s="2"/>
      <c r="E3" s="2"/>
      <c r="G3" s="34" t="s">
        <v>22</v>
      </c>
      <c r="H3" s="34" t="s">
        <v>134</v>
      </c>
      <c r="I3" s="34" t="s">
        <v>89</v>
      </c>
      <c r="J3" s="34" t="s">
        <v>26</v>
      </c>
      <c r="K3" s="34" t="s">
        <v>23</v>
      </c>
      <c r="L3" s="34" t="s">
        <v>57</v>
      </c>
      <c r="M3" s="34" t="s">
        <v>28</v>
      </c>
      <c r="N3" s="34" t="s">
        <v>52</v>
      </c>
      <c r="O3" s="34" t="s">
        <v>53</v>
      </c>
    </row>
    <row r="4" spans="1:15" x14ac:dyDescent="0.25">
      <c r="B4" s="6" t="s">
        <v>47</v>
      </c>
      <c r="G4" s="11">
        <v>45587</v>
      </c>
      <c r="H4" s="13">
        <v>27.41</v>
      </c>
      <c r="I4" s="33"/>
      <c r="J4" s="33"/>
      <c r="K4" s="12"/>
      <c r="L4" s="27"/>
      <c r="M4" s="27"/>
      <c r="N4" s="27"/>
      <c r="O4" s="51"/>
    </row>
    <row r="5" spans="1:15" x14ac:dyDescent="0.25">
      <c r="B5" t="s">
        <v>36</v>
      </c>
      <c r="D5" s="16" t="s">
        <v>133</v>
      </c>
      <c r="G5" s="11">
        <v>45588</v>
      </c>
      <c r="H5" s="13">
        <v>26.7</v>
      </c>
      <c r="I5" s="33">
        <v>1.48</v>
      </c>
      <c r="J5" s="33" t="s">
        <v>27</v>
      </c>
      <c r="K5" s="12">
        <f>HOODTable[[#This Row],[Last Price]]-I4</f>
        <v>1.48</v>
      </c>
      <c r="L5" s="27"/>
      <c r="M5" s="27"/>
      <c r="N5" s="27">
        <f>HOODTable[[#This Row],[Last Price]]*D6*D12</f>
        <v>5920000</v>
      </c>
      <c r="O5" s="27">
        <f>HOODTable[[#This Row],[Margin Payment]]+HOODTable[[#This Row],[Current Account]]</f>
        <v>5920000</v>
      </c>
    </row>
    <row r="6" spans="1:15" x14ac:dyDescent="0.25">
      <c r="B6" t="s">
        <v>86</v>
      </c>
      <c r="D6" s="18">
        <v>100</v>
      </c>
      <c r="G6" s="11">
        <v>45589</v>
      </c>
      <c r="H6" s="13">
        <v>27.22</v>
      </c>
      <c r="I6" s="33">
        <v>1.38</v>
      </c>
      <c r="J6" s="33"/>
      <c r="K6" s="12">
        <f>HOODTable[[#This Row],[Last Price]]-I5</f>
        <v>-0.10000000000000009</v>
      </c>
      <c r="L6" s="27">
        <f>(HOODTable[[#This Row],[Last Price]]-$I$5)*$D$12*$D$6</f>
        <v>-400000.00000000035</v>
      </c>
      <c r="M6" s="27">
        <f>O5+HOODTable[[#This Row],[Cum. Total]]-L5</f>
        <v>5520000</v>
      </c>
      <c r="N6" s="27">
        <v>0</v>
      </c>
      <c r="O6" s="27">
        <f>HOODTable[[#This Row],[Margin Payment]]+HOODTable[[#This Row],[Current Account]]</f>
        <v>5520000</v>
      </c>
    </row>
    <row r="7" spans="1:15" x14ac:dyDescent="0.25">
      <c r="B7" t="s">
        <v>39</v>
      </c>
      <c r="D7" s="48">
        <v>45588</v>
      </c>
      <c r="G7" s="11">
        <v>45590</v>
      </c>
      <c r="H7" s="13">
        <v>27.06</v>
      </c>
      <c r="I7" s="33">
        <v>1.35</v>
      </c>
      <c r="J7" s="33"/>
      <c r="K7" s="12">
        <f>HOODTable[[#This Row],[Last Price]]-I6</f>
        <v>-2.9999999999999805E-2</v>
      </c>
      <c r="L7" s="27">
        <f>(HOODTable[[#This Row],[Last Price]]-$I$5)*$D$12*$D$6</f>
        <v>-519999.99999999953</v>
      </c>
      <c r="M7" s="27">
        <f>O6+HOODTable[[#This Row],[Cum. Total]]-L6</f>
        <v>5400000</v>
      </c>
      <c r="N7" s="27">
        <v>0</v>
      </c>
      <c r="O7" s="27">
        <f>HOODTable[[#This Row],[Margin Payment]]+HOODTable[[#This Row],[Current Account]]</f>
        <v>5400000</v>
      </c>
    </row>
    <row r="8" spans="1:15" x14ac:dyDescent="0.25">
      <c r="B8" s="37" t="s">
        <v>135</v>
      </c>
      <c r="C8" s="37"/>
      <c r="D8" s="50">
        <v>45646</v>
      </c>
      <c r="G8" s="11">
        <v>45593</v>
      </c>
      <c r="H8" s="13"/>
      <c r="I8" s="33">
        <v>1.1200000000000001</v>
      </c>
      <c r="J8" s="33" t="s">
        <v>73</v>
      </c>
      <c r="K8" s="33">
        <f>HOODTable[[#This Row],[Last Price]]-I7</f>
        <v>-0.22999999999999998</v>
      </c>
      <c r="L8" s="27">
        <f>(HOODTable[[#This Row],[Last Price]]-$I$5)*$D$12*$D$6</f>
        <v>-1439999.9999999995</v>
      </c>
      <c r="M8" s="27">
        <f>O7+HOODTable[[#This Row],[Cum. Total]]-L7</f>
        <v>4480000</v>
      </c>
      <c r="N8" s="27">
        <v>0</v>
      </c>
      <c r="O8" s="27">
        <f>HOODTable[[#This Row],[Margin Payment]]+HOODTable[[#This Row],[Current Account]]</f>
        <v>4480000</v>
      </c>
    </row>
    <row r="9" spans="1:15" x14ac:dyDescent="0.25">
      <c r="B9" t="s">
        <v>32</v>
      </c>
      <c r="D9" s="15" t="s">
        <v>137</v>
      </c>
    </row>
    <row r="10" spans="1:15" x14ac:dyDescent="0.25">
      <c r="B10" t="s">
        <v>34</v>
      </c>
      <c r="D10" s="15" t="s">
        <v>136</v>
      </c>
    </row>
    <row r="11" spans="1:15" x14ac:dyDescent="0.25">
      <c r="B11" t="s">
        <v>104</v>
      </c>
      <c r="D11" s="19">
        <v>4000000</v>
      </c>
    </row>
    <row r="12" spans="1:15" x14ac:dyDescent="0.25">
      <c r="B12" t="s">
        <v>42</v>
      </c>
      <c r="D12" s="20">
        <f>D11/D6</f>
        <v>40000</v>
      </c>
    </row>
    <row r="13" spans="1:15" x14ac:dyDescent="0.25">
      <c r="B13" t="s">
        <v>48</v>
      </c>
      <c r="D13" s="19">
        <f>D12*I5*D6</f>
        <v>5920000</v>
      </c>
    </row>
    <row r="14" spans="1:15" s="12" customFormat="1" x14ac:dyDescent="0.25">
      <c r="B14" t="s">
        <v>105</v>
      </c>
      <c r="C14"/>
      <c r="D14" s="19">
        <v>24</v>
      </c>
      <c r="E14"/>
    </row>
    <row r="15" spans="1:15" s="12" customFormat="1" ht="12.75" x14ac:dyDescent="0.2"/>
    <row r="16" spans="1:15" x14ac:dyDescent="0.25">
      <c r="B16" s="6" t="s">
        <v>90</v>
      </c>
    </row>
    <row r="17" spans="2:4" x14ac:dyDescent="0.25">
      <c r="B17" t="s">
        <v>91</v>
      </c>
      <c r="C17" s="12"/>
      <c r="D17" s="23">
        <f>D12*$I$5*D6</f>
        <v>5920000</v>
      </c>
    </row>
    <row r="18" spans="2:4" x14ac:dyDescent="0.25">
      <c r="B18" t="s">
        <v>44</v>
      </c>
      <c r="D18" s="24" t="s">
        <v>103</v>
      </c>
    </row>
    <row r="19" spans="2:4" x14ac:dyDescent="0.25">
      <c r="B19" t="s">
        <v>50</v>
      </c>
      <c r="D19" s="49" t="s">
        <v>103</v>
      </c>
    </row>
    <row r="20" spans="2:4" x14ac:dyDescent="0.25">
      <c r="B20" t="s">
        <v>51</v>
      </c>
      <c r="D20" s="26" t="s">
        <v>103</v>
      </c>
    </row>
    <row r="21" spans="2:4" x14ac:dyDescent="0.25">
      <c r="B21" t="s">
        <v>65</v>
      </c>
      <c r="D21" s="23" t="s">
        <v>103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6096-6B84-4979-8F27-7A9F46E7070A}">
  <dimension ref="A1:O21"/>
  <sheetViews>
    <sheetView showGridLines="0" topLeftCell="E1" zoomScaleNormal="90" workbookViewId="0">
      <pane ySplit="1" topLeftCell="A3" activePane="bottomLeft" state="frozen"/>
      <selection pane="bottomLeft" activeCell="K6" sqref="K6"/>
    </sheetView>
  </sheetViews>
  <sheetFormatPr defaultRowHeight="15" x14ac:dyDescent="0.25"/>
  <cols>
    <col min="1" max="1" width="2.5703125" customWidth="1"/>
    <col min="2" max="2" width="18.7109375" bestFit="1" customWidth="1"/>
    <col min="4" max="4" width="32.5703125" bestFit="1" customWidth="1"/>
    <col min="7" max="7" width="8.5703125" customWidth="1"/>
    <col min="8" max="11" width="12.5703125" customWidth="1"/>
    <col min="12" max="12" width="15.28515625" bestFit="1" customWidth="1"/>
    <col min="13" max="14" width="15.5703125" customWidth="1"/>
    <col min="15" max="15" width="25.5703125" customWidth="1"/>
    <col min="16" max="16" width="15.85546875" customWidth="1"/>
    <col min="17" max="17" width="16" customWidth="1"/>
    <col min="18" max="18" width="25.5703125" customWidth="1"/>
  </cols>
  <sheetData>
    <row r="1" spans="1:15" ht="26.25" x14ac:dyDescent="0.4">
      <c r="B1" s="1" t="s">
        <v>143</v>
      </c>
      <c r="D1" s="41" t="s">
        <v>142</v>
      </c>
    </row>
    <row r="2" spans="1:15" ht="10.15" customHeight="1" x14ac:dyDescent="0.4">
      <c r="B2" s="1"/>
    </row>
    <row r="3" spans="1:15" x14ac:dyDescent="0.25">
      <c r="A3" t="s">
        <v>11</v>
      </c>
      <c r="B3" s="2" t="s">
        <v>31</v>
      </c>
      <c r="C3" s="2"/>
      <c r="D3" s="2"/>
      <c r="E3" s="2"/>
      <c r="G3" s="34" t="s">
        <v>22</v>
      </c>
      <c r="H3" s="34" t="s">
        <v>148</v>
      </c>
      <c r="I3" s="34" t="s">
        <v>89</v>
      </c>
      <c r="J3" s="34" t="s">
        <v>26</v>
      </c>
      <c r="K3" s="34" t="s">
        <v>23</v>
      </c>
      <c r="L3" s="34" t="s">
        <v>57</v>
      </c>
      <c r="M3" s="34" t="s">
        <v>28</v>
      </c>
      <c r="N3" s="34" t="s">
        <v>52</v>
      </c>
      <c r="O3" s="34" t="s">
        <v>53</v>
      </c>
    </row>
    <row r="4" spans="1:15" x14ac:dyDescent="0.25">
      <c r="B4" s="6" t="s">
        <v>47</v>
      </c>
      <c r="G4" s="11">
        <v>45589</v>
      </c>
      <c r="H4" s="13">
        <v>22.46</v>
      </c>
      <c r="I4" s="33"/>
      <c r="J4" s="33"/>
      <c r="K4" s="12"/>
      <c r="L4" s="27"/>
      <c r="M4" s="27"/>
      <c r="N4" s="27"/>
      <c r="O4" s="51"/>
    </row>
    <row r="5" spans="1:15" x14ac:dyDescent="0.25">
      <c r="B5" t="s">
        <v>36</v>
      </c>
      <c r="D5" s="16" t="s">
        <v>144</v>
      </c>
      <c r="G5" s="11">
        <v>45590</v>
      </c>
      <c r="H5" s="13">
        <v>22.68</v>
      </c>
      <c r="I5" s="33">
        <v>1.4</v>
      </c>
      <c r="J5" s="33" t="s">
        <v>27</v>
      </c>
      <c r="K5" s="12">
        <f>INTCTable[[#This Row],[Last Price]]-I4</f>
        <v>1.4</v>
      </c>
      <c r="L5" s="27"/>
      <c r="M5" s="27"/>
      <c r="N5" s="27">
        <f t="shared" ref="N5" si="0">D19</f>
        <v>9174000</v>
      </c>
      <c r="O5" s="27">
        <f>INTCTable[[#This Row],[Margin Payment]]+INTCTable[[#This Row],[Current Account]]</f>
        <v>9174000</v>
      </c>
    </row>
    <row r="6" spans="1:15" x14ac:dyDescent="0.25">
      <c r="B6" t="s">
        <v>86</v>
      </c>
      <c r="D6" s="18">
        <v>100</v>
      </c>
      <c r="G6" s="11">
        <v>45628</v>
      </c>
      <c r="H6" s="13"/>
      <c r="I6" s="33">
        <v>0.11</v>
      </c>
      <c r="J6" s="33" t="s">
        <v>73</v>
      </c>
      <c r="K6" s="33">
        <f>INTCTable[[#This Row],[Last Price]]-I5</f>
        <v>-1.2899999999999998</v>
      </c>
      <c r="L6" s="27">
        <f>(INTCTable[[#This Row],[Last Price]]-$I$5)*$D$12*$D$6+D17</f>
        <v>165000.00000000047</v>
      </c>
      <c r="M6" s="27">
        <f>O5+INTCTable[[#This Row],[Cum. Total]]-L5</f>
        <v>9339000</v>
      </c>
      <c r="N6" s="27">
        <f>D20</f>
        <v>9174000</v>
      </c>
      <c r="O6" s="51">
        <f>INTCTable[[#This Row],[Margin Payment]]+INTCTable[[#This Row],[Current Account]]</f>
        <v>18513000</v>
      </c>
    </row>
    <row r="7" spans="1:15" x14ac:dyDescent="0.25">
      <c r="B7" t="s">
        <v>39</v>
      </c>
      <c r="D7" s="48">
        <v>45590</v>
      </c>
    </row>
    <row r="8" spans="1:15" x14ac:dyDescent="0.25">
      <c r="B8" s="37" t="s">
        <v>135</v>
      </c>
      <c r="C8" s="37"/>
      <c r="D8" s="50">
        <v>45632</v>
      </c>
    </row>
    <row r="9" spans="1:15" x14ac:dyDescent="0.25">
      <c r="B9" t="s">
        <v>32</v>
      </c>
      <c r="D9" s="15" t="s">
        <v>145</v>
      </c>
    </row>
    <row r="10" spans="1:15" x14ac:dyDescent="0.25">
      <c r="B10" t="s">
        <v>34</v>
      </c>
      <c r="D10" s="15" t="s">
        <v>106</v>
      </c>
    </row>
    <row r="11" spans="1:15" x14ac:dyDescent="0.25">
      <c r="B11" t="s">
        <v>104</v>
      </c>
      <c r="D11" s="19">
        <v>1500000</v>
      </c>
    </row>
    <row r="12" spans="1:15" x14ac:dyDescent="0.25">
      <c r="B12" t="s">
        <v>42</v>
      </c>
      <c r="D12" s="20">
        <f>D11/D6</f>
        <v>15000</v>
      </c>
    </row>
    <row r="13" spans="1:15" x14ac:dyDescent="0.25">
      <c r="B13" t="s">
        <v>48</v>
      </c>
      <c r="D13" s="19">
        <f>D12*I5*D6</f>
        <v>2100000</v>
      </c>
    </row>
    <row r="14" spans="1:15" s="12" customFormat="1" x14ac:dyDescent="0.25">
      <c r="B14" t="s">
        <v>105</v>
      </c>
      <c r="C14"/>
      <c r="D14" s="53">
        <v>22.5</v>
      </c>
      <c r="E14"/>
    </row>
    <row r="15" spans="1:15" s="12" customFormat="1" ht="12.75" x14ac:dyDescent="0.2"/>
    <row r="16" spans="1:15" x14ac:dyDescent="0.25">
      <c r="B16" s="6" t="s">
        <v>10</v>
      </c>
    </row>
    <row r="17" spans="2:4" x14ac:dyDescent="0.25">
      <c r="B17" t="s">
        <v>146</v>
      </c>
      <c r="C17" s="12"/>
      <c r="D17" s="23">
        <f>D12*$I$5*D6</f>
        <v>2100000</v>
      </c>
    </row>
    <row r="18" spans="2:4" x14ac:dyDescent="0.25">
      <c r="B18" t="s">
        <v>147</v>
      </c>
      <c r="D18" s="52">
        <f>I5+0.2*H5- (D14-H5)</f>
        <v>6.1159999999999997</v>
      </c>
    </row>
    <row r="19" spans="2:4" x14ac:dyDescent="0.25">
      <c r="B19" t="s">
        <v>132</v>
      </c>
      <c r="D19" s="49">
        <f>D18*D11</f>
        <v>9174000</v>
      </c>
    </row>
    <row r="20" spans="2:4" x14ac:dyDescent="0.25">
      <c r="B20" t="s">
        <v>51</v>
      </c>
      <c r="D20" s="26">
        <f>D19</f>
        <v>9174000</v>
      </c>
    </row>
    <row r="21" spans="2:4" x14ac:dyDescent="0.25">
      <c r="B21" t="s">
        <v>65</v>
      </c>
      <c r="D21" s="23" t="s">
        <v>103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STRAT3_BAC</vt:lpstr>
      <vt:lpstr>STRAT3_WFC</vt:lpstr>
      <vt:lpstr>STRAT3_JPM</vt:lpstr>
      <vt:lpstr>STRAT2_OXY</vt:lpstr>
      <vt:lpstr>STRAT2_CVX</vt:lpstr>
      <vt:lpstr>STRAT2_XOM</vt:lpstr>
      <vt:lpstr>STRAT1_YUM</vt:lpstr>
      <vt:lpstr>STRAT1_DJT</vt:lpstr>
      <vt:lpstr>STRAT1_TSLA</vt:lpstr>
      <vt:lpstr>H1_Lithium</vt:lpstr>
      <vt:lpstr>H2_Cattle</vt:lpstr>
      <vt:lpstr>H3_Soy</vt:lpstr>
      <vt:lpstr>H4_HO</vt:lpstr>
      <vt:lpstr>S1_Brent</vt:lpstr>
      <vt:lpstr>S2_Gold</vt:lpstr>
      <vt:lpstr>O1_NVDA</vt:lpstr>
      <vt:lpstr>O2_TLT</vt:lpstr>
      <vt:lpstr>O3_HOOD</vt:lpstr>
      <vt:lpstr>O4_INTC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2025-03-09T08:56:23Z</dcterms:modified>
</cp:coreProperties>
</file>