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drawings/drawing3.xml" ContentType="application/vnd.openxmlformats-officedocument.drawing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tuunivpoitiersfr-my.sharepoint.com/personal/theo_gardere_etu_univ-poitiers_fr/Documents/SAé 1 ère Année/"/>
    </mc:Choice>
  </mc:AlternateContent>
  <xr:revisionPtr revIDLastSave="961" documentId="8_{C647E52E-893A-4985-A639-EA4722EB86A2}" xr6:coauthVersionLast="47" xr6:coauthVersionMax="47" xr10:uidLastSave="{E216128B-4622-4216-9721-20FCB81850BE}"/>
  <bookViews>
    <workbookView xWindow="-108" yWindow="-108" windowWidth="23256" windowHeight="12456" tabRatio="925" xr2:uid="{6AA46C1D-3959-45A6-8A1F-C28DA7F9B141}"/>
  </bookViews>
  <sheets>
    <sheet name="Menu" sheetId="10" r:id="rId1"/>
    <sheet name="Semestre 1" sheetId="8" r:id="rId2"/>
    <sheet name="Semestre 2" sheetId="9" r:id="rId3"/>
    <sheet name="Coef - BUT1" sheetId="7" r:id="rId4"/>
    <sheet name="Résultat" sheetId="12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9" l="1"/>
  <c r="D5" i="9"/>
  <c r="D6" i="9"/>
  <c r="D7" i="9"/>
  <c r="D8" i="9"/>
  <c r="D9" i="9"/>
  <c r="D10" i="9"/>
  <c r="D11" i="9"/>
  <c r="D13" i="9"/>
  <c r="D14" i="9"/>
  <c r="D15" i="9"/>
  <c r="D16" i="9"/>
  <c r="D17" i="9"/>
  <c r="D18" i="9"/>
  <c r="D19" i="9"/>
  <c r="D20" i="9"/>
  <c r="D21" i="9"/>
  <c r="D22" i="9"/>
  <c r="D24" i="9"/>
  <c r="D25" i="9"/>
  <c r="D26" i="9"/>
  <c r="D27" i="9"/>
  <c r="D28" i="9"/>
  <c r="D29" i="9"/>
  <c r="D30" i="9"/>
  <c r="D31" i="9"/>
  <c r="D3" i="9"/>
  <c r="D3" i="8"/>
  <c r="D10" i="8"/>
  <c r="D11" i="8"/>
  <c r="D12" i="8"/>
  <c r="D13" i="8"/>
  <c r="D14" i="8"/>
  <c r="D16" i="8"/>
  <c r="D17" i="8"/>
  <c r="D18" i="8"/>
  <c r="D19" i="8"/>
  <c r="D20" i="8"/>
  <c r="D21" i="8"/>
  <c r="D22" i="8"/>
  <c r="D4" i="8"/>
  <c r="D5" i="8"/>
  <c r="D6" i="8"/>
  <c r="D7" i="8"/>
  <c r="D8" i="8"/>
  <c r="O23" i="9"/>
  <c r="N23" i="9"/>
  <c r="M23" i="9"/>
  <c r="L23" i="9"/>
  <c r="K23" i="9"/>
  <c r="J23" i="9"/>
  <c r="I23" i="9"/>
  <c r="H23" i="9"/>
  <c r="G23" i="9"/>
  <c r="F23" i="9"/>
  <c r="O12" i="9"/>
  <c r="N12" i="9"/>
  <c r="M12" i="9"/>
  <c r="L12" i="9"/>
  <c r="K12" i="9"/>
  <c r="J12" i="9"/>
  <c r="I12" i="9"/>
  <c r="H12" i="9"/>
  <c r="G12" i="9"/>
  <c r="F12" i="9"/>
  <c r="O2" i="9"/>
  <c r="N2" i="9"/>
  <c r="M2" i="9"/>
  <c r="L2" i="9"/>
  <c r="K2" i="9"/>
  <c r="J2" i="9"/>
  <c r="I2" i="9"/>
  <c r="H2" i="9"/>
  <c r="G2" i="9"/>
  <c r="F2" i="9"/>
  <c r="K15" i="8"/>
  <c r="O15" i="8"/>
  <c r="N15" i="8"/>
  <c r="M15" i="8"/>
  <c r="L15" i="8"/>
  <c r="J15" i="8"/>
  <c r="I15" i="8"/>
  <c r="H15" i="8"/>
  <c r="G15" i="8"/>
  <c r="F15" i="8"/>
  <c r="O9" i="8"/>
  <c r="N9" i="8"/>
  <c r="M9" i="8"/>
  <c r="L9" i="8"/>
  <c r="K9" i="8"/>
  <c r="J9" i="8"/>
  <c r="I9" i="8"/>
  <c r="H9" i="8"/>
  <c r="G9" i="8"/>
  <c r="F9" i="8"/>
  <c r="F2" i="8"/>
  <c r="O2" i="8"/>
  <c r="N2" i="8"/>
  <c r="M2" i="8"/>
  <c r="L2" i="8"/>
  <c r="K2" i="8"/>
  <c r="J2" i="8"/>
  <c r="I2" i="8"/>
  <c r="H2" i="8"/>
  <c r="G2" i="8"/>
  <c r="B26" i="8" l="1" a="1"/>
  <c r="B26" i="8" s="1"/>
  <c r="B35" i="9" a="1"/>
  <c r="B35" i="9" s="1"/>
  <c r="B34" i="9" a="1"/>
  <c r="B34" i="9" s="1"/>
  <c r="B27" i="8" a="1"/>
  <c r="B27" i="8" s="1"/>
  <c r="B25" i="8" a="1"/>
  <c r="B25" i="8" s="1"/>
  <c r="B36" i="9" a="1"/>
  <c r="B36" i="9" s="1"/>
  <c r="E3" i="12" l="1" a="1"/>
  <c r="E3" i="12" s="1"/>
  <c r="B29" i="8" a="1"/>
  <c r="B29" i="8" s="1"/>
  <c r="C13" i="12" s="1"/>
  <c r="D3" i="12" a="1"/>
  <c r="D3" i="12" s="1"/>
  <c r="B38" i="9" a="1"/>
  <c r="B38" i="9" s="1"/>
  <c r="J13" i="12" s="1"/>
  <c r="F3" i="12" a="1"/>
  <c r="F3" i="12" s="1"/>
  <c r="C7" i="12" l="1" a="1"/>
  <c r="C7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<sst xmlns="http://schemas.openxmlformats.org/spreadsheetml/2006/main" count="127" uniqueCount="56">
  <si>
    <t>Semestre 1</t>
  </si>
  <si>
    <t>Compétence 1 : 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</si>
  <si>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</si>
  <si>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</si>
  <si>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</si>
  <si>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</si>
  <si>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</si>
  <si>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</si>
  <si>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 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</si>
  <si>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</si>
  <si>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</si>
  <si>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</si>
  <si>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</si>
  <si>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 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</si>
  <si>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</si>
  <si>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</si>
  <si>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</si>
  <si>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</si>
  <si>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</si>
  <si>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</si>
  <si>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Moyenne de la compétence 1</t>
  </si>
  <si>
    <t>Moyenne de la compétence 2</t>
  </si>
  <si>
    <t>Moyenne de la compétence 3</t>
  </si>
  <si>
    <t>Moyenne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</si>
  <si>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</si>
  <si>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</si>
  <si>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</si>
  <si>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</si>
  <si>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</si>
  <si>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</si>
  <si>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</si>
  <si>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</si>
  <si>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</si>
  <si>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</si>
  <si>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</si>
  <si>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</si>
  <si>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</si>
  <si>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</si>
  <si>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</si>
  <si>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</si>
  <si>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</si>
  <si>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</si>
  <si>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</si>
  <si>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</si>
  <si>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de la  compétence 2</t>
  </si>
  <si>
    <t>Compétence 1 :
Traiter des données à des fins décisionnelles</t>
  </si>
  <si>
    <t>Compétence 2 :
Analyser statistiquement les données</t>
  </si>
  <si>
    <t>Compétence 3 :
Valoriser une production dans un contexte professionnel</t>
  </si>
  <si>
    <t xml:space="preserve">Moyennes compétences à l'année </t>
  </si>
  <si>
    <t>Compétence 1</t>
  </si>
  <si>
    <t>Compétence 2</t>
  </si>
  <si>
    <t>Compétence 3</t>
  </si>
  <si>
    <t xml:space="preserve">Verdict : </t>
  </si>
  <si>
    <t>Verdict semestre 1 :</t>
  </si>
  <si>
    <t>Verdict semestre 2 :</t>
  </si>
  <si>
    <r>
      <t>Moyenne</t>
    </r>
    <r>
      <rPr>
        <sz val="11"/>
        <color rgb="FF000000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</si>
</sst>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i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6100"/>
      <name val="Calibri"/>
      <family val="2"/>
    </font>
    <font>
      <u/>
      <sz val="11"/>
      <color rgb="FFF59E00"/>
      <name val="Calibri"/>
      <family val="2"/>
    </font>
    <font>
      <b/>
      <sz val="11"/>
      <color rgb="FF006100"/>
      <name val="Calibri"/>
      <family val="2"/>
    </font>
    <font>
      <sz val="11"/>
      <color rgb="FF242424"/>
      <name val="Consolas"/>
      <family val="3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7C7C7"/>
        <bgColor rgb="FF000000"/>
      </patternFill>
    </fill>
    <fill>
      <patternFill patternType="solid">
        <fgColor rgb="FFF0E68C"/>
        <bgColor rgb="FF000000"/>
      </patternFill>
    </fill>
    <fill>
      <patternFill patternType="solid">
        <fgColor rgb="FFC6EFCE"/>
        <bgColor rgb="FF000000"/>
      </patternFill>
    </fill>
    <fill>
      <patternFill patternType="solid">
        <fgColor rgb="FF5D7789"/>
        <bgColor rgb="FF000000"/>
      </patternFill>
    </fill>
    <fill>
      <patternFill patternType="solid">
        <fgColor rgb="FF626262"/>
        <bgColor rgb="FF000000"/>
      </patternFill>
    </fill>
    <fill>
      <patternFill patternType="solid">
        <fgColor rgb="FF6D792F"/>
        <bgColor rgb="FF000000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06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1" fillId="2" borderId="1" xfId="0" applyFont="1" applyFill="1" applyBorder="1" applyAlignment="1">
      <alignment vertical="center" wrapText="1"/>
    </xf>
    <xf numFmtId="0" fontId="1" fillId="5" borderId="3" xfId="0" applyFont="1" applyFill="1" applyBorder="1" applyAlignment="1">
      <alignment vertical="center" wrapText="1"/>
    </xf>
    <xf numFmtId="0" fontId="1" fillId="4" borderId="3" xfId="0" applyFont="1" applyFill="1" applyBorder="1" applyAlignment="1">
      <alignment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vertical="center"/>
    </xf>
    <xf numFmtId="0" fontId="1" fillId="6" borderId="4" xfId="0" applyFont="1" applyFill="1" applyBorder="1" applyAlignment="1">
      <alignment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vertical="center" wrapText="1"/>
    </xf>
    <xf numFmtId="0" fontId="1" fillId="6" borderId="4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7" fillId="0" borderId="0" xfId="0" applyFont="1"/>
    <xf numFmtId="0" fontId="10" fillId="9" borderId="1" xfId="0" applyFont="1" applyFill="1" applyBorder="1"/>
    <xf numFmtId="0" fontId="12" fillId="9" borderId="3" xfId="0" applyFont="1" applyFill="1" applyBorder="1"/>
    <xf numFmtId="0" fontId="7" fillId="0" borderId="13" xfId="0" applyFont="1" applyBorder="1"/>
    <xf numFmtId="0" fontId="7" fillId="0" borderId="14" xfId="0" applyFont="1" applyBorder="1"/>
    <xf numFmtId="0" fontId="12" fillId="9" borderId="5" xfId="0" applyFont="1" applyFill="1" applyBorder="1"/>
    <xf numFmtId="0" fontId="12" fillId="8" borderId="13" xfId="0" applyFont="1" applyFill="1" applyBorder="1"/>
    <xf numFmtId="0" fontId="11" fillId="0" borderId="0" xfId="0" applyFont="1" applyAlignment="1">
      <alignment wrapText="1"/>
    </xf>
    <xf numFmtId="0" fontId="12" fillId="0" borderId="0" xfId="0" applyFont="1"/>
    <xf numFmtId="0" fontId="12" fillId="12" borderId="3" xfId="0" applyFont="1" applyFill="1" applyBorder="1" applyAlignment="1">
      <alignment wrapText="1"/>
    </xf>
    <xf numFmtId="0" fontId="12" fillId="12" borderId="5" xfId="0" applyFont="1" applyFill="1" applyBorder="1" applyAlignment="1">
      <alignment wrapText="1"/>
    </xf>
    <xf numFmtId="0" fontId="12" fillId="13" borderId="15" xfId="0" applyFont="1" applyFill="1" applyBorder="1" applyAlignment="1">
      <alignment wrapText="1"/>
    </xf>
    <xf numFmtId="0" fontId="12" fillId="13" borderId="16" xfId="0" applyFont="1" applyFill="1" applyBorder="1" applyAlignment="1">
      <alignment wrapText="1"/>
    </xf>
    <xf numFmtId="0" fontId="12" fillId="8" borderId="14" xfId="0" applyFont="1" applyFill="1" applyBorder="1"/>
    <xf numFmtId="0" fontId="6" fillId="0" borderId="0" xfId="1" applyFill="1" applyBorder="1" applyAlignment="1"/>
    <xf numFmtId="0" fontId="14" fillId="0" borderId="0" xfId="0" applyFont="1"/>
    <xf numFmtId="0" fontId="12" fillId="8" borderId="20" xfId="0" applyFont="1" applyFill="1" applyBorder="1"/>
    <xf numFmtId="0" fontId="12" fillId="9" borderId="20" xfId="0" applyFont="1" applyFill="1" applyBorder="1" applyAlignment="1">
      <alignment wrapText="1"/>
    </xf>
    <xf numFmtId="0" fontId="12" fillId="9" borderId="20" xfId="0" applyFont="1" applyFill="1" applyBorder="1"/>
    <xf numFmtId="0" fontId="12" fillId="11" borderId="3" xfId="0" applyFont="1" applyFill="1" applyBorder="1" applyAlignment="1">
      <alignment wrapText="1"/>
    </xf>
    <xf numFmtId="0" fontId="12" fillId="11" borderId="5" xfId="0" applyFont="1" applyFill="1" applyBorder="1" applyAlignment="1">
      <alignment wrapText="1"/>
    </xf>
    <xf numFmtId="0" fontId="12" fillId="11" borderId="13" xfId="0" applyFont="1" applyFill="1" applyBorder="1" applyAlignment="1">
      <alignment wrapText="1"/>
    </xf>
    <xf numFmtId="0" fontId="12" fillId="11" borderId="13" xfId="0" applyFont="1" applyFill="1" applyBorder="1"/>
    <xf numFmtId="0" fontId="12" fillId="13" borderId="3" xfId="0" applyFont="1" applyFill="1" applyBorder="1" applyAlignment="1">
      <alignment wrapText="1"/>
    </xf>
    <xf numFmtId="0" fontId="12" fillId="13" borderId="5" xfId="0" applyFont="1" applyFill="1" applyBorder="1" applyAlignment="1">
      <alignment wrapText="1"/>
    </xf>
    <xf numFmtId="0" fontId="12" fillId="13" borderId="13" xfId="0" applyFont="1" applyFill="1" applyBorder="1" applyAlignment="1">
      <alignment wrapText="1"/>
    </xf>
    <xf numFmtId="0" fontId="12" fillId="13" borderId="13" xfId="0" applyFont="1" applyFill="1" applyBorder="1"/>
    <xf numFmtId="0" fontId="7" fillId="0" borderId="1" xfId="0" applyFont="1" applyBorder="1"/>
    <xf numFmtId="0" fontId="17" fillId="11" borderId="13" xfId="0" applyFont="1" applyFill="1" applyBorder="1" applyAlignment="1">
      <alignment horizontal="center"/>
    </xf>
    <xf numFmtId="0" fontId="10" fillId="13" borderId="13" xfId="0" applyFont="1" applyFill="1" applyBorder="1" applyAlignment="1">
      <alignment horizontal="center"/>
    </xf>
    <xf numFmtId="0" fontId="10" fillId="11" borderId="1" xfId="0" applyFont="1" applyFill="1" applyBorder="1"/>
    <xf numFmtId="0" fontId="10" fillId="13" borderId="1" xfId="0" applyFont="1" applyFill="1" applyBorder="1"/>
    <xf numFmtId="0" fontId="19" fillId="8" borderId="1" xfId="0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/>
    <xf numFmtId="2" fontId="7" fillId="0" borderId="0" xfId="0" applyNumberFormat="1" applyFont="1"/>
    <xf numFmtId="2" fontId="15" fillId="10" borderId="18" xfId="0" applyNumberFormat="1" applyFont="1" applyFill="1" applyBorder="1"/>
    <xf numFmtId="2" fontId="19" fillId="8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2" fontId="15" fillId="10" borderId="19" xfId="0" applyNumberFormat="1" applyFont="1" applyFill="1" applyBorder="1"/>
    <xf numFmtId="0" fontId="9" fillId="0" borderId="15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1" fillId="9" borderId="11" xfId="0" applyFont="1" applyFill="1" applyBorder="1" applyAlignment="1">
      <alignment wrapText="1"/>
    </xf>
    <xf numFmtId="0" fontId="11" fillId="9" borderId="10" xfId="0" applyFont="1" applyFill="1" applyBorder="1" applyAlignment="1">
      <alignment wrapText="1"/>
    </xf>
    <xf numFmtId="0" fontId="11" fillId="9" borderId="9" xfId="0" applyFont="1" applyFill="1" applyBorder="1" applyAlignment="1">
      <alignment wrapText="1"/>
    </xf>
    <xf numFmtId="0" fontId="11" fillId="12" borderId="8" xfId="0" applyFont="1" applyFill="1" applyBorder="1" applyAlignment="1">
      <alignment wrapText="1"/>
    </xf>
    <xf numFmtId="0" fontId="11" fillId="12" borderId="10" xfId="0" applyFont="1" applyFill="1" applyBorder="1" applyAlignment="1">
      <alignment wrapText="1"/>
    </xf>
    <xf numFmtId="0" fontId="11" fillId="12" borderId="9" xfId="0" applyFont="1" applyFill="1" applyBorder="1" applyAlignment="1">
      <alignment wrapText="1"/>
    </xf>
    <xf numFmtId="0" fontId="11" fillId="13" borderId="6" xfId="0" applyFont="1" applyFill="1" applyBorder="1" applyAlignment="1">
      <alignment wrapText="1"/>
    </xf>
    <xf numFmtId="0" fontId="11" fillId="13" borderId="7" xfId="0" applyFont="1" applyFill="1" applyBorder="1" applyAlignment="1">
      <alignment wrapText="1"/>
    </xf>
    <xf numFmtId="0" fontId="11" fillId="13" borderId="5" xfId="0" applyFont="1" applyFill="1" applyBorder="1" applyAlignment="1">
      <alignment wrapText="1"/>
    </xf>
    <xf numFmtId="0" fontId="8" fillId="0" borderId="0" xfId="0" applyFont="1"/>
    <xf numFmtId="0" fontId="7" fillId="0" borderId="0" xfId="0" applyFont="1"/>
    <xf numFmtId="0" fontId="11" fillId="11" borderId="8" xfId="0" applyFont="1" applyFill="1" applyBorder="1" applyAlignment="1">
      <alignment wrapText="1"/>
    </xf>
    <xf numFmtId="0" fontId="11" fillId="11" borderId="10" xfId="0" applyFont="1" applyFill="1" applyBorder="1" applyAlignment="1">
      <alignment wrapText="1"/>
    </xf>
    <xf numFmtId="0" fontId="11" fillId="11" borderId="9" xfId="0" applyFont="1" applyFill="1" applyBorder="1" applyAlignment="1">
      <alignment wrapText="1"/>
    </xf>
    <xf numFmtId="0" fontId="11" fillId="13" borderId="8" xfId="0" applyFont="1" applyFill="1" applyBorder="1" applyAlignment="1">
      <alignment wrapText="1"/>
    </xf>
    <xf numFmtId="0" fontId="11" fillId="13" borderId="10" xfId="0" applyFont="1" applyFill="1" applyBorder="1" applyAlignment="1">
      <alignment wrapText="1"/>
    </xf>
    <xf numFmtId="0" fontId="11" fillId="13" borderId="9" xfId="0" applyFont="1" applyFill="1" applyBorder="1" applyAlignment="1">
      <alignment wrapText="1"/>
    </xf>
    <xf numFmtId="0" fontId="8" fillId="0" borderId="12" xfId="0" applyFont="1" applyBorder="1"/>
    <xf numFmtId="0" fontId="2" fillId="7" borderId="8" xfId="0" applyFont="1" applyFill="1" applyBorder="1" applyAlignment="1">
      <alignment horizontal="left" vertical="center" wrapText="1"/>
    </xf>
    <xf numFmtId="0" fontId="2" fillId="7" borderId="10" xfId="0" applyFont="1" applyFill="1" applyBorder="1" applyAlignment="1">
      <alignment horizontal="left" vertical="center" wrapText="1"/>
    </xf>
    <xf numFmtId="0" fontId="2" fillId="7" borderId="9" xfId="0" applyFont="1" applyFill="1" applyBorder="1" applyAlignment="1">
      <alignment horizontal="left" vertical="center" wrapText="1"/>
    </xf>
    <xf numFmtId="0" fontId="2" fillId="5" borderId="8" xfId="0" applyFont="1" applyFill="1" applyBorder="1" applyAlignment="1">
      <alignment horizontal="left" vertical="center" wrapText="1"/>
    </xf>
    <xf numFmtId="0" fontId="2" fillId="5" borderId="10" xfId="0" applyFont="1" applyFill="1" applyBorder="1" applyAlignment="1">
      <alignment horizontal="left" vertical="center" wrapText="1"/>
    </xf>
    <xf numFmtId="0" fontId="2" fillId="5" borderId="9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center"/>
    </xf>
    <xf numFmtId="0" fontId="2" fillId="6" borderId="11" xfId="0" applyFont="1" applyFill="1" applyBorder="1" applyAlignment="1">
      <alignment horizontal="left" vertical="center" wrapText="1"/>
    </xf>
    <xf numFmtId="0" fontId="2" fillId="6" borderId="10" xfId="0" applyFont="1" applyFill="1" applyBorder="1" applyAlignment="1">
      <alignment horizontal="left" vertical="center" wrapText="1"/>
    </xf>
    <xf numFmtId="0" fontId="2" fillId="6" borderId="9" xfId="0" applyFont="1" applyFill="1" applyBorder="1" applyAlignment="1">
      <alignment horizontal="left" vertical="center" wrapText="1"/>
    </xf>
    <xf numFmtId="0" fontId="2" fillId="4" borderId="8" xfId="0" applyFont="1" applyFill="1" applyBorder="1" applyAlignment="1">
      <alignment horizontal="left" vertical="center" wrapText="1"/>
    </xf>
    <xf numFmtId="0" fontId="2" fillId="4" borderId="10" xfId="0" applyFont="1" applyFill="1" applyBorder="1" applyAlignment="1">
      <alignment horizontal="left" vertical="center" wrapText="1"/>
    </xf>
    <xf numFmtId="0" fontId="2" fillId="4" borderId="9" xfId="0" applyFont="1" applyFill="1" applyBorder="1" applyAlignment="1">
      <alignment horizontal="left" vertical="center" wrapText="1"/>
    </xf>
    <xf numFmtId="0" fontId="5" fillId="0" borderId="0" xfId="0" applyFont="1" applyAlignment="1">
      <alignment horizontal="center"/>
    </xf>
    <xf numFmtId="0" fontId="2" fillId="6" borderId="8" xfId="0" applyFont="1" applyFill="1" applyBorder="1" applyAlignment="1">
      <alignment horizontal="left" vertical="center" wrapText="1"/>
    </xf>
    <xf numFmtId="0" fontId="2" fillId="5" borderId="6" xfId="0" applyFont="1" applyFill="1" applyBorder="1" applyAlignment="1">
      <alignment horizontal="left" vertical="center" wrapText="1"/>
    </xf>
    <xf numFmtId="0" fontId="2" fillId="5" borderId="7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9" fillId="0" borderId="6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</cellXfs>
  <cellStyles count="2">
    <cellStyle name="Hyperlink" xfId="1" xr:uid="{00000000-000B-0000-0000-000008000000}"/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Bilan du Semestre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1"/>
          <c:order val="1"/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('Semestre 1'!$B$3:$B$8,'Semestre 1'!$B$10:$B$14,'Semestre 1'!$B$16:$B$22)</c:f>
              <c:strCache>
                <c:ptCount val="18"/>
                <c:pt idx="0">
                  <c:v>Tableur et Reporting</c:v>
                </c:pt>
                <c:pt idx="1">
                  <c:v>Bases de données relationnelles 1</c:v>
                </c:pt>
                <c:pt idx="2">
                  <c:v>Bases de la programmation 1</c:v>
                </c:pt>
                <c:pt idx="3">
                  <c:v>PPP1</c:v>
                </c:pt>
                <c:pt idx="4">
                  <c:v>SAÉ - Reporting à partir de données stockées dans un SGBD relationnel </c:v>
                </c:pt>
                <c:pt idx="5">
                  <c:v>SAÉ - Écriture et lecture de fichiers de données</c:v>
                </c:pt>
                <c:pt idx="6">
                  <c:v>Statistique descriptive 1</c:v>
                </c:pt>
                <c:pt idx="7">
                  <c:v>Probabilités 1</c:v>
                </c:pt>
                <c:pt idx="8">
                  <c:v>Mathématiques - analyse</c:v>
                </c:pt>
                <c:pt idx="9">
                  <c:v>PPP1</c:v>
                </c:pt>
                <c:pt idx="10">
                  <c:v>SAÉ - Préparation et synthèse d'un tableau de données en vue d'une analyse exploratoire simple</c:v>
                </c:pt>
                <c:pt idx="11">
                  <c:v>Initiation à l'anglais de spécialité</c:v>
                </c:pt>
                <c:pt idx="12">
                  <c:v>Communication de l'information et recherche documentaire</c:v>
                </c:pt>
                <c:pt idx="13">
                  <c:v>Découverte des données de l’environnement entrepreneurial et économique </c:v>
                </c:pt>
                <c:pt idx="14">
                  <c:v>PPP1</c:v>
                </c:pt>
                <c:pt idx="15">
                  <c:v>SAÉ - Apprendre en situation la production de données en entreprise</c:v>
                </c:pt>
                <c:pt idx="16">
                  <c:v>SAÉ - Présentation en anglais d'un territoire économique et culturel</c:v>
                </c:pt>
                <c:pt idx="17">
                  <c:v>SAÉ - Mise en oeuvre d'une enquête</c:v>
                </c:pt>
              </c:strCache>
            </c:strRef>
          </c:cat>
          <c:val>
            <c:numRef>
              <c:f>('Semestre 1'!$D$3:$D$8,'Semestre 1'!$D$10:$D$14,'Semestre 1'!$D$16:$D$22)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4-432D-B8F2-9569AA2C9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275903"/>
        <c:axId val="657232031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('Semestre 1'!$B$3:$B$8,'Semestre 1'!$B$10:$B$14,'Semestre 1'!$B$16:$B$22)</c15:sqref>
                        </c15:formulaRef>
                      </c:ext>
                    </c:extLst>
                    <c:strCache>
                      <c:ptCount val="18"/>
                      <c:pt idx="0">
                        <c:v>Tableur et Reporting</c:v>
                      </c:pt>
                      <c:pt idx="1">
                        <c:v>Bases de données relationnelles 1</c:v>
                      </c:pt>
                      <c:pt idx="2">
                        <c:v>Bases de la programmation 1</c:v>
                      </c:pt>
                      <c:pt idx="3">
                        <c:v>PPP1</c:v>
                      </c:pt>
                      <c:pt idx="4">
                        <c:v>SAÉ - Reporting à partir de données stockées dans un SGBD relationnel </c:v>
                      </c:pt>
                      <c:pt idx="5">
                        <c:v>SAÉ - Écriture et lecture de fichiers de données</c:v>
                      </c:pt>
                      <c:pt idx="6">
                        <c:v>Statistique descriptive 1</c:v>
                      </c:pt>
                      <c:pt idx="7">
                        <c:v>Probabilités 1</c:v>
                      </c:pt>
                      <c:pt idx="8">
                        <c:v>Mathématiques - analyse</c:v>
                      </c:pt>
                      <c:pt idx="9">
                        <c:v>PPP1</c:v>
                      </c:pt>
                      <c:pt idx="10">
                        <c:v>SAÉ - Préparation et synthèse d'un tableau de données en vue d'une analyse exploratoire simple</c:v>
                      </c:pt>
                      <c:pt idx="11">
                        <c:v>Initiation à l'anglais de spécialité</c:v>
                      </c:pt>
                      <c:pt idx="12">
                        <c:v>Communication de l'information et recherche documentaire</c:v>
                      </c:pt>
                      <c:pt idx="13">
                        <c:v>Découverte des données de l’environnement entrepreneurial et économique </c:v>
                      </c:pt>
                      <c:pt idx="14">
                        <c:v>PPP1</c:v>
                      </c:pt>
                      <c:pt idx="15">
                        <c:v>SAÉ - Apprendre en situation la production de données en entreprise</c:v>
                      </c:pt>
                      <c:pt idx="16">
                        <c:v>SAÉ - Présentation en anglais d'un territoire économique et culturel</c:v>
                      </c:pt>
                      <c:pt idx="17">
                        <c:v>SAÉ - Mise en oeuvre d'une enquête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('Semestre 1'!$C$3:$C$8,'Semestre 1'!$C$10:$C$14,'Semestre 1'!$C$16:$C$22)</c15:sqref>
                        </c15:formulaRef>
                      </c:ext>
                    </c:extLst>
                    <c:numCache>
                      <c:formatCode>General</c:formatCode>
                      <c:ptCount val="1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014-432D-B8F2-9569AA2C985E}"/>
                  </c:ext>
                </c:extLst>
              </c15:ser>
            </c15:filteredRadarSeries>
          </c:ext>
        </c:extLst>
      </c:radarChart>
      <c:catAx>
        <c:axId val="539275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7232031"/>
        <c:crosses val="autoZero"/>
        <c:auto val="1"/>
        <c:lblAlgn val="ctr"/>
        <c:lblOffset val="100"/>
        <c:noMultiLvlLbl val="0"/>
      </c:catAx>
      <c:valAx>
        <c:axId val="65723203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539275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Bilan du</a:t>
            </a:r>
            <a:r>
              <a:rPr lang="fr-FR" baseline="0"/>
              <a:t> Semestre 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('Semestre 2'!$B$3:$B$11,'Semestre 2'!$B$13:$B$22,'Semestre 2'!$B$24:$B$31)</c:f>
              <c:strCache>
                <c:ptCount val="27"/>
                <c:pt idx="0">
                  <c:v>Reporting et datavisualisation</c:v>
                </c:pt>
                <c:pt idx="1">
                  <c:v>Bases de données relationnelles 2</c:v>
                </c:pt>
                <c:pt idx="2">
                  <c:v>Bases de la programmation 2</c:v>
                </c:pt>
                <c:pt idx="3">
                  <c:v>Programmation statistique</c:v>
                </c:pt>
                <c:pt idx="4">
                  <c:v>PPP2</c:v>
                </c:pt>
                <c:pt idx="5">
                  <c:v>SAÉ - Conception et implémentation d'une base de données</c:v>
                </c:pt>
                <c:pt idx="6">
                  <c:v>SAÉ - Datavisualisation</c:v>
                </c:pt>
                <c:pt idx="7">
                  <c:v>SAÉ - Analyse de données, reporting et datavisualisation</c:v>
                </c:pt>
                <c:pt idx="8">
                  <c:v>SAÉ - Portfolio</c:v>
                </c:pt>
                <c:pt idx="9">
                  <c:v>Statistique descriptive 2</c:v>
                </c:pt>
                <c:pt idx="10">
                  <c:v>Probabilités 2</c:v>
                </c:pt>
                <c:pt idx="11">
                  <c:v>Bases de l'algèbre</c:v>
                </c:pt>
                <c:pt idx="12">
                  <c:v>Statistique inférentielle</c:v>
                </c:pt>
                <c:pt idx="13">
                  <c:v>PPP2</c:v>
                </c:pt>
                <c:pt idx="14">
                  <c:v>SAÉ - Estimation par échantillonnage</c:v>
                </c:pt>
                <c:pt idx="15">
                  <c:v>SAÉ - Régression sur des données réelles</c:v>
                </c:pt>
                <c:pt idx="16">
                  <c:v>SAÉ - Datavisualisation</c:v>
                </c:pt>
                <c:pt idx="17">
                  <c:v>SAÉ - Analyse de données, reporting et datavisualisation</c:v>
                </c:pt>
                <c:pt idx="18">
                  <c:v>SAÉ - Portfolio</c:v>
                </c:pt>
                <c:pt idx="19">
                  <c:v>Approfondissement de l'anglais de spécialité</c:v>
                </c:pt>
                <c:pt idx="20">
                  <c:v>Communication et sémiologie</c:v>
                </c:pt>
                <c:pt idx="21">
                  <c:v>Étude des données de l'environnement entrepreneurial et économique</c:v>
                </c:pt>
                <c:pt idx="22">
                  <c:v>PPP2</c:v>
                </c:pt>
                <c:pt idx="23">
                  <c:v>SAÉ - Datavisualisation</c:v>
                </c:pt>
                <c:pt idx="24">
                  <c:v>SAÉ - Construction et présentation d'indicateurs de performance</c:v>
                </c:pt>
                <c:pt idx="25">
                  <c:v>SAÉ - Analyse de données, reporting et datavisualisation</c:v>
                </c:pt>
                <c:pt idx="26">
                  <c:v>SAÉ - Portfolio</c:v>
                </c:pt>
              </c:strCache>
            </c:strRef>
          </c:cat>
          <c:val>
            <c:numRef>
              <c:f>('Semestre 2'!$D$3:$D$11,'Semestre 2'!$D$13:$D$22,'Semestre 2'!$D$24:$D$31)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92-4B19-A21A-4DE1771EE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9510895"/>
        <c:axId val="789511855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('Semestre 2'!$B$3:$B$11,'Semestre 2'!$B$13:$B$22,'Semestre 2'!$B$24:$B$31)</c15:sqref>
                        </c15:formulaRef>
                      </c:ext>
                    </c:extLst>
                    <c:strCache>
                      <c:ptCount val="27"/>
                      <c:pt idx="0">
                        <c:v>Reporting et datavisualisation</c:v>
                      </c:pt>
                      <c:pt idx="1">
                        <c:v>Bases de données relationnelles 2</c:v>
                      </c:pt>
                      <c:pt idx="2">
                        <c:v>Bases de la programmation 2</c:v>
                      </c:pt>
                      <c:pt idx="3">
                        <c:v>Programmation statistique</c:v>
                      </c:pt>
                      <c:pt idx="4">
                        <c:v>PPP2</c:v>
                      </c:pt>
                      <c:pt idx="5">
                        <c:v>SAÉ - Conception et implémentation d'une base de données</c:v>
                      </c:pt>
                      <c:pt idx="6">
                        <c:v>SAÉ - Datavisualisation</c:v>
                      </c:pt>
                      <c:pt idx="7">
                        <c:v>SAÉ - Analyse de données, reporting et datavisualisation</c:v>
                      </c:pt>
                      <c:pt idx="8">
                        <c:v>SAÉ - Portfolio</c:v>
                      </c:pt>
                      <c:pt idx="9">
                        <c:v>Statistique descriptive 2</c:v>
                      </c:pt>
                      <c:pt idx="10">
                        <c:v>Probabilités 2</c:v>
                      </c:pt>
                      <c:pt idx="11">
                        <c:v>Bases de l'algèbre</c:v>
                      </c:pt>
                      <c:pt idx="12">
                        <c:v>Statistique inférentielle</c:v>
                      </c:pt>
                      <c:pt idx="13">
                        <c:v>PPP2</c:v>
                      </c:pt>
                      <c:pt idx="14">
                        <c:v>SAÉ - Estimation par échantillonnage</c:v>
                      </c:pt>
                      <c:pt idx="15">
                        <c:v>SAÉ - Régression sur des données réelles</c:v>
                      </c:pt>
                      <c:pt idx="16">
                        <c:v>SAÉ - Datavisualisation</c:v>
                      </c:pt>
                      <c:pt idx="17">
                        <c:v>SAÉ - Analyse de données, reporting et datavisualisation</c:v>
                      </c:pt>
                      <c:pt idx="18">
                        <c:v>SAÉ - Portfolio</c:v>
                      </c:pt>
                      <c:pt idx="19">
                        <c:v>Approfondissement de l'anglais de spécialité</c:v>
                      </c:pt>
                      <c:pt idx="20">
                        <c:v>Communication et sémiologie</c:v>
                      </c:pt>
                      <c:pt idx="21">
                        <c:v>Étude des données de l'environnement entrepreneurial et économique</c:v>
                      </c:pt>
                      <c:pt idx="22">
                        <c:v>PPP2</c:v>
                      </c:pt>
                      <c:pt idx="23">
                        <c:v>SAÉ - Datavisualisation</c:v>
                      </c:pt>
                      <c:pt idx="24">
                        <c:v>SAÉ - Construction et présentation d'indicateurs de performance</c:v>
                      </c:pt>
                      <c:pt idx="25">
                        <c:v>SAÉ - Analyse de données, reporting et datavisualisation</c:v>
                      </c:pt>
                      <c:pt idx="26">
                        <c:v>SAÉ - Portfolio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('Semestre 2'!$C$3:$C$11,'Semestre 2'!$C$13:$C$22,'Semestre 2'!$C$24:$C$31)</c15:sqref>
                        </c15:formulaRef>
                      </c:ext>
                    </c:extLst>
                    <c:numCache>
                      <c:formatCode>General</c:formatCode>
                      <c:ptCount val="27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1B92-4B19-A21A-4DE1771EE47D}"/>
                  </c:ext>
                </c:extLst>
              </c15:ser>
            </c15:filteredRadarSeries>
          </c:ext>
        </c:extLst>
      </c:radarChart>
      <c:catAx>
        <c:axId val="789510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9511855"/>
        <c:crosses val="autoZero"/>
        <c:auto val="1"/>
        <c:lblAlgn val="ctr"/>
        <c:lblOffset val="100"/>
        <c:noMultiLvlLbl val="0"/>
      </c:catAx>
      <c:valAx>
        <c:axId val="78951185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789510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213360</xdr:colOff>
      <xdr:row>46</xdr:row>
      <xdr:rowOff>144780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D979C72-D24C-ABE9-1B35-6E7156CE04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555980" cy="8557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19</xdr:row>
          <xdr:rowOff>83820</xdr:rowOff>
        </xdr:from>
        <xdr:to>
          <xdr:col>13</xdr:col>
          <xdr:colOff>472440</xdr:colOff>
          <xdr:row>25</xdr:row>
          <xdr:rowOff>129540</xdr:rowOff>
        </xdr:to>
        <xdr:sp macro="" textlink="">
          <xdr:nvSpPr>
            <xdr:cNvPr id="4097" name="btnAjoutNot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312420</xdr:colOff>
          <xdr:row>30</xdr:row>
          <xdr:rowOff>121920</xdr:rowOff>
        </xdr:from>
        <xdr:to>
          <xdr:col>12</xdr:col>
          <xdr:colOff>388620</xdr:colOff>
          <xdr:row>36</xdr:row>
          <xdr:rowOff>76200</xdr:rowOff>
        </xdr:to>
        <xdr:sp macro="" textlink="">
          <xdr:nvSpPr>
            <xdr:cNvPr id="4098" name="btnModifNote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144780</xdr:colOff>
      <xdr:row>0</xdr:row>
      <xdr:rowOff>0</xdr:rowOff>
    </xdr:from>
    <xdr:to>
      <xdr:col>17</xdr:col>
      <xdr:colOff>53340</xdr:colOff>
      <xdr:row>18</xdr:row>
      <xdr:rowOff>22860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23F8FC9-F8B4-8AEA-B8BB-80F6E17AF5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8240" y="0"/>
          <a:ext cx="4617720" cy="331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129540</xdr:colOff>
      <xdr:row>0</xdr:row>
      <xdr:rowOff>121920</xdr:rowOff>
    </xdr:from>
    <xdr:to>
      <xdr:col>2</xdr:col>
      <xdr:colOff>716280</xdr:colOff>
      <xdr:row>4</xdr:row>
      <xdr:rowOff>60960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453E9836-D5F3-E16D-51EA-E14B393874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" y="121920"/>
          <a:ext cx="2156460" cy="670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99060</xdr:colOff>
      <xdr:row>0</xdr:row>
      <xdr:rowOff>45720</xdr:rowOff>
    </xdr:from>
    <xdr:to>
      <xdr:col>28</xdr:col>
      <xdr:colOff>670560</xdr:colOff>
      <xdr:row>49</xdr:row>
      <xdr:rowOff>76200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8AA97862-195E-B458-BE39-14365C8FB4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41680" y="45720"/>
          <a:ext cx="9204960" cy="899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45720</xdr:colOff>
      <xdr:row>8</xdr:row>
      <xdr:rowOff>137160</xdr:rowOff>
    </xdr:from>
    <xdr:to>
      <xdr:col>10</xdr:col>
      <xdr:colOff>358140</xdr:colOff>
      <xdr:row>10</xdr:row>
      <xdr:rowOff>68580</xdr:rowOff>
    </xdr:to>
    <xdr:sp macro="" textlink="">
      <xdr:nvSpPr>
        <xdr:cNvPr id="7" name="Organigramme : Connecteur 6">
          <a:extLst>
            <a:ext uri="{FF2B5EF4-FFF2-40B4-BE49-F238E27FC236}">
              <a16:creationId xmlns:a16="http://schemas.microsoft.com/office/drawing/2014/main" id="{92345836-150A-7937-446B-557CE76F8F24}"/>
            </a:ext>
          </a:extLst>
        </xdr:cNvPr>
        <xdr:cNvSpPr/>
      </xdr:nvSpPr>
      <xdr:spPr>
        <a:xfrm>
          <a:off x="7894320" y="1600200"/>
          <a:ext cx="312420" cy="297180"/>
        </a:xfrm>
        <a:prstGeom prst="flowChartConnector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10</xdr:col>
      <xdr:colOff>502920</xdr:colOff>
      <xdr:row>7</xdr:row>
      <xdr:rowOff>30480</xdr:rowOff>
    </xdr:from>
    <xdr:to>
      <xdr:col>11</xdr:col>
      <xdr:colOff>175260</xdr:colOff>
      <xdr:row>9</xdr:row>
      <xdr:rowOff>106680</xdr:rowOff>
    </xdr:to>
    <xdr:sp macro="" textlink="">
      <xdr:nvSpPr>
        <xdr:cNvPr id="8" name="Organigramme : Connecteur 7">
          <a:extLst>
            <a:ext uri="{FF2B5EF4-FFF2-40B4-BE49-F238E27FC236}">
              <a16:creationId xmlns:a16="http://schemas.microsoft.com/office/drawing/2014/main" id="{91642A2B-4D49-5E5B-55FC-E5E2279CE053}"/>
            </a:ext>
          </a:extLst>
        </xdr:cNvPr>
        <xdr:cNvSpPr/>
      </xdr:nvSpPr>
      <xdr:spPr>
        <a:xfrm>
          <a:off x="8351520" y="1310640"/>
          <a:ext cx="457200" cy="441960"/>
        </a:xfrm>
        <a:prstGeom prst="flowChartConnector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9</xdr:col>
      <xdr:colOff>563880</xdr:colOff>
      <xdr:row>10</xdr:row>
      <xdr:rowOff>76200</xdr:rowOff>
    </xdr:from>
    <xdr:to>
      <xdr:col>9</xdr:col>
      <xdr:colOff>716280</xdr:colOff>
      <xdr:row>11</xdr:row>
      <xdr:rowOff>45720</xdr:rowOff>
    </xdr:to>
    <xdr:sp macro="" textlink="">
      <xdr:nvSpPr>
        <xdr:cNvPr id="9" name="Organigramme : Connecteur 8">
          <a:extLst>
            <a:ext uri="{FF2B5EF4-FFF2-40B4-BE49-F238E27FC236}">
              <a16:creationId xmlns:a16="http://schemas.microsoft.com/office/drawing/2014/main" id="{2657B18C-22A6-05A4-3308-DF1D0840AF6D}"/>
            </a:ext>
          </a:extLst>
        </xdr:cNvPr>
        <xdr:cNvSpPr/>
      </xdr:nvSpPr>
      <xdr:spPr>
        <a:xfrm>
          <a:off x="7627620" y="1905000"/>
          <a:ext cx="152400" cy="152400"/>
        </a:xfrm>
        <a:prstGeom prst="flowChartConnector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30</xdr:row>
          <xdr:rowOff>152400</xdr:rowOff>
        </xdr:from>
        <xdr:to>
          <xdr:col>0</xdr:col>
          <xdr:colOff>3070860</xdr:colOff>
          <xdr:row>36</xdr:row>
          <xdr:rowOff>68580</xdr:rowOff>
        </xdr:to>
        <xdr:sp macro="" textlink="">
          <xdr:nvSpPr>
            <xdr:cNvPr id="5121" name="btnRetourMenuS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39</xdr:row>
          <xdr:rowOff>45720</xdr:rowOff>
        </xdr:from>
        <xdr:to>
          <xdr:col>1</xdr:col>
          <xdr:colOff>304800</xdr:colOff>
          <xdr:row>45</xdr:row>
          <xdr:rowOff>0</xdr:rowOff>
        </xdr:to>
        <xdr:sp macro="" textlink="">
          <xdr:nvSpPr>
            <xdr:cNvPr id="7169" name="btnRetourMenuS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182880</xdr:colOff>
      <xdr:row>13</xdr:row>
      <xdr:rowOff>167640</xdr:rowOff>
    </xdr:from>
    <xdr:to>
      <xdr:col>5</xdr:col>
      <xdr:colOff>464820</xdr:colOff>
      <xdr:row>40</xdr:row>
      <xdr:rowOff>68580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468D191-97E1-4C50-AB97-CECE90690B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266700</xdr:colOff>
      <xdr:row>13</xdr:row>
      <xdr:rowOff>182879</xdr:rowOff>
    </xdr:from>
    <xdr:to>
      <xdr:col>18</xdr:col>
      <xdr:colOff>339090</xdr:colOff>
      <xdr:row>37</xdr:row>
      <xdr:rowOff>74294</xdr:rowOff>
    </xdr:to>
    <xdr:graphicFrame macro="">
      <xdr:nvGraphicFramePr>
        <xdr:cNvPr id="4" name="Graphique 2">
          <a:extLst>
            <a:ext uri="{FF2B5EF4-FFF2-40B4-BE49-F238E27FC236}">
              <a16:creationId xmlns:a16="http://schemas.microsoft.com/office/drawing/2014/main" id="{4A485660-5058-431E-AA9B-0862DA45DAD1}"/>
            </a:ext>
            <a:ext uri="{147F2762-F138-4A5C-976F-8EAC2B608ADB}">
              <a16:predDERef xmlns:a16="http://schemas.microsoft.com/office/drawing/2014/main" pred="{4468D191-97E1-4C50-AB97-CECE90690B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48C7F-DB33-4AB7-8085-F029FC151BB8}">
  <sheetPr codeName="Feuil4"/>
  <dimension ref="A1"/>
  <sheetViews>
    <sheetView tabSelected="1" zoomScale="70" zoomScaleNormal="70" workbookViewId="0">
      <selection activeCell="R13" sqref="R13"/>
    </sheetView>
  </sheetViews>
  <sheetFormatPr baseColWidth="10" defaultColWidth="11.44140625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btnAjoutNote">
          <controlPr defaultSize="0" autoLine="0" autoPict="0" r:id="rId4">
            <anchor moveWithCells="1">
              <from>
                <xdr:col>9</xdr:col>
                <xdr:colOff>304800</xdr:colOff>
                <xdr:row>19</xdr:row>
                <xdr:rowOff>83820</xdr:rowOff>
              </from>
              <to>
                <xdr:col>13</xdr:col>
                <xdr:colOff>472440</xdr:colOff>
                <xdr:row>25</xdr:row>
                <xdr:rowOff>129540</xdr:rowOff>
              </to>
            </anchor>
          </controlPr>
        </control>
      </mc:Choice>
      <mc:Fallback>
        <control shapeId="4097" r:id="rId3" name="btnAjoutNote"/>
      </mc:Fallback>
    </mc:AlternateContent>
    <mc:AlternateContent xmlns:mc="http://schemas.openxmlformats.org/markup-compatibility/2006">
      <mc:Choice Requires="x14">
        <control shapeId="4098" r:id="rId5" name="btnModifNote">
          <controlPr defaultSize="0" autoLine="0" autoPict="0" r:id="rId6">
            <anchor moveWithCells="1">
              <from>
                <xdr:col>8</xdr:col>
                <xdr:colOff>312420</xdr:colOff>
                <xdr:row>30</xdr:row>
                <xdr:rowOff>121920</xdr:rowOff>
              </from>
              <to>
                <xdr:col>12</xdr:col>
                <xdr:colOff>388620</xdr:colOff>
                <xdr:row>36</xdr:row>
                <xdr:rowOff>76200</xdr:rowOff>
              </to>
            </anchor>
          </controlPr>
        </control>
      </mc:Choice>
      <mc:Fallback>
        <control shapeId="4098" r:id="rId5" name="btnModifNo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EF2FE-F103-4C07-856C-0B60577E04B1}">
  <sheetPr codeName="Feuil2"/>
  <dimension ref="A1:O45"/>
  <sheetViews>
    <sheetView topLeftCell="B6" workbookViewId="0">
      <selection activeCell="F10" sqref="F10:G13"/>
    </sheetView>
  </sheetViews>
  <sheetFormatPr baseColWidth="10" defaultColWidth="11.44140625" defaultRowHeight="14.4" x14ac:dyDescent="0.3"/>
  <cols>
    <col min="1" max="1" width="47.88671875" customWidth="1"/>
    <col min="2" max="2" width="64.33203125" bestFit="1" customWidth="1"/>
    <col min="3" max="3" width="10.88671875" customWidth="1"/>
    <col min="4" max="4" width="15.6640625" bestFit="1" customWidth="1"/>
    <col min="13" max="13" width="30.109375" bestFit="1" customWidth="1"/>
  </cols>
  <sheetData>
    <row r="1" spans="1:15" x14ac:dyDescent="0.3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</row>
    <row r="2" spans="1:15" ht="18.75" customHeight="1" x14ac:dyDescent="0.35">
      <c r="A2" s="77" t="s">
        <v>0</v>
      </c>
      <c r="B2" s="77"/>
      <c r="D2" s="53" t="s">
        <v>55</v>
      </c>
      <c r="E2" s="21"/>
      <c r="F2" s="22" t="str">
        <f>IF(OR(F3,F4,F5, F6,F7,F8="*"),"Note 1","")</f>
        <v/>
      </c>
      <c r="G2" s="22" t="str">
        <f>IF(OR(G3,G4,G5, G6,G7,G8="*"),"Note 2","")</f>
        <v/>
      </c>
      <c r="H2" s="22" t="str">
        <f>IF(OR(H3,H4,H5, H6,H7,H8="*"),"Note 3","")</f>
        <v/>
      </c>
      <c r="I2" s="22" t="str">
        <f>IF(OR(I3,I4,I5, I6,I7,I8="*"),"Note 4","")</f>
        <v/>
      </c>
      <c r="J2" s="22" t="str">
        <f>IF(OR(J3,J4,J5, J6,J7,J8="*"),"Note 5","")</f>
        <v/>
      </c>
      <c r="K2" s="22" t="str">
        <f>IF(OR(K3,K4,K5, K6,K7,K8="*"),"Note 6","")</f>
        <v/>
      </c>
      <c r="L2" s="22" t="str">
        <f>IF(OR(L3,L4,L5, L6,L7,L8="*"),"Note 7","")</f>
        <v/>
      </c>
      <c r="M2" s="22" t="str">
        <f>IF(OR(M3,M4,M5, M6,M7,M8="*"),"Note 8","")</f>
        <v/>
      </c>
      <c r="N2" s="22" t="str">
        <f>IF(OR(N3,N4,N5, N6,N7,N8="*"),"Note 9","")</f>
        <v/>
      </c>
      <c r="O2" s="22" t="str">
        <f>IF(OR(O3,O4,O5, O6,O7,O8="*"),"Note 10","")</f>
        <v/>
      </c>
    </row>
    <row r="3" spans="1:15" x14ac:dyDescent="0.3">
      <c r="A3" s="68" t="s">
        <v>1</v>
      </c>
      <c r="B3" s="23" t="s">
        <v>2</v>
      </c>
      <c r="C3" s="21"/>
      <c r="D3" s="54" t="str">
        <f>IF(OR(F3="ABI",G3="ABI",H3="ABI",I3="ABI",J3="ABI",K3="ABI",L3="ABI",M3="ABI",N3="ABI",O3="ABI"),"Moyenne bloquée",IFERROR(AVERAGEIF(F3:O3,"&lt;&gt;"), ""))</f>
        <v/>
      </c>
      <c r="E3" s="21"/>
      <c r="F3" s="24"/>
      <c r="G3" s="25"/>
      <c r="H3" s="25"/>
      <c r="I3" s="25"/>
      <c r="J3" s="25"/>
      <c r="K3" s="25"/>
      <c r="L3" s="25"/>
      <c r="M3" s="25"/>
      <c r="N3" s="25"/>
      <c r="O3" s="25"/>
    </row>
    <row r="4" spans="1:15" x14ac:dyDescent="0.3">
      <c r="A4" s="69"/>
      <c r="B4" s="26" t="s">
        <v>3</v>
      </c>
      <c r="C4" s="21"/>
      <c r="D4" s="54" t="str">
        <f t="shared" ref="D4:D22" si="0">IF(OR(F4="ABI",G4="ABI",H4="ABI",I4="ABI",J4="ABI",K4="ABI",L4="ABI",M4="ABI",N4="ABI",O4="ABI"),"Moyenne bloquée",IFERROR(AVERAGEIF(F4:O4,"&lt;&gt;"), ""))</f>
        <v/>
      </c>
      <c r="E4" s="21"/>
      <c r="F4" s="24"/>
      <c r="G4" s="25"/>
      <c r="H4" s="25"/>
      <c r="I4" s="25"/>
      <c r="J4" s="25"/>
      <c r="K4" s="25"/>
      <c r="L4" s="25"/>
      <c r="M4" s="25"/>
      <c r="N4" s="25"/>
      <c r="O4" s="25"/>
    </row>
    <row r="5" spans="1:15" x14ac:dyDescent="0.3">
      <c r="A5" s="69"/>
      <c r="B5" s="26" t="s">
        <v>4</v>
      </c>
      <c r="C5" s="21"/>
      <c r="D5" s="54" t="str">
        <f t="shared" si="0"/>
        <v/>
      </c>
      <c r="E5" s="21"/>
      <c r="F5" s="24"/>
      <c r="G5" s="25"/>
      <c r="H5" s="25"/>
      <c r="I5" s="25"/>
      <c r="J5" s="25"/>
      <c r="K5" s="25"/>
      <c r="L5" s="25"/>
      <c r="M5" s="25"/>
      <c r="N5" s="25"/>
      <c r="O5" s="25"/>
    </row>
    <row r="6" spans="1:15" x14ac:dyDescent="0.3">
      <c r="A6" s="69"/>
      <c r="B6" s="27" t="s">
        <v>5</v>
      </c>
      <c r="C6" s="21"/>
      <c r="D6" s="54" t="str">
        <f t="shared" si="0"/>
        <v/>
      </c>
      <c r="E6" s="21"/>
      <c r="F6" s="24"/>
      <c r="G6" s="25"/>
      <c r="H6" s="25"/>
      <c r="I6" s="25"/>
      <c r="J6" s="25"/>
      <c r="K6" s="25"/>
      <c r="L6" s="25"/>
      <c r="M6" s="25"/>
      <c r="N6" s="25"/>
      <c r="O6" s="25"/>
    </row>
    <row r="7" spans="1:15" x14ac:dyDescent="0.3">
      <c r="A7" s="69"/>
      <c r="B7" s="26" t="s">
        <v>6</v>
      </c>
      <c r="C7" s="21"/>
      <c r="D7" s="54" t="str">
        <f t="shared" si="0"/>
        <v/>
      </c>
      <c r="E7" s="21"/>
      <c r="F7" s="24"/>
      <c r="G7" s="25"/>
      <c r="H7" s="25"/>
      <c r="I7" s="25"/>
      <c r="J7" s="25"/>
      <c r="K7" s="25"/>
      <c r="L7" s="25"/>
      <c r="M7" s="25"/>
      <c r="N7" s="25"/>
      <c r="O7" s="25"/>
    </row>
    <row r="8" spans="1:15" x14ac:dyDescent="0.3">
      <c r="A8" s="70"/>
      <c r="B8" s="26" t="s">
        <v>7</v>
      </c>
      <c r="C8" s="21"/>
      <c r="D8" s="54" t="str">
        <f t="shared" si="0"/>
        <v/>
      </c>
      <c r="E8" s="21"/>
      <c r="F8" s="24"/>
      <c r="G8" s="25"/>
      <c r="H8" s="25"/>
      <c r="I8" s="25"/>
      <c r="J8" s="25"/>
      <c r="K8" s="25"/>
      <c r="L8" s="25"/>
      <c r="M8" s="25"/>
      <c r="N8" s="25"/>
      <c r="O8" s="25"/>
    </row>
    <row r="9" spans="1:15" ht="15.6" x14ac:dyDescent="0.3">
      <c r="A9" s="28"/>
      <c r="B9" s="29"/>
      <c r="D9" s="53" t="s">
        <v>55</v>
      </c>
      <c r="E9" s="21"/>
      <c r="F9" s="49" t="str">
        <f>IF(OR(F10,F11,F12, F13,F14="*"),"Note 1","")</f>
        <v/>
      </c>
      <c r="G9" s="49" t="str">
        <f>IF(OR(G10,G11,G12, G13,G14="*"),"Note 2","")</f>
        <v/>
      </c>
      <c r="H9" s="49" t="str">
        <f>IF(OR(H10,H11,H12, H13,H14="*"),"Note 3","")</f>
        <v/>
      </c>
      <c r="I9" s="49" t="str">
        <f>IF(OR(I10,I11,I12, I13,I14="*"),"Note 4","")</f>
        <v/>
      </c>
      <c r="J9" s="49" t="str">
        <f>IF(OR(J10,J11,J12, J13,J14="*"),"Note 5","")</f>
        <v/>
      </c>
      <c r="K9" s="49" t="str">
        <f>IF(OR(K10,K11,K12, K13,K14="*"),"Note 6","")</f>
        <v/>
      </c>
      <c r="L9" s="49" t="str">
        <f>IF(OR(L10,L11,L12, L13,L14="*"),"Note 7","")</f>
        <v/>
      </c>
      <c r="M9" s="49" t="str">
        <f>IF(OR(M10,M11,M12, M13,M14="*"),"Note 8","")</f>
        <v/>
      </c>
      <c r="N9" s="49" t="str">
        <f>IF(OR(N10,N11,N12, N13,N14="*"),"Note 9","")</f>
        <v/>
      </c>
      <c r="O9" s="49" t="str">
        <f>IF(OR(O10,O11,O12, O13,O14="*"),"Note 10","")</f>
        <v/>
      </c>
    </row>
    <row r="10" spans="1:15" x14ac:dyDescent="0.3">
      <c r="A10" s="71" t="s">
        <v>8</v>
      </c>
      <c r="B10" s="30" t="s">
        <v>9</v>
      </c>
      <c r="C10" s="21"/>
      <c r="D10" s="54" t="str">
        <f t="shared" si="0"/>
        <v/>
      </c>
      <c r="E10" s="21"/>
      <c r="F10" s="24"/>
      <c r="G10" s="25"/>
      <c r="H10" s="25"/>
      <c r="I10" s="25"/>
      <c r="J10" s="25"/>
      <c r="K10" s="25"/>
      <c r="L10" s="25"/>
      <c r="M10" s="25"/>
      <c r="N10" s="25"/>
      <c r="O10" s="25"/>
    </row>
    <row r="11" spans="1:15" x14ac:dyDescent="0.3">
      <c r="A11" s="72"/>
      <c r="B11" s="31" t="s">
        <v>10</v>
      </c>
      <c r="C11" s="21"/>
      <c r="D11" s="54" t="str">
        <f t="shared" si="0"/>
        <v/>
      </c>
      <c r="E11" s="21"/>
      <c r="F11" s="24"/>
      <c r="G11" s="25"/>
      <c r="H11" s="25"/>
      <c r="I11" s="25"/>
      <c r="J11" s="25"/>
      <c r="K11" s="25"/>
      <c r="L11" s="25"/>
      <c r="M11" s="25"/>
      <c r="N11" s="25"/>
      <c r="O11" s="25"/>
    </row>
    <row r="12" spans="1:15" x14ac:dyDescent="0.3">
      <c r="A12" s="72"/>
      <c r="B12" s="31" t="s">
        <v>11</v>
      </c>
      <c r="C12" s="21"/>
      <c r="D12" s="54" t="str">
        <f t="shared" si="0"/>
        <v/>
      </c>
      <c r="E12" s="21"/>
      <c r="F12" s="24"/>
      <c r="G12" s="25"/>
      <c r="H12" s="25"/>
      <c r="I12" s="25"/>
      <c r="J12" s="25"/>
      <c r="K12" s="25"/>
      <c r="L12" s="25"/>
      <c r="M12" s="25"/>
      <c r="N12" s="25"/>
      <c r="O12" s="25"/>
    </row>
    <row r="13" spans="1:15" x14ac:dyDescent="0.3">
      <c r="A13" s="72"/>
      <c r="B13" s="27" t="s">
        <v>5</v>
      </c>
      <c r="C13" s="21"/>
      <c r="D13" s="54" t="str">
        <f t="shared" si="0"/>
        <v/>
      </c>
      <c r="E13" s="21"/>
      <c r="F13" s="24"/>
      <c r="G13" s="25"/>
      <c r="H13" s="25"/>
      <c r="I13" s="25"/>
      <c r="J13" s="25"/>
      <c r="K13" s="25"/>
      <c r="L13" s="25"/>
      <c r="M13" s="25"/>
      <c r="N13" s="25"/>
      <c r="O13" s="25"/>
    </row>
    <row r="14" spans="1:15" ht="30.75" customHeight="1" x14ac:dyDescent="0.3">
      <c r="A14" s="73"/>
      <c r="B14" s="31" t="s">
        <v>12</v>
      </c>
      <c r="C14" s="21"/>
      <c r="D14" s="54" t="str">
        <f t="shared" si="0"/>
        <v/>
      </c>
      <c r="E14" s="21"/>
      <c r="F14" s="24"/>
      <c r="G14" s="25"/>
      <c r="H14" s="25"/>
      <c r="I14" s="25"/>
      <c r="J14" s="25"/>
      <c r="K14" s="25"/>
      <c r="L14" s="25"/>
      <c r="M14" s="25"/>
      <c r="N14" s="25"/>
      <c r="O14" s="25"/>
    </row>
    <row r="15" spans="1:15" ht="15.6" x14ac:dyDescent="0.3">
      <c r="A15" s="28"/>
      <c r="B15" s="29"/>
      <c r="C15" s="21"/>
      <c r="D15" s="53" t="s">
        <v>55</v>
      </c>
      <c r="E15" s="21"/>
      <c r="F15" s="50" t="str">
        <f>IF(OR(F16,F17,F18, F19,F20, F21,F22="*"),"Note 1","")</f>
        <v/>
      </c>
      <c r="G15" s="50" t="str">
        <f>IF(OR(G16,G17,G18, G19,G20, G21,G22="*"),"Note 2","")</f>
        <v/>
      </c>
      <c r="H15" s="50" t="str">
        <f>IF(OR(H16,H17,H18, H19,H20, H21,H22="*"),"Note 3","")</f>
        <v/>
      </c>
      <c r="I15" s="50" t="str">
        <f>IF(OR(I16,I17,I18, I19,I20, I21,I22="*"),"Note 4","")</f>
        <v/>
      </c>
      <c r="J15" s="50" t="str">
        <f>IF(OR(J16,J17,J18, J19,J20, J21,J22="*"),"Note 5","")</f>
        <v/>
      </c>
      <c r="K15" s="50" t="str">
        <f>IF(OR(K16,K17,K18, K19,K20, K21,K22="*"),"Note 6","")</f>
        <v/>
      </c>
      <c r="L15" s="50" t="str">
        <f>IF(OR(L16,L17,L18, L19,L20, L21,L22="*"),"Note 7","")</f>
        <v/>
      </c>
      <c r="M15" s="50" t="str">
        <f>IF(OR(M16,M17,M18, M19,M20, M21,M22="*"),"Note 8","")</f>
        <v/>
      </c>
      <c r="N15" s="50" t="str">
        <f>IF(OR(N16,N17,N18, N19,N20, N21,N22="*"),"Note 9","")</f>
        <v/>
      </c>
      <c r="O15" s="50" t="str">
        <f>IF(OR(O16,O17,O18, O19,O20, O21,O22="*"),"Note 10","")</f>
        <v/>
      </c>
    </row>
    <row r="16" spans="1:15" ht="30.75" customHeight="1" x14ac:dyDescent="0.3">
      <c r="A16" s="74" t="s">
        <v>13</v>
      </c>
      <c r="B16" s="32" t="s">
        <v>14</v>
      </c>
      <c r="C16" s="21"/>
      <c r="D16" s="54" t="str">
        <f t="shared" si="0"/>
        <v/>
      </c>
      <c r="E16" s="21"/>
      <c r="F16" s="24"/>
      <c r="G16" s="25"/>
      <c r="H16" s="25"/>
      <c r="I16" s="25"/>
      <c r="J16" s="25"/>
      <c r="K16" s="25"/>
      <c r="L16" s="25"/>
      <c r="M16" s="25"/>
      <c r="N16" s="25"/>
      <c r="O16" s="25"/>
    </row>
    <row r="17" spans="1:15" x14ac:dyDescent="0.3">
      <c r="A17" s="75"/>
      <c r="B17" s="33" t="s">
        <v>15</v>
      </c>
      <c r="C17" s="21"/>
      <c r="D17" s="54" t="str">
        <f t="shared" si="0"/>
        <v/>
      </c>
      <c r="E17" s="21"/>
      <c r="F17" s="24"/>
      <c r="G17" s="25"/>
      <c r="H17" s="25"/>
      <c r="I17" s="25"/>
      <c r="J17" s="25"/>
      <c r="K17" s="25"/>
      <c r="L17" s="25"/>
      <c r="M17" s="25"/>
      <c r="N17" s="25"/>
      <c r="O17" s="25"/>
    </row>
    <row r="18" spans="1:15" ht="30.75" customHeight="1" x14ac:dyDescent="0.3">
      <c r="A18" s="75"/>
      <c r="B18" s="33" t="s">
        <v>16</v>
      </c>
      <c r="C18" s="21"/>
      <c r="D18" s="54" t="str">
        <f t="shared" si="0"/>
        <v/>
      </c>
      <c r="E18" s="21"/>
      <c r="F18" s="24"/>
      <c r="G18" s="25"/>
      <c r="H18" s="25"/>
      <c r="I18" s="25"/>
      <c r="J18" s="25"/>
      <c r="K18" s="25"/>
      <c r="L18" s="25"/>
      <c r="M18" s="25"/>
      <c r="N18" s="25"/>
      <c r="O18" s="25"/>
    </row>
    <row r="19" spans="1:15" x14ac:dyDescent="0.3">
      <c r="A19" s="75"/>
      <c r="B19" s="34" t="s">
        <v>5</v>
      </c>
      <c r="C19" s="21"/>
      <c r="D19" s="54" t="str">
        <f t="shared" si="0"/>
        <v/>
      </c>
      <c r="E19" s="21"/>
      <c r="F19" s="24"/>
      <c r="G19" s="25"/>
      <c r="H19" s="25"/>
      <c r="I19" s="25"/>
      <c r="J19" s="25"/>
      <c r="K19" s="25"/>
      <c r="L19" s="25"/>
      <c r="M19" s="25"/>
      <c r="N19" s="25"/>
      <c r="O19" s="25"/>
    </row>
    <row r="20" spans="1:15" x14ac:dyDescent="0.3">
      <c r="A20" s="75"/>
      <c r="B20" s="33" t="s">
        <v>17</v>
      </c>
      <c r="C20" s="21"/>
      <c r="D20" s="54" t="str">
        <f t="shared" si="0"/>
        <v/>
      </c>
      <c r="E20" s="21"/>
      <c r="F20" s="24"/>
      <c r="G20" s="25"/>
      <c r="H20" s="25"/>
      <c r="I20" s="25"/>
      <c r="J20" s="25"/>
      <c r="K20" s="25"/>
      <c r="L20" s="25"/>
      <c r="M20" s="25"/>
      <c r="N20" s="25"/>
      <c r="O20" s="25"/>
    </row>
    <row r="21" spans="1:15" x14ac:dyDescent="0.3">
      <c r="A21" s="75"/>
      <c r="B21" s="33" t="s">
        <v>18</v>
      </c>
      <c r="C21" s="21"/>
      <c r="D21" s="54" t="str">
        <f t="shared" si="0"/>
        <v/>
      </c>
      <c r="E21" s="21"/>
      <c r="F21" s="24"/>
      <c r="G21" s="25"/>
      <c r="H21" s="25"/>
      <c r="I21" s="25"/>
      <c r="J21" s="25"/>
      <c r="K21" s="25"/>
      <c r="L21" s="25"/>
      <c r="M21" s="25"/>
      <c r="N21" s="25"/>
      <c r="O21" s="25"/>
    </row>
    <row r="22" spans="1:15" x14ac:dyDescent="0.3">
      <c r="A22" s="76"/>
      <c r="B22" s="33" t="s">
        <v>19</v>
      </c>
      <c r="C22" s="21"/>
      <c r="D22" s="54" t="str">
        <f t="shared" si="0"/>
        <v/>
      </c>
      <c r="E22" s="21"/>
      <c r="F22" s="24"/>
      <c r="G22" s="25"/>
      <c r="H22" s="25"/>
      <c r="I22" s="25"/>
      <c r="J22" s="25"/>
      <c r="K22" s="25"/>
      <c r="L22" s="25"/>
      <c r="M22" s="25"/>
      <c r="N22" s="25"/>
      <c r="O22" s="25"/>
    </row>
    <row r="23" spans="1:15" x14ac:dyDescent="0.3">
      <c r="A23" s="29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</row>
    <row r="24" spans="1:15" x14ac:dyDescent="0.3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</row>
    <row r="25" spans="1:15" x14ac:dyDescent="0.3">
      <c r="A25" s="59" t="s">
        <v>20</v>
      </c>
      <c r="B25" s="55" t="str" cm="1">
        <f t="array" ref="B25">IF(OR(D3:D8="Moyenne bloquée"),"Moyenne bloquée",IF(SUM(IF(D3:D8&lt;&gt;"",'Coef - BUT1'!C3:C8,0))=0,"",SUMPRODUCT('Coef - BUT1'!C3:C8,'Semestre 1'!D3:D8)/SUM(IF('Semestre 1'!D3:D8&lt;&gt;"",'Coef - BUT1'!C3:C8,0))))</f>
        <v/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</row>
    <row r="26" spans="1:15" x14ac:dyDescent="0.3">
      <c r="A26" s="60" t="s">
        <v>21</v>
      </c>
      <c r="B26" s="55" t="str" cm="1">
        <f t="array" ref="B26">IF(OR(D10:D14="Moyenne bloquée"),"Moyenne bloquée",IF(SUM(IF(D10:D14&lt;&gt;"",'Coef - BUT1'!C10:C14))=0,"",SUMPRODUCT('Coef - BUT1'!C10:C14,'Semestre 1'!D10:D14)/SUM(IF('Semestre 1'!D10:D14&lt;&gt;"",'Coef - BUT1'!C10:C14,0))))</f>
        <v/>
      </c>
      <c r="C26" s="21"/>
      <c r="D26" s="21"/>
      <c r="E26" s="21"/>
      <c r="F26" s="21"/>
      <c r="G26" s="21"/>
      <c r="H26" s="21"/>
      <c r="I26" s="21"/>
      <c r="J26" s="21"/>
      <c r="K26" s="78"/>
      <c r="L26" s="78"/>
      <c r="M26" s="78"/>
      <c r="N26" s="21"/>
      <c r="O26" s="21"/>
    </row>
    <row r="27" spans="1:15" x14ac:dyDescent="0.3">
      <c r="A27" s="60" t="s">
        <v>22</v>
      </c>
      <c r="B27" s="55" t="str" cm="1">
        <f t="array" ref="B27">IF(OR(D16:D22="Moyenne bloquée"),"Moyenne bloquée",IF(SUM(IF(D16:D22&lt;&gt;"",'Coef - BUT1'!C16:C22,0))=0,"",SUMPRODUCT('Coef - BUT1'!C16:C22,'Semestre 1'!D16:D22)/SUM(IF(D16:D22&lt;&gt;"",'Coef - BUT1'!C16:C22,0))))</f>
        <v/>
      </c>
      <c r="C27" s="21"/>
      <c r="D27" s="21"/>
      <c r="E27" s="21"/>
      <c r="F27" s="21"/>
      <c r="G27" s="21"/>
      <c r="H27" s="21"/>
      <c r="I27" s="21"/>
      <c r="J27" s="21"/>
      <c r="K27" s="78"/>
      <c r="L27" s="78"/>
      <c r="M27" s="78"/>
      <c r="N27" s="21"/>
      <c r="O27" s="21"/>
    </row>
    <row r="28" spans="1:15" ht="15" thickBot="1" x14ac:dyDescent="0.35">
      <c r="A28" s="61"/>
      <c r="B28" s="56"/>
      <c r="C28" s="21"/>
      <c r="D28" s="21"/>
      <c r="E28" s="21"/>
      <c r="F28" s="21"/>
      <c r="G28" s="21"/>
      <c r="H28" s="21"/>
      <c r="I28" s="21"/>
      <c r="J28" s="21"/>
      <c r="K28" s="78"/>
      <c r="L28" s="78"/>
      <c r="M28" s="78"/>
      <c r="N28" s="21"/>
      <c r="O28" s="21"/>
    </row>
    <row r="29" spans="1:15" ht="15" thickBot="1" x14ac:dyDescent="0.35">
      <c r="A29" s="63" t="s">
        <v>23</v>
      </c>
      <c r="B29" s="57" t="e" cm="1">
        <f t="array" ref="B29">IF(OR(B25:B27="Moyenne bloquée"),"Moyenne bloquée",AVERAGE(B25:B27))</f>
        <v>#DIV/0!</v>
      </c>
      <c r="C29" s="21"/>
      <c r="D29" s="21"/>
      <c r="E29" s="21"/>
      <c r="F29" s="21"/>
      <c r="G29" s="21"/>
      <c r="H29" s="21"/>
      <c r="I29" s="21"/>
      <c r="J29" s="21"/>
      <c r="K29" s="78"/>
      <c r="L29" s="78"/>
      <c r="M29" s="78"/>
      <c r="N29" s="21"/>
      <c r="O29" s="21"/>
    </row>
    <row r="30" spans="1:15" x14ac:dyDescent="0.3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78"/>
      <c r="L30" s="78"/>
      <c r="M30" s="78"/>
      <c r="N30" s="21"/>
      <c r="O30" s="21"/>
    </row>
    <row r="31" spans="1:15" x14ac:dyDescent="0.3">
      <c r="A31" s="35"/>
      <c r="B31" s="36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</row>
    <row r="32" spans="1:15" x14ac:dyDescent="0.3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</row>
    <row r="33" spans="1:15" x14ac:dyDescent="0.3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</row>
    <row r="34" spans="1:15" x14ac:dyDescent="0.3">
      <c r="A34" s="21"/>
      <c r="B34" s="21"/>
      <c r="C34" s="29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</row>
    <row r="35" spans="1:15" x14ac:dyDescent="0.3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</row>
    <row r="36" spans="1:15" x14ac:dyDescent="0.3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</row>
    <row r="37" spans="1:15" x14ac:dyDescent="0.3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</row>
    <row r="38" spans="1:15" x14ac:dyDescent="0.3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</row>
    <row r="39" spans="1:15" x14ac:dyDescent="0.3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3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</row>
    <row r="41" spans="1:15" x14ac:dyDescent="0.3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</row>
    <row r="42" spans="1:15" x14ac:dyDescent="0.3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3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3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3">
      <c r="A45" s="21"/>
      <c r="B45" s="21"/>
      <c r="C45" s="29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</row>
  </sheetData>
  <mergeCells count="5">
    <mergeCell ref="A3:A8"/>
    <mergeCell ref="A10:A14"/>
    <mergeCell ref="A16:A22"/>
    <mergeCell ref="A2:B2"/>
    <mergeCell ref="K26:M30"/>
  </mergeCells>
  <conditionalFormatting sqref="C4">
    <cfRule type="cellIs" priority="5" operator="between">
      <formula>0</formula>
      <formula>9.99999999</formula>
    </cfRule>
  </conditionalFormatting>
  <conditionalFormatting sqref="D3:D8 D10:D14 D16:D22">
    <cfRule type="containsText" dxfId="6" priority="1" operator="containsText" text="Moyenne ">
      <formula>NOT(ISERROR(SEARCH("Moyenne ",D3)))</formula>
    </cfRule>
    <cfRule type="cellIs" dxfId="5" priority="2" operator="equal">
      <formula>10</formula>
    </cfRule>
    <cfRule type="cellIs" dxfId="4" priority="3" operator="greaterThan">
      <formula>10</formula>
    </cfRule>
    <cfRule type="cellIs" dxfId="3" priority="4" operator="lessThan">
      <formula>10</formula>
    </cfRule>
  </conditionalFormatting>
  <pageMargins left="0.7" right="0.7" top="0.75" bottom="0.75" header="0.3" footer="0.3"/>
  <ignoredErrors>
    <ignoredError sqref="G15" formula="1"/>
  </ignoredErrors>
  <drawing r:id="rId1"/>
  <legacyDrawing r:id="rId2"/>
  <controls>
    <mc:AlternateContent xmlns:mc="http://schemas.openxmlformats.org/markup-compatibility/2006">
      <mc:Choice Requires="x14">
        <control shapeId="5121" r:id="rId3" name="btnRetourMenuS1">
          <controlPr defaultSize="0" autoLine="0" r:id="rId4">
            <anchor moveWithCells="1">
              <from>
                <xdr:col>0</xdr:col>
                <xdr:colOff>137160</xdr:colOff>
                <xdr:row>30</xdr:row>
                <xdr:rowOff>152400</xdr:rowOff>
              </from>
              <to>
                <xdr:col>0</xdr:col>
                <xdr:colOff>3070860</xdr:colOff>
                <xdr:row>36</xdr:row>
                <xdr:rowOff>68580</xdr:rowOff>
              </to>
            </anchor>
          </controlPr>
        </control>
      </mc:Choice>
      <mc:Fallback>
        <control shapeId="5121" r:id="rId3" name="btnRetourMenuS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A4204-DED6-4175-9C27-221C8B4DC5AF}">
  <sheetPr codeName="Feuil3"/>
  <dimension ref="A1:O38"/>
  <sheetViews>
    <sheetView workbookViewId="0">
      <selection activeCell="F24" sqref="F24:J28"/>
    </sheetView>
  </sheetViews>
  <sheetFormatPr baseColWidth="10" defaultColWidth="11.44140625" defaultRowHeight="14.4" x14ac:dyDescent="0.3"/>
  <cols>
    <col min="1" max="1" width="38.6640625" customWidth="1"/>
    <col min="2" max="2" width="66.5546875" customWidth="1"/>
    <col min="4" max="4" width="15.6640625" bestFit="1" customWidth="1"/>
  </cols>
  <sheetData>
    <row r="1" spans="1:15" x14ac:dyDescent="0.3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</row>
    <row r="2" spans="1:15" ht="18.75" customHeight="1" x14ac:dyDescent="0.35">
      <c r="A2" s="85" t="s">
        <v>24</v>
      </c>
      <c r="B2" s="85"/>
      <c r="D2" s="53" t="s">
        <v>55</v>
      </c>
      <c r="E2" s="21"/>
      <c r="F2" s="22" t="str">
        <f>IF(OR(F3,F4,F5,F6,F7,F8, F9, F10,F11="*"),"Note 1","")</f>
        <v/>
      </c>
      <c r="G2" s="22" t="str">
        <f>IF(OR(G3,G4,G5,G6,G7,G8, G9, G10,G11="*"),"Note 2","")</f>
        <v/>
      </c>
      <c r="H2" s="22" t="str">
        <f>IF(OR(H3,H4,H5,H6,H7,H8, H9, H10,H11="*"),"Note 3","")</f>
        <v/>
      </c>
      <c r="I2" s="22" t="str">
        <f>IF(OR(I3,I4,I5,I6,I7,I8, I9, I10,I11="*"),"Note 4","")</f>
        <v/>
      </c>
      <c r="J2" s="22" t="str">
        <f>IF(OR(J3,J4,J5,J6,J7,J8, J9, J10,J11="*"),"Note 5","")</f>
        <v/>
      </c>
      <c r="K2" s="22" t="str">
        <f>IF(OR(K3,K4,K5,K6,K7,K8, K9, K10,K11="*"),"Note 6","")</f>
        <v/>
      </c>
      <c r="L2" s="22" t="str">
        <f>IF(OR(L3,L4,L5,L6,L7,L8, L9, L10,L11="*"),"Note 7","")</f>
        <v/>
      </c>
      <c r="M2" s="22" t="str">
        <f>IF(OR(M3,M4,M5,M6,M7,M8, M9, M10,M11="*"),"Note 8","")</f>
        <v/>
      </c>
      <c r="N2" s="22" t="str">
        <f>IF(OR(N3,N4,N5,N6,N7,N8, N9, N10,N11="*"),"Note 9","")</f>
        <v/>
      </c>
      <c r="O2" s="22" t="str">
        <f>IF(OR(O3,O4,O5,O6,O7,O8, O9, O10,O11="*"),"Note 10","")</f>
        <v/>
      </c>
    </row>
    <row r="3" spans="1:15" x14ac:dyDescent="0.3">
      <c r="A3" s="69" t="s">
        <v>1</v>
      </c>
      <c r="B3" s="26" t="s">
        <v>25</v>
      </c>
      <c r="C3" s="21"/>
      <c r="D3" s="55" t="str">
        <f>IF(OR(F3="ABI",G3="ABI",H3="ABI",I3="ABI",J3="ABI",K3="ABI",L3="ABI",M3="ABI",N3="ABI",O3="ABI"),"Moyenne bloquée",IFERROR(AVERAGEIF(F3:O3,"&lt;&gt;"),""))</f>
        <v/>
      </c>
      <c r="E3" s="21"/>
      <c r="F3" s="48"/>
      <c r="G3" s="48"/>
      <c r="H3" s="48"/>
      <c r="I3" s="48"/>
      <c r="J3" s="48"/>
      <c r="K3" s="48"/>
      <c r="L3" s="48"/>
      <c r="M3" s="48"/>
      <c r="N3" s="48"/>
      <c r="O3" s="48"/>
    </row>
    <row r="4" spans="1:15" ht="15" customHeight="1" x14ac:dyDescent="0.3">
      <c r="A4" s="69"/>
      <c r="B4" s="26" t="s">
        <v>26</v>
      </c>
      <c r="C4" s="21"/>
      <c r="D4" s="55" t="str">
        <f t="shared" ref="D4:D31" si="0">IF(OR(F4="ABI",G4="ABI",H4="ABI",I4="ABI",J4="ABI",K4="ABI",L4="ABI",M4="ABI",N4="ABI",O4="ABI"),"Moyenne bloquée",IFERROR(AVERAGEIF(F4:O4,"&lt;&gt;"),""))</f>
        <v/>
      </c>
      <c r="E4" s="21"/>
      <c r="F4" s="48"/>
      <c r="G4" s="48"/>
      <c r="H4" s="48"/>
      <c r="I4" s="48"/>
      <c r="J4" s="48"/>
      <c r="K4" s="48"/>
      <c r="L4" s="48"/>
      <c r="M4" s="48"/>
      <c r="N4" s="48"/>
      <c r="O4" s="48"/>
    </row>
    <row r="5" spans="1:15" x14ac:dyDescent="0.3">
      <c r="A5" s="69"/>
      <c r="B5" s="26" t="s">
        <v>27</v>
      </c>
      <c r="C5" s="21"/>
      <c r="D5" s="55" t="str">
        <f t="shared" si="0"/>
        <v/>
      </c>
      <c r="E5" s="21"/>
      <c r="F5" s="48"/>
      <c r="G5" s="48"/>
      <c r="H5" s="48"/>
      <c r="I5" s="48"/>
      <c r="J5" s="48"/>
      <c r="K5" s="48"/>
      <c r="L5" s="48"/>
      <c r="M5" s="48"/>
      <c r="N5" s="48"/>
      <c r="O5" s="48"/>
    </row>
    <row r="6" spans="1:15" x14ac:dyDescent="0.3">
      <c r="A6" s="69"/>
      <c r="B6" s="26" t="s">
        <v>28</v>
      </c>
      <c r="C6" s="21"/>
      <c r="D6" s="55" t="str">
        <f t="shared" si="0"/>
        <v/>
      </c>
      <c r="E6" s="21"/>
      <c r="F6" s="48"/>
      <c r="G6" s="48"/>
      <c r="H6" s="48"/>
      <c r="I6" s="48"/>
      <c r="J6" s="48"/>
      <c r="K6" s="48"/>
      <c r="L6" s="48"/>
      <c r="M6" s="48"/>
      <c r="N6" s="48"/>
      <c r="O6" s="48"/>
    </row>
    <row r="7" spans="1:15" x14ac:dyDescent="0.3">
      <c r="A7" s="69"/>
      <c r="B7" s="37" t="s">
        <v>29</v>
      </c>
      <c r="C7" s="21"/>
      <c r="D7" s="55" t="str">
        <f t="shared" si="0"/>
        <v/>
      </c>
      <c r="E7" s="21"/>
      <c r="F7" s="48"/>
      <c r="G7" s="48"/>
      <c r="H7" s="48"/>
      <c r="I7" s="48"/>
      <c r="J7" s="48"/>
      <c r="K7" s="48"/>
      <c r="L7" s="48"/>
      <c r="M7" s="48"/>
      <c r="N7" s="48"/>
      <c r="O7" s="48"/>
    </row>
    <row r="8" spans="1:15" x14ac:dyDescent="0.3">
      <c r="A8" s="69"/>
      <c r="B8" s="26" t="s">
        <v>30</v>
      </c>
      <c r="C8" s="21"/>
      <c r="D8" s="55" t="str">
        <f t="shared" si="0"/>
        <v/>
      </c>
      <c r="E8" s="21"/>
      <c r="F8" s="48"/>
      <c r="G8" s="48"/>
      <c r="H8" s="48"/>
      <c r="I8" s="48"/>
      <c r="J8" s="48"/>
      <c r="K8" s="48"/>
      <c r="L8" s="48"/>
      <c r="M8" s="48"/>
      <c r="N8" s="48"/>
      <c r="O8" s="48"/>
    </row>
    <row r="9" spans="1:15" x14ac:dyDescent="0.3">
      <c r="A9" s="69"/>
      <c r="B9" s="38" t="s">
        <v>31</v>
      </c>
      <c r="C9" s="21"/>
      <c r="D9" s="55" t="str">
        <f t="shared" si="0"/>
        <v/>
      </c>
      <c r="E9" s="21"/>
      <c r="F9" s="48"/>
      <c r="G9" s="48"/>
      <c r="H9" s="48"/>
      <c r="I9" s="48"/>
      <c r="J9" s="48"/>
      <c r="K9" s="48"/>
      <c r="L9" s="48"/>
      <c r="M9" s="48"/>
      <c r="N9" s="48"/>
      <c r="O9" s="48"/>
    </row>
    <row r="10" spans="1:15" x14ac:dyDescent="0.3">
      <c r="A10" s="69"/>
      <c r="B10" s="38" t="s">
        <v>32</v>
      </c>
      <c r="C10" s="21"/>
      <c r="D10" s="55" t="str">
        <f t="shared" si="0"/>
        <v/>
      </c>
      <c r="E10" s="21"/>
      <c r="F10" s="48"/>
      <c r="G10" s="48"/>
      <c r="H10" s="48"/>
      <c r="I10" s="48"/>
      <c r="J10" s="48"/>
      <c r="K10" s="48"/>
      <c r="L10" s="48"/>
      <c r="M10" s="48"/>
      <c r="N10" s="48"/>
      <c r="O10" s="48"/>
    </row>
    <row r="11" spans="1:15" x14ac:dyDescent="0.3">
      <c r="A11" s="70"/>
      <c r="B11" s="39" t="s">
        <v>33</v>
      </c>
      <c r="C11" s="21"/>
      <c r="D11" s="55" t="str">
        <f t="shared" si="0"/>
        <v/>
      </c>
      <c r="E11" s="21"/>
      <c r="F11" s="48"/>
      <c r="G11" s="48"/>
      <c r="H11" s="48"/>
      <c r="I11" s="48"/>
      <c r="J11" s="48"/>
      <c r="K11" s="48"/>
      <c r="L11" s="48"/>
      <c r="M11" s="48"/>
      <c r="N11" s="48"/>
      <c r="O11" s="48"/>
    </row>
    <row r="12" spans="1:15" ht="15.6" x14ac:dyDescent="0.3">
      <c r="A12" s="28"/>
      <c r="B12" s="29"/>
      <c r="D12" s="58" t="s">
        <v>55</v>
      </c>
      <c r="E12" s="21"/>
      <c r="F12" s="51" t="str">
        <f>IF(OR(F13,F14,F15,F16,F17,F18, F19, F20,F21, F22="*"),"Note 1","")</f>
        <v/>
      </c>
      <c r="G12" s="51" t="str">
        <f>IF(OR(G13,G14,G15,G16,G17,G18, G19, G20,G21, G22="*"),"Note 2","")</f>
        <v/>
      </c>
      <c r="H12" s="51" t="str">
        <f>IF(OR(H13,H14,H15,H16,H17,H18, H19, H20,H21, H22="*"),"Note 3","")</f>
        <v/>
      </c>
      <c r="I12" s="51" t="str">
        <f>IF(OR(I13,I14,I15,I16,I17,I18, I19, I20,I21, I22="*"),"Note 4","")</f>
        <v/>
      </c>
      <c r="J12" s="51" t="str">
        <f>IF(OR(J13,J14,J15,J16,J17,J18, J19, J20,J21, J22="*"),"Note 5","")</f>
        <v/>
      </c>
      <c r="K12" s="51" t="str">
        <f>IF(OR(K13,K14,K15,K16,K17,K18, K19, K20,K21, K22="*"),"Note 6","")</f>
        <v/>
      </c>
      <c r="L12" s="51" t="str">
        <f>IF(OR(L13,L14,L15,L16,L17,L18, L19, L20,L21, L22="*"),"Note 7","")</f>
        <v/>
      </c>
      <c r="M12" s="51" t="str">
        <f>IF(OR(M13,M14,M15,M16,M17,M18, M19, M20,M21, M22="*"),"Note 8","")</f>
        <v/>
      </c>
      <c r="N12" s="51" t="str">
        <f>IF(OR(N13,N14,N15,N16,N17,N18, N19, N20,N21, N22="*"),"Note 9","")</f>
        <v/>
      </c>
      <c r="O12" s="51" t="str">
        <f>IF(OR(O13,O14,O15,O16,O17,O18, O19, O20,O21, O22="*"),"Note 10","")</f>
        <v/>
      </c>
    </row>
    <row r="13" spans="1:15" ht="30.75" customHeight="1" x14ac:dyDescent="0.3">
      <c r="A13" s="79" t="s">
        <v>8</v>
      </c>
      <c r="B13" s="40" t="s">
        <v>34</v>
      </c>
      <c r="C13" s="21"/>
      <c r="D13" s="55" t="str">
        <f t="shared" si="0"/>
        <v/>
      </c>
      <c r="E13" s="21"/>
      <c r="F13" s="48"/>
      <c r="G13" s="48"/>
      <c r="H13" s="48"/>
      <c r="I13" s="48"/>
      <c r="J13" s="48"/>
      <c r="K13" s="48"/>
      <c r="L13" s="48"/>
      <c r="M13" s="48"/>
      <c r="N13" s="48"/>
      <c r="O13" s="48"/>
    </row>
    <row r="14" spans="1:15" ht="15" customHeight="1" x14ac:dyDescent="0.3">
      <c r="A14" s="80"/>
      <c r="B14" s="41" t="s">
        <v>35</v>
      </c>
      <c r="C14" s="21"/>
      <c r="D14" s="55" t="str">
        <f t="shared" si="0"/>
        <v/>
      </c>
      <c r="E14" s="21"/>
      <c r="F14" s="48"/>
      <c r="G14" s="48"/>
      <c r="H14" s="48"/>
      <c r="I14" s="48"/>
      <c r="J14" s="48"/>
      <c r="K14" s="48"/>
      <c r="L14" s="48"/>
      <c r="M14" s="48"/>
      <c r="N14" s="48"/>
      <c r="O14" s="48"/>
    </row>
    <row r="15" spans="1:15" x14ac:dyDescent="0.3">
      <c r="A15" s="80"/>
      <c r="B15" s="41" t="s">
        <v>36</v>
      </c>
      <c r="C15" s="21"/>
      <c r="D15" s="55" t="str">
        <f t="shared" si="0"/>
        <v/>
      </c>
      <c r="E15" s="21"/>
      <c r="F15" s="48"/>
      <c r="G15" s="48"/>
      <c r="H15" s="48"/>
      <c r="I15" s="48"/>
      <c r="J15" s="48"/>
      <c r="K15" s="48"/>
      <c r="L15" s="48"/>
      <c r="M15" s="48"/>
      <c r="N15" s="48"/>
      <c r="O15" s="48"/>
    </row>
    <row r="16" spans="1:15" x14ac:dyDescent="0.3">
      <c r="A16" s="80"/>
      <c r="B16" s="41" t="s">
        <v>37</v>
      </c>
      <c r="C16" s="21"/>
      <c r="D16" s="55" t="str">
        <f t="shared" si="0"/>
        <v/>
      </c>
      <c r="E16" s="21"/>
      <c r="F16" s="48"/>
      <c r="G16" s="48"/>
      <c r="H16" s="48"/>
      <c r="I16" s="48"/>
      <c r="J16" s="48"/>
      <c r="K16" s="48"/>
      <c r="L16" s="48"/>
      <c r="M16" s="48"/>
      <c r="N16" s="48"/>
      <c r="O16" s="48"/>
    </row>
    <row r="17" spans="1:15" x14ac:dyDescent="0.3">
      <c r="A17" s="80"/>
      <c r="B17" s="27" t="s">
        <v>29</v>
      </c>
      <c r="C17" s="21"/>
      <c r="D17" s="55" t="str">
        <f t="shared" si="0"/>
        <v/>
      </c>
      <c r="E17" s="21"/>
      <c r="F17" s="48"/>
      <c r="G17" s="48"/>
      <c r="H17" s="48"/>
      <c r="I17" s="48"/>
      <c r="J17" s="48"/>
      <c r="K17" s="48"/>
      <c r="L17" s="48"/>
      <c r="M17" s="48"/>
      <c r="N17" s="48"/>
      <c r="O17" s="48"/>
    </row>
    <row r="18" spans="1:15" x14ac:dyDescent="0.3">
      <c r="A18" s="80"/>
      <c r="B18" s="41" t="s">
        <v>38</v>
      </c>
      <c r="C18" s="21"/>
      <c r="D18" s="55" t="str">
        <f t="shared" si="0"/>
        <v/>
      </c>
      <c r="E18" s="21"/>
      <c r="F18" s="48"/>
      <c r="G18" s="48"/>
      <c r="H18" s="48"/>
      <c r="I18" s="48"/>
      <c r="J18" s="48"/>
      <c r="K18" s="48"/>
      <c r="L18" s="48"/>
      <c r="M18" s="48"/>
      <c r="N18" s="48"/>
      <c r="O18" s="48"/>
    </row>
    <row r="19" spans="1:15" x14ac:dyDescent="0.3">
      <c r="A19" s="80"/>
      <c r="B19" s="41" t="s">
        <v>39</v>
      </c>
      <c r="C19" s="21"/>
      <c r="D19" s="55" t="str">
        <f t="shared" si="0"/>
        <v/>
      </c>
      <c r="E19" s="21"/>
      <c r="F19" s="48"/>
      <c r="G19" s="48"/>
      <c r="H19" s="48"/>
      <c r="I19" s="48"/>
      <c r="J19" s="48"/>
      <c r="K19" s="48"/>
      <c r="L19" s="48"/>
      <c r="M19" s="48"/>
      <c r="N19" s="48"/>
      <c r="O19" s="48"/>
    </row>
    <row r="20" spans="1:15" x14ac:dyDescent="0.3">
      <c r="A20" s="80"/>
      <c r="B20" s="42" t="s">
        <v>31</v>
      </c>
      <c r="C20" s="21"/>
      <c r="D20" s="55" t="str">
        <f t="shared" si="0"/>
        <v/>
      </c>
      <c r="E20" s="21"/>
      <c r="F20" s="48"/>
      <c r="G20" s="48"/>
      <c r="H20" s="48"/>
      <c r="I20" s="48"/>
      <c r="J20" s="48"/>
      <c r="K20" s="48"/>
      <c r="L20" s="48"/>
      <c r="M20" s="48"/>
      <c r="N20" s="48"/>
      <c r="O20" s="48"/>
    </row>
    <row r="21" spans="1:15" x14ac:dyDescent="0.3">
      <c r="A21" s="80"/>
      <c r="B21" s="42" t="s">
        <v>32</v>
      </c>
      <c r="C21" s="21"/>
      <c r="D21" s="55" t="str">
        <f t="shared" si="0"/>
        <v/>
      </c>
      <c r="E21" s="21"/>
      <c r="F21" s="48"/>
      <c r="G21" s="48"/>
      <c r="H21" s="48"/>
      <c r="I21" s="48"/>
      <c r="J21" s="48"/>
      <c r="K21" s="48"/>
      <c r="L21" s="48"/>
      <c r="M21" s="48"/>
      <c r="N21" s="48"/>
      <c r="O21" s="48"/>
    </row>
    <row r="22" spans="1:15" x14ac:dyDescent="0.3">
      <c r="A22" s="81"/>
      <c r="B22" s="43" t="s">
        <v>33</v>
      </c>
      <c r="C22" s="21"/>
      <c r="D22" s="55" t="str">
        <f t="shared" si="0"/>
        <v/>
      </c>
      <c r="E22" s="21"/>
      <c r="F22" s="48"/>
      <c r="G22" s="48"/>
      <c r="H22" s="48"/>
      <c r="I22" s="48"/>
      <c r="J22" s="48"/>
      <c r="K22" s="48"/>
      <c r="L22" s="48"/>
      <c r="M22" s="48"/>
      <c r="N22" s="48"/>
      <c r="O22" s="48"/>
    </row>
    <row r="23" spans="1:15" ht="15.6" x14ac:dyDescent="0.3">
      <c r="A23" s="28"/>
      <c r="B23" s="29"/>
      <c r="C23" s="21"/>
      <c r="D23" s="58" t="s">
        <v>55</v>
      </c>
      <c r="E23" s="21"/>
      <c r="F23" s="52" t="str">
        <f>IF(OR(F24,F25,F26,F27,F28,F29,F30,F31="*"),"Note 1","")</f>
        <v/>
      </c>
      <c r="G23" s="52" t="str">
        <f>IF(OR(G24,G25,G26,G27,G28,G29,G30,G31="*"),"Note 2","")</f>
        <v/>
      </c>
      <c r="H23" s="52" t="str">
        <f>IF(OR(H24,H25,H26,H27,H28,H29,H30,H31="*"),"Note 3","")</f>
        <v/>
      </c>
      <c r="I23" s="52" t="str">
        <f>IF(OR(I24,I25,I26,I27,I28,I29,I30,I31="*"),"Note 4","")</f>
        <v/>
      </c>
      <c r="J23" s="52" t="str">
        <f>IF(OR(J24,J25,J26,J27,J28,J29,J30,J31="*"),"Note 5","")</f>
        <v/>
      </c>
      <c r="K23" s="52" t="str">
        <f>IF(OR(K24,K25,K26,K27,K28,K29,K30,K31="*"),"Note 6","")</f>
        <v/>
      </c>
      <c r="L23" s="52" t="str">
        <f>IF(OR(L24,L25,L26,L27,L28,L29,L30,L31="*"),"Note 7","")</f>
        <v/>
      </c>
      <c r="M23" s="52" t="str">
        <f>IF(OR(M24,M25,M26,M27,M28,M29,M30,M31="*"),"Note 8","")</f>
        <v/>
      </c>
      <c r="N23" s="52" t="str">
        <f>IF(OR(N24,N25,N26,N27,N28,N29,N30,N31="*"),"Note 9","")</f>
        <v/>
      </c>
      <c r="O23" s="52" t="str">
        <f>IF(OR(O24,O25,O26,O27,O28,O29,O30,O31="*"),"Note 10","")</f>
        <v/>
      </c>
    </row>
    <row r="24" spans="1:15" ht="30.75" customHeight="1" x14ac:dyDescent="0.3">
      <c r="A24" s="82" t="s">
        <v>13</v>
      </c>
      <c r="B24" s="44" t="s">
        <v>40</v>
      </c>
      <c r="C24" s="21"/>
      <c r="D24" s="55" t="str">
        <f t="shared" si="0"/>
        <v/>
      </c>
      <c r="E24" s="21"/>
      <c r="F24" s="48"/>
      <c r="G24" s="48"/>
      <c r="H24" s="48"/>
      <c r="I24" s="48"/>
      <c r="J24" s="48"/>
      <c r="K24" s="48"/>
      <c r="L24" s="48"/>
      <c r="M24" s="48"/>
      <c r="N24" s="48"/>
      <c r="O24" s="48"/>
    </row>
    <row r="25" spans="1:15" ht="15" customHeight="1" x14ac:dyDescent="0.3">
      <c r="A25" s="83"/>
      <c r="B25" s="45" t="s">
        <v>41</v>
      </c>
      <c r="C25" s="21"/>
      <c r="D25" s="55" t="str">
        <f t="shared" si="0"/>
        <v/>
      </c>
      <c r="E25" s="21"/>
      <c r="F25" s="48"/>
      <c r="G25" s="48"/>
      <c r="H25" s="48"/>
      <c r="I25" s="48"/>
      <c r="J25" s="48"/>
      <c r="K25" s="48"/>
      <c r="L25" s="48"/>
      <c r="M25" s="48"/>
      <c r="N25" s="48"/>
      <c r="O25" s="48"/>
    </row>
    <row r="26" spans="1:15" x14ac:dyDescent="0.3">
      <c r="A26" s="83"/>
      <c r="B26" s="45" t="s">
        <v>42</v>
      </c>
      <c r="C26" s="21"/>
      <c r="D26" s="55" t="str">
        <f t="shared" si="0"/>
        <v/>
      </c>
      <c r="E26" s="21"/>
      <c r="F26" s="48"/>
      <c r="G26" s="48"/>
      <c r="H26" s="48"/>
      <c r="I26" s="48"/>
      <c r="J26" s="48"/>
      <c r="K26" s="48"/>
      <c r="L26" s="48"/>
      <c r="M26" s="48"/>
      <c r="N26" s="48"/>
      <c r="O26" s="48"/>
    </row>
    <row r="27" spans="1:15" x14ac:dyDescent="0.3">
      <c r="A27" s="83"/>
      <c r="B27" s="27" t="s">
        <v>29</v>
      </c>
      <c r="C27" s="21"/>
      <c r="D27" s="55" t="str">
        <f t="shared" si="0"/>
        <v/>
      </c>
      <c r="E27" s="21"/>
      <c r="F27" s="48"/>
      <c r="G27" s="48"/>
      <c r="H27" s="48"/>
      <c r="I27" s="48"/>
      <c r="J27" s="48"/>
      <c r="K27" s="48"/>
      <c r="L27" s="48"/>
      <c r="M27" s="48"/>
      <c r="N27" s="48"/>
      <c r="O27" s="48"/>
    </row>
    <row r="28" spans="1:15" x14ac:dyDescent="0.3">
      <c r="A28" s="83"/>
      <c r="B28" s="45" t="s">
        <v>31</v>
      </c>
      <c r="C28" s="21"/>
      <c r="D28" s="55" t="str">
        <f t="shared" si="0"/>
        <v/>
      </c>
      <c r="E28" s="21"/>
      <c r="F28" s="48"/>
      <c r="G28" s="48"/>
      <c r="H28" s="48"/>
      <c r="I28" s="48"/>
      <c r="J28" s="48"/>
      <c r="K28" s="48"/>
      <c r="L28" s="48"/>
      <c r="M28" s="48"/>
      <c r="N28" s="48"/>
      <c r="O28" s="48"/>
    </row>
    <row r="29" spans="1:15" x14ac:dyDescent="0.3">
      <c r="A29" s="83"/>
      <c r="B29" s="45" t="s">
        <v>43</v>
      </c>
      <c r="C29" s="21"/>
      <c r="D29" s="55" t="str">
        <f t="shared" si="0"/>
        <v/>
      </c>
      <c r="E29" s="21"/>
      <c r="F29" s="48"/>
      <c r="G29" s="48"/>
      <c r="H29" s="48"/>
      <c r="I29" s="48"/>
      <c r="J29" s="48"/>
      <c r="K29" s="48"/>
      <c r="L29" s="48"/>
      <c r="M29" s="48"/>
      <c r="N29" s="48"/>
      <c r="O29" s="48"/>
    </row>
    <row r="30" spans="1:15" x14ac:dyDescent="0.3">
      <c r="A30" s="83"/>
      <c r="B30" s="46" t="s">
        <v>32</v>
      </c>
      <c r="C30" s="21"/>
      <c r="D30" s="55" t="str">
        <f t="shared" si="0"/>
        <v/>
      </c>
      <c r="E30" s="21"/>
      <c r="F30" s="48"/>
      <c r="G30" s="48"/>
      <c r="H30" s="48"/>
      <c r="I30" s="48"/>
      <c r="J30" s="48"/>
      <c r="K30" s="48"/>
      <c r="L30" s="48"/>
      <c r="M30" s="48"/>
      <c r="N30" s="48"/>
      <c r="O30" s="48"/>
    </row>
    <row r="31" spans="1:15" x14ac:dyDescent="0.3">
      <c r="A31" s="84"/>
      <c r="B31" s="47" t="s">
        <v>33</v>
      </c>
      <c r="C31" s="21"/>
      <c r="D31" s="55" t="str">
        <f t="shared" si="0"/>
        <v/>
      </c>
      <c r="E31" s="21"/>
      <c r="F31" s="48"/>
      <c r="G31" s="48"/>
      <c r="H31" s="48"/>
      <c r="I31" s="48"/>
      <c r="J31" s="48"/>
      <c r="K31" s="48"/>
      <c r="L31" s="48"/>
      <c r="M31" s="48"/>
      <c r="N31" s="48"/>
      <c r="O31" s="48"/>
    </row>
    <row r="32" spans="1:15" x14ac:dyDescent="0.3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</row>
    <row r="33" spans="1:15" x14ac:dyDescent="0.3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</row>
    <row r="34" spans="1:15" x14ac:dyDescent="0.3">
      <c r="A34" s="59" t="s">
        <v>20</v>
      </c>
      <c r="B34" s="55" t="str" cm="1">
        <f t="array" ref="B34">IF(OR(D3:D11="Moyenne bloquée"),"Moyenne bloquée",IF(SUM(IF(D3:D11&lt;&gt;"",'Coef - BUT1'!C25:C33,0))=0,"",SUMPRODUCT('Coef - BUT1'!C25:C33,'Semestre 2'!D3:D11)/SUM(IF('Semestre 2'!D3:D11&lt;&gt;"",'Coef - BUT1'!C25:C33,0))))</f>
        <v/>
      </c>
      <c r="C34" s="21"/>
      <c r="D34" s="21"/>
      <c r="E34" s="21"/>
      <c r="F34" s="21"/>
      <c r="G34" s="21"/>
      <c r="H34" s="21"/>
      <c r="I34" s="21"/>
      <c r="J34" s="21"/>
      <c r="K34" s="21"/>
      <c r="L34" s="78"/>
      <c r="M34" s="78"/>
      <c r="N34" s="78"/>
      <c r="O34" s="78"/>
    </row>
    <row r="35" spans="1:15" x14ac:dyDescent="0.3">
      <c r="A35" s="60" t="s">
        <v>44</v>
      </c>
      <c r="B35" s="55" t="str" cm="1">
        <f t="array" ref="B35">IF(OR(D13:D22="Moyenne bloquée"),"Moyenne bloquée",IF(SUM(IF(D13:D22&lt;&gt;"",'Coef - BUT1'!C35:C44,0))=0,"",SUMPRODUCT('Coef - BUT1'!C35:C44,'Semestre 2'!D13:D22)/SUM(IF('Semestre 2'!D13:D22&lt;&gt;"",'Coef - BUT1'!C35:C44,0))))</f>
        <v/>
      </c>
      <c r="C35" s="21"/>
      <c r="D35" s="21"/>
      <c r="E35" s="21"/>
      <c r="F35" s="21"/>
      <c r="G35" s="21"/>
      <c r="H35" s="21"/>
      <c r="I35" s="21"/>
      <c r="J35" s="21"/>
      <c r="K35" s="21"/>
      <c r="L35" s="78"/>
      <c r="M35" s="78"/>
      <c r="N35" s="78"/>
      <c r="O35" s="78"/>
    </row>
    <row r="36" spans="1:15" x14ac:dyDescent="0.3">
      <c r="A36" s="60" t="s">
        <v>22</v>
      </c>
      <c r="B36" s="55" t="str" cm="1">
        <f t="array" ref="B36">IF(OR(D24:D31="Moyenne bloquée"),"Moyenne bloquée",IF(SUM(IF(D24:D31&lt;&gt;"",'Coef - BUT1'!C46:C53,0))=0,"",SUMPRODUCT('Coef - BUT1'!C46:C53,D24:D31)/SUM(IF(D24:D31&lt;&gt;"",'Coef - BUT1'!C46:C53,0))))</f>
        <v/>
      </c>
      <c r="C36" s="21"/>
      <c r="D36" s="21"/>
      <c r="E36" s="21"/>
      <c r="F36" s="21"/>
      <c r="G36" s="21"/>
      <c r="H36" s="21"/>
      <c r="I36" s="21"/>
      <c r="J36" s="21"/>
      <c r="K36" s="21"/>
      <c r="L36" s="78"/>
      <c r="M36" s="78"/>
      <c r="N36" s="78"/>
      <c r="O36" s="78"/>
    </row>
    <row r="37" spans="1:15" ht="15" thickBot="1" x14ac:dyDescent="0.35">
      <c r="A37" s="61"/>
      <c r="B37" s="56"/>
      <c r="C37" s="21"/>
      <c r="D37" s="21"/>
      <c r="E37" s="21"/>
      <c r="F37" s="21"/>
      <c r="G37" s="21"/>
      <c r="H37" s="21"/>
      <c r="I37" s="21"/>
      <c r="J37" s="21"/>
      <c r="K37" s="21"/>
      <c r="L37" s="78"/>
      <c r="M37" s="78"/>
      <c r="N37" s="78"/>
      <c r="O37" s="78"/>
    </row>
    <row r="38" spans="1:15" ht="15" thickBot="1" x14ac:dyDescent="0.35">
      <c r="A38" s="62" t="s">
        <v>23</v>
      </c>
      <c r="B38" s="64" t="e" cm="1">
        <f t="array" ref="B38">IF(OR(B34:B36="Moyenne bloquée"),"Moyenne bloquée",AVERAGE(B34:B36))</f>
        <v>#DIV/0!</v>
      </c>
      <c r="C38" s="21"/>
      <c r="D38" s="21"/>
      <c r="E38" s="21"/>
      <c r="F38" s="21"/>
      <c r="G38" s="21"/>
      <c r="H38" s="21"/>
      <c r="I38" s="21"/>
      <c r="J38" s="21"/>
      <c r="K38" s="21"/>
      <c r="L38" s="78"/>
      <c r="M38" s="78"/>
      <c r="N38" s="78"/>
      <c r="O38" s="78"/>
    </row>
  </sheetData>
  <mergeCells count="5">
    <mergeCell ref="A3:A11"/>
    <mergeCell ref="A13:A22"/>
    <mergeCell ref="A24:A31"/>
    <mergeCell ref="A2:B2"/>
    <mergeCell ref="L34:O38"/>
  </mergeCells>
  <conditionalFormatting sqref="D3:D11 D24:D31 D13:D22">
    <cfRule type="cellIs" dxfId="2" priority="1" operator="equal">
      <formula>10</formula>
    </cfRule>
    <cfRule type="cellIs" dxfId="1" priority="2" operator="greaterThan">
      <formula>10</formula>
    </cfRule>
    <cfRule type="cellIs" dxfId="0" priority="3" operator="lessThan">
      <formula>10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btnRetourMenuS2">
          <controlPr defaultSize="0" autoLine="0" autoPict="0" r:id="rId4">
            <anchor moveWithCells="1">
              <from>
                <xdr:col>0</xdr:col>
                <xdr:colOff>243840</xdr:colOff>
                <xdr:row>39</xdr:row>
                <xdr:rowOff>45720</xdr:rowOff>
              </from>
              <to>
                <xdr:col>1</xdr:col>
                <xdr:colOff>304800</xdr:colOff>
                <xdr:row>45</xdr:row>
                <xdr:rowOff>0</xdr:rowOff>
              </to>
            </anchor>
          </controlPr>
        </control>
      </mc:Choice>
      <mc:Fallback>
        <control shapeId="7169" r:id="rId3" name="btnRetourMenuS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1">
    <pageSetUpPr fitToPage="1"/>
  </sheetPr>
  <dimension ref="A2:C57"/>
  <sheetViews>
    <sheetView zoomScaleNormal="100" workbookViewId="0">
      <selection activeCell="D20" sqref="D20"/>
    </sheetView>
  </sheetViews>
  <sheetFormatPr baseColWidth="10" defaultColWidth="47.44140625" defaultRowHeight="14.4" x14ac:dyDescent="0.3"/>
  <cols>
    <col min="1" max="1" width="41.44140625" style="1" bestFit="1" customWidth="1"/>
    <col min="2" max="2" width="64.44140625" bestFit="1" customWidth="1"/>
    <col min="3" max="3" width="8.44140625" style="2" customWidth="1"/>
    <col min="4" max="4" width="42.44140625" bestFit="1" customWidth="1"/>
    <col min="5" max="5" width="4.44140625" bestFit="1" customWidth="1"/>
  </cols>
  <sheetData>
    <row r="2" spans="1:3" ht="18" x14ac:dyDescent="0.35">
      <c r="A2" s="92" t="s">
        <v>0</v>
      </c>
      <c r="B2" s="92"/>
      <c r="C2" s="92"/>
    </row>
    <row r="3" spans="1:3" ht="15" customHeight="1" x14ac:dyDescent="0.3">
      <c r="A3" s="93" t="s">
        <v>45</v>
      </c>
      <c r="B3" s="14" t="s">
        <v>2</v>
      </c>
      <c r="C3" s="16">
        <v>15</v>
      </c>
    </row>
    <row r="4" spans="1:3" x14ac:dyDescent="0.3">
      <c r="A4" s="94"/>
      <c r="B4" s="14" t="s">
        <v>3</v>
      </c>
      <c r="C4" s="16">
        <v>20</v>
      </c>
    </row>
    <row r="5" spans="1:3" x14ac:dyDescent="0.3">
      <c r="A5" s="94"/>
      <c r="B5" s="14" t="s">
        <v>4</v>
      </c>
      <c r="C5" s="16">
        <v>20</v>
      </c>
    </row>
    <row r="6" spans="1:3" x14ac:dyDescent="0.3">
      <c r="A6" s="94"/>
      <c r="B6" s="4" t="s">
        <v>5</v>
      </c>
      <c r="C6" s="16">
        <v>5</v>
      </c>
    </row>
    <row r="7" spans="1:3" x14ac:dyDescent="0.3">
      <c r="A7" s="94"/>
      <c r="B7" s="14" t="s">
        <v>6</v>
      </c>
      <c r="C7" s="16">
        <v>30</v>
      </c>
    </row>
    <row r="8" spans="1:3" x14ac:dyDescent="0.3">
      <c r="A8" s="95"/>
      <c r="B8" s="14" t="s">
        <v>7</v>
      </c>
      <c r="C8" s="16">
        <v>10</v>
      </c>
    </row>
    <row r="9" spans="1:3" x14ac:dyDescent="0.3">
      <c r="A9" s="8"/>
      <c r="B9" s="5"/>
      <c r="C9" s="6"/>
    </row>
    <row r="10" spans="1:3" ht="15" customHeight="1" x14ac:dyDescent="0.3">
      <c r="A10" s="96" t="s">
        <v>46</v>
      </c>
      <c r="B10" s="11" t="s">
        <v>9</v>
      </c>
      <c r="C10" s="12">
        <v>20</v>
      </c>
    </row>
    <row r="11" spans="1:3" ht="15" customHeight="1" x14ac:dyDescent="0.3">
      <c r="A11" s="97"/>
      <c r="B11" s="11" t="s">
        <v>10</v>
      </c>
      <c r="C11" s="12">
        <v>15</v>
      </c>
    </row>
    <row r="12" spans="1:3" x14ac:dyDescent="0.3">
      <c r="A12" s="97"/>
      <c r="B12" s="11" t="s">
        <v>11</v>
      </c>
      <c r="C12" s="12">
        <v>20</v>
      </c>
    </row>
    <row r="13" spans="1:3" x14ac:dyDescent="0.3">
      <c r="A13" s="97"/>
      <c r="B13" s="4" t="s">
        <v>5</v>
      </c>
      <c r="C13" s="12">
        <v>5</v>
      </c>
    </row>
    <row r="14" spans="1:3" ht="28.8" x14ac:dyDescent="0.3">
      <c r="A14" s="98"/>
      <c r="B14" s="11" t="s">
        <v>12</v>
      </c>
      <c r="C14" s="12">
        <v>40</v>
      </c>
    </row>
    <row r="15" spans="1:3" x14ac:dyDescent="0.3">
      <c r="A15" s="8"/>
      <c r="B15" s="3"/>
      <c r="C15" s="6"/>
    </row>
    <row r="16" spans="1:3" ht="15" customHeight="1" x14ac:dyDescent="0.3">
      <c r="A16" s="101" t="s">
        <v>47</v>
      </c>
      <c r="B16" s="10" t="s">
        <v>14</v>
      </c>
      <c r="C16" s="13">
        <v>15</v>
      </c>
    </row>
    <row r="17" spans="1:3" x14ac:dyDescent="0.3">
      <c r="A17" s="102"/>
      <c r="B17" s="10" t="s">
        <v>15</v>
      </c>
      <c r="C17" s="13">
        <v>15</v>
      </c>
    </row>
    <row r="18" spans="1:3" x14ac:dyDescent="0.3">
      <c r="A18" s="102"/>
      <c r="B18" s="10" t="s">
        <v>16</v>
      </c>
      <c r="C18" s="13">
        <v>25</v>
      </c>
    </row>
    <row r="19" spans="1:3" x14ac:dyDescent="0.3">
      <c r="A19" s="102"/>
      <c r="B19" s="4" t="s">
        <v>5</v>
      </c>
      <c r="C19" s="13">
        <v>5</v>
      </c>
    </row>
    <row r="20" spans="1:3" x14ac:dyDescent="0.3">
      <c r="A20" s="102"/>
      <c r="B20" s="10" t="s">
        <v>17</v>
      </c>
      <c r="C20" s="13">
        <v>15</v>
      </c>
    </row>
    <row r="21" spans="1:3" x14ac:dyDescent="0.3">
      <c r="A21" s="102"/>
      <c r="B21" s="10" t="s">
        <v>18</v>
      </c>
      <c r="C21" s="13">
        <v>10</v>
      </c>
    </row>
    <row r="22" spans="1:3" x14ac:dyDescent="0.3">
      <c r="A22" s="103"/>
      <c r="B22" s="10" t="s">
        <v>19</v>
      </c>
      <c r="C22" s="13">
        <v>15</v>
      </c>
    </row>
    <row r="24" spans="1:3" ht="18" x14ac:dyDescent="0.35">
      <c r="A24" s="99" t="s">
        <v>24</v>
      </c>
      <c r="B24" s="92"/>
      <c r="C24" s="92"/>
    </row>
    <row r="25" spans="1:3" ht="15" customHeight="1" x14ac:dyDescent="0.3">
      <c r="A25" s="100" t="s">
        <v>45</v>
      </c>
      <c r="B25" s="15" t="s">
        <v>25</v>
      </c>
      <c r="C25" s="18">
        <v>10</v>
      </c>
    </row>
    <row r="26" spans="1:3" x14ac:dyDescent="0.3">
      <c r="A26" s="94"/>
      <c r="B26" s="15" t="s">
        <v>26</v>
      </c>
      <c r="C26" s="18">
        <v>15</v>
      </c>
    </row>
    <row r="27" spans="1:3" x14ac:dyDescent="0.3">
      <c r="A27" s="94"/>
      <c r="B27" s="15" t="s">
        <v>27</v>
      </c>
      <c r="C27" s="18">
        <v>15</v>
      </c>
    </row>
    <row r="28" spans="1:3" x14ac:dyDescent="0.3">
      <c r="A28" s="94"/>
      <c r="B28" s="15" t="s">
        <v>28</v>
      </c>
      <c r="C28" s="18">
        <v>15</v>
      </c>
    </row>
    <row r="29" spans="1:3" x14ac:dyDescent="0.3">
      <c r="A29" s="94"/>
      <c r="B29" s="4" t="s">
        <v>29</v>
      </c>
      <c r="C29" s="18">
        <v>5</v>
      </c>
    </row>
    <row r="30" spans="1:3" ht="15.9" customHeight="1" x14ac:dyDescent="0.3">
      <c r="A30" s="94"/>
      <c r="B30" s="15" t="s">
        <v>30</v>
      </c>
      <c r="C30" s="18">
        <v>10</v>
      </c>
    </row>
    <row r="31" spans="1:3" ht="15.9" customHeight="1" x14ac:dyDescent="0.3">
      <c r="A31" s="94"/>
      <c r="B31" s="9" t="s">
        <v>31</v>
      </c>
      <c r="C31" s="18">
        <v>5</v>
      </c>
    </row>
    <row r="32" spans="1:3" x14ac:dyDescent="0.3">
      <c r="A32" s="94"/>
      <c r="B32" s="9" t="s">
        <v>32</v>
      </c>
      <c r="C32" s="18">
        <v>20</v>
      </c>
    </row>
    <row r="33" spans="1:3" x14ac:dyDescent="0.3">
      <c r="A33" s="95"/>
      <c r="B33" s="4" t="s">
        <v>33</v>
      </c>
      <c r="C33" s="18">
        <v>5</v>
      </c>
    </row>
    <row r="34" spans="1:3" x14ac:dyDescent="0.3">
      <c r="A34" s="8"/>
      <c r="B34" s="3"/>
      <c r="C34" s="7"/>
    </row>
    <row r="35" spans="1:3" ht="15" customHeight="1" x14ac:dyDescent="0.3">
      <c r="A35" s="86" t="s">
        <v>46</v>
      </c>
      <c r="B35" s="19" t="s">
        <v>34</v>
      </c>
      <c r="C35" s="20">
        <v>10</v>
      </c>
    </row>
    <row r="36" spans="1:3" x14ac:dyDescent="0.3">
      <c r="A36" s="87"/>
      <c r="B36" s="19" t="s">
        <v>35</v>
      </c>
      <c r="C36" s="20">
        <v>15</v>
      </c>
    </row>
    <row r="37" spans="1:3" x14ac:dyDescent="0.3">
      <c r="A37" s="87"/>
      <c r="B37" s="19" t="s">
        <v>36</v>
      </c>
      <c r="C37" s="20">
        <v>15</v>
      </c>
    </row>
    <row r="38" spans="1:3" x14ac:dyDescent="0.3">
      <c r="A38" s="87"/>
      <c r="B38" s="19" t="s">
        <v>37</v>
      </c>
      <c r="C38" s="20">
        <v>15</v>
      </c>
    </row>
    <row r="39" spans="1:3" x14ac:dyDescent="0.3">
      <c r="A39" s="87"/>
      <c r="B39" s="4" t="s">
        <v>29</v>
      </c>
      <c r="C39" s="20">
        <v>5</v>
      </c>
    </row>
    <row r="40" spans="1:3" x14ac:dyDescent="0.3">
      <c r="A40" s="87"/>
      <c r="B40" s="19" t="s">
        <v>38</v>
      </c>
      <c r="C40" s="20">
        <v>10</v>
      </c>
    </row>
    <row r="41" spans="1:3" x14ac:dyDescent="0.3">
      <c r="A41" s="87"/>
      <c r="B41" s="19" t="s">
        <v>39</v>
      </c>
      <c r="C41" s="20">
        <v>10</v>
      </c>
    </row>
    <row r="42" spans="1:3" x14ac:dyDescent="0.3">
      <c r="A42" s="87"/>
      <c r="B42" s="9" t="s">
        <v>31</v>
      </c>
      <c r="C42" s="20">
        <v>5</v>
      </c>
    </row>
    <row r="43" spans="1:3" x14ac:dyDescent="0.3">
      <c r="A43" s="87"/>
      <c r="B43" s="9" t="s">
        <v>32</v>
      </c>
      <c r="C43" s="20">
        <v>10</v>
      </c>
    </row>
    <row r="44" spans="1:3" x14ac:dyDescent="0.3">
      <c r="A44" s="88"/>
      <c r="B44" s="4" t="s">
        <v>33</v>
      </c>
      <c r="C44" s="20">
        <v>5</v>
      </c>
    </row>
    <row r="45" spans="1:3" x14ac:dyDescent="0.3">
      <c r="A45" s="8"/>
      <c r="B45" s="3"/>
      <c r="C45" s="7"/>
    </row>
    <row r="46" spans="1:3" ht="15" customHeight="1" x14ac:dyDescent="0.3">
      <c r="A46" s="89" t="s">
        <v>47</v>
      </c>
      <c r="B46" s="10" t="s">
        <v>40</v>
      </c>
      <c r="C46" s="13">
        <v>15</v>
      </c>
    </row>
    <row r="47" spans="1:3" x14ac:dyDescent="0.3">
      <c r="A47" s="90"/>
      <c r="B47" s="10" t="s">
        <v>41</v>
      </c>
      <c r="C47" s="13">
        <v>15</v>
      </c>
    </row>
    <row r="48" spans="1:3" x14ac:dyDescent="0.3">
      <c r="A48" s="90"/>
      <c r="B48" s="10" t="s">
        <v>42</v>
      </c>
      <c r="C48" s="13">
        <v>25</v>
      </c>
    </row>
    <row r="49" spans="1:3" x14ac:dyDescent="0.3">
      <c r="A49" s="90"/>
      <c r="B49" s="4" t="s">
        <v>29</v>
      </c>
      <c r="C49" s="13">
        <v>5</v>
      </c>
    </row>
    <row r="50" spans="1:3" x14ac:dyDescent="0.3">
      <c r="A50" s="90"/>
      <c r="B50" s="17" t="s">
        <v>31</v>
      </c>
      <c r="C50" s="13">
        <v>5</v>
      </c>
    </row>
    <row r="51" spans="1:3" x14ac:dyDescent="0.3">
      <c r="A51" s="90"/>
      <c r="B51" s="10" t="s">
        <v>43</v>
      </c>
      <c r="C51" s="13">
        <v>10</v>
      </c>
    </row>
    <row r="52" spans="1:3" x14ac:dyDescent="0.3">
      <c r="A52" s="90"/>
      <c r="B52" s="9" t="s">
        <v>32</v>
      </c>
      <c r="C52" s="13">
        <v>20</v>
      </c>
    </row>
    <row r="53" spans="1:3" x14ac:dyDescent="0.3">
      <c r="A53" s="91"/>
      <c r="B53" s="4" t="s">
        <v>33</v>
      </c>
      <c r="C53" s="13">
        <v>5</v>
      </c>
    </row>
    <row r="56" spans="1:3" x14ac:dyDescent="0.3">
      <c r="A56"/>
    </row>
    <row r="57" spans="1:3" x14ac:dyDescent="0.3">
      <c r="A57"/>
    </row>
  </sheetData>
  <mergeCells count="8">
    <mergeCell ref="A35:A44"/>
    <mergeCell ref="A46:A53"/>
    <mergeCell ref="A2:C2"/>
    <mergeCell ref="A3:A8"/>
    <mergeCell ref="A10:A14"/>
    <mergeCell ref="A24:C24"/>
    <mergeCell ref="A25:A33"/>
    <mergeCell ref="A16:A22"/>
  </mergeCells>
  <pageMargins left="0.7" right="0.7" top="0.75" bottom="0.75" header="0.3" footer="0.3"/>
  <pageSetup paperSize="9" scale="87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0B811-E57A-4981-BACB-F5735AB8D4DE}">
  <sheetPr codeName="Feuil5"/>
  <dimension ref="A1:N38"/>
  <sheetViews>
    <sheetView topLeftCell="A16" workbookViewId="0">
      <selection activeCell="F7" sqref="F7"/>
    </sheetView>
  </sheetViews>
  <sheetFormatPr baseColWidth="10" defaultColWidth="8.88671875" defaultRowHeight="14.4" x14ac:dyDescent="0.3"/>
  <cols>
    <col min="3" max="3" width="49" bestFit="1" customWidth="1"/>
    <col min="4" max="4" width="17.77734375" bestFit="1" customWidth="1"/>
    <col min="5" max="5" width="15.109375" customWidth="1"/>
    <col min="6" max="6" width="16.44140625" customWidth="1"/>
    <col min="9" max="9" width="18.33203125" bestFit="1" customWidth="1"/>
    <col min="10" max="10" width="17.21875" bestFit="1" customWidth="1"/>
  </cols>
  <sheetData>
    <row r="1" spans="1:14" x14ac:dyDescent="0.3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</row>
    <row r="2" spans="1:14" x14ac:dyDescent="0.3">
      <c r="A2" s="21"/>
      <c r="B2" s="21"/>
      <c r="C2" s="104" t="s">
        <v>48</v>
      </c>
      <c r="D2" s="65" t="s">
        <v>49</v>
      </c>
      <c r="E2" s="65" t="s">
        <v>50</v>
      </c>
      <c r="F2" s="65" t="s">
        <v>51</v>
      </c>
      <c r="G2" s="21"/>
      <c r="H2" s="21"/>
      <c r="I2" s="21"/>
      <c r="J2" s="21"/>
      <c r="K2" s="21"/>
      <c r="L2" s="21"/>
      <c r="M2" s="21"/>
      <c r="N2" s="21"/>
    </row>
    <row r="3" spans="1:14" x14ac:dyDescent="0.3">
      <c r="A3" s="21"/>
      <c r="B3" s="21"/>
      <c r="C3" s="105"/>
      <c r="D3" s="66" t="e" cm="1">
        <f t="array" ref="D3">IF(OR('Semestre 1'!B25="Moyenne bloquée",'Semestre 2'!B34="Moyenne bloquée"),"Moyenne bloquée",(IF(SUM(IF('Semestre 1'!D3:D8&lt;&gt;"",'Coef - BUT1'!C3:C8,0))=0,"",SUMPRODUCT('Coef - BUT1'!C3:C8,'Semestre 1'!D3:D8))+IF(SUM(IF('Semestre 2'!D3:D11&lt;&gt;"",'Coef - BUT1'!C25:C33,0))=0,"",SUMPRODUCT('Coef - BUT1'!C25:C33,'Semestre 2'!D3:D11)))/(SUM(IF('Semestre 1'!D3:D8&lt;&gt;"",'Coef - BUT1'!C3:C8,0))+SUM(IF('Semestre 2'!D3:D11&lt;&gt;"",'Coef - BUT1'!C25:C33,0))))</f>
        <v>#VALUE!</v>
      </c>
      <c r="E3" s="66" t="e" cm="1">
        <f t="array" ref="E3">IF(OR('Semestre 1'!B26="Moyenne bloquée",'Semestre 2'!B35="Moyenne bloquée"),"Moyenne bloquée",(IF(SUM(IF('Semestre 1'!D10:D14&lt;&gt;"",'Coef - BUT1'!C10:C14,0))=0,"",SUMPRODUCT('Coef - BUT1'!C10:C14,'Semestre 1'!D10:D14))+IF(SUM(IF('Semestre 2'!D13:D22&lt;&gt;"",'Coef - BUT1'!C35:C44,0))=0,"",SUMPRODUCT('Coef - BUT1'!C35:C44,'Semestre 2'!D13:D22)))/(SUM(IF('Semestre 1'!D10:D14&lt;&gt;"",'Coef - BUT1'!C10:C14,0))+SUM(IF('Semestre 2'!D13:D22&lt;&gt;"",'Coef - BUT1'!C35:C44,0))))</f>
        <v>#VALUE!</v>
      </c>
      <c r="F3" s="67" t="e" cm="1">
        <f t="array" ref="F3">IF(OR('Semestre 1'!B27="Moyenne bloquée",'Semestre 2'!B36="Moyenne bloquée"),"Moyenne bloquée",(IF(SUM(IF('Semestre 1'!D16:D22&lt;&gt;"",'Coef - BUT1'!C16:C22,0))=0,"",SUMPRODUCT('Coef - BUT1'!C16:C22,'Semestre 1'!D16:D22))+IF(SUM(IF('Semestre 2'!D24:D31&lt;&gt;"",'Coef - BUT1'!C46:C53,0))=0,"",SUMPRODUCT('Coef - BUT1'!C46:C53,'Semestre 2'!D24:D31)))/(SUM(IF('Semestre 1'!D16:D22&lt;&gt;"",'Coef - BUT1'!C16:C22,0))+SUM(IF('Semestre 2'!D24:D31&lt;&gt;"",'Coef - BUT1'!C46:C53,0))))</f>
        <v>#VALUE!</v>
      </c>
      <c r="G3" s="21"/>
      <c r="H3" s="21"/>
      <c r="I3" s="21"/>
      <c r="J3" s="21"/>
      <c r="K3" s="21"/>
      <c r="L3" s="21"/>
      <c r="M3" s="21"/>
      <c r="N3" s="21"/>
    </row>
    <row r="4" spans="1:14" x14ac:dyDescent="0.3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</row>
    <row r="5" spans="1:14" x14ac:dyDescent="0.3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</row>
    <row r="6" spans="1:14" x14ac:dyDescent="0.3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</row>
    <row r="7" spans="1:14" x14ac:dyDescent="0.3">
      <c r="A7" s="21"/>
      <c r="B7" s="21" t="s">
        <v>52</v>
      </c>
      <c r="C7" s="21" t="e" cm="1">
        <f t="array" ref="C7">IF(OR(D3:F3="Moyenne bloquée"),"Votre moyenne est bloquée à cause d'une ou plusieurs ABI",IF(AND(OR(AND(D3&gt;=10,E3&gt;=10),AND(E3&gt;=10,F3&gt;=10),AND(D3&gt;=10,F3&gt;=10)),AND(D3&gt;=8,E3&gt;=8,F3&gt;=8)),"Vous avez réussi votre année, félicitations !!!","Vous n'avez pas validé votre année"))</f>
        <v>#VALUE!</v>
      </c>
      <c r="E7" s="21"/>
      <c r="F7" s="21"/>
      <c r="G7" s="21"/>
      <c r="H7" s="21"/>
      <c r="I7" s="21"/>
      <c r="J7" s="21"/>
      <c r="K7" s="21"/>
      <c r="L7" s="21"/>
      <c r="M7" s="21"/>
      <c r="N7" s="21"/>
    </row>
    <row r="8" spans="1:14" x14ac:dyDescent="0.3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</row>
    <row r="9" spans="1:14" x14ac:dyDescent="0.3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</row>
    <row r="10" spans="1:14" x14ac:dyDescent="0.3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</row>
    <row r="11" spans="1:14" x14ac:dyDescent="0.3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</row>
    <row r="12" spans="1:14" x14ac:dyDescent="0.3">
      <c r="A12" s="21"/>
      <c r="B12" s="21"/>
      <c r="C12" s="21" t="s">
        <v>53</v>
      </c>
      <c r="E12" s="21"/>
      <c r="F12" s="21"/>
      <c r="G12" s="21"/>
      <c r="H12" s="21"/>
      <c r="J12" s="21" t="s">
        <v>54</v>
      </c>
      <c r="K12" s="21"/>
      <c r="L12" s="21"/>
      <c r="M12" s="21"/>
      <c r="N12" s="21"/>
    </row>
    <row r="13" spans="1:14" x14ac:dyDescent="0.3">
      <c r="A13" s="21"/>
      <c r="B13" s="21"/>
      <c r="C13" s="21" t="e">
        <f>IF('Semestre 1'!B29="Moyenne bloquée","Moyenne bloquée",IF(AND(OR(AND('Semestre 1'!B25&gt;=10),AND('Semestre 1'!B26&gt;=10,'Semestre 1'!B27&gt;=10),AND('Semestre 1'!B25&gt;=10,'Semestre 1'!B27&gt;=10)),AND('Semestre 1'!B25&gt;=8,'Semestre 1'!B26&gt;=8,'Semestre 1'!B27&gt;=8)),"Semestre 1 réussi","Semestre 1 non réussi"))</f>
        <v>#DIV/0!</v>
      </c>
      <c r="E13" s="21"/>
      <c r="F13" s="21"/>
      <c r="G13" s="21"/>
      <c r="H13" s="21"/>
      <c r="J13" s="21" t="e">
        <f>IF('Semestre 2'!B38="Moyenne bloquée","Moyenne bloquée",IF(AND(OR(AND('Semestre 2'!B34&gt;=10,'Semestre 2'!B35),AND('Semestre 2'!B35&gt;=10,'Semestre 2'!B36&gt;=10),AND('Semestre 2'!B34&gt;=10,'Semestre 2'!B36&gt;=10)),AND('Semestre 2'!B34&gt;=8,'Semestre 2'!B35&gt;=8,'Semestre 2'!B36&gt;=8)),"Semestre 2 réussi","Semestre 2 non réussi"))</f>
        <v>#DIV/0!</v>
      </c>
      <c r="K13" s="21"/>
      <c r="L13" s="21"/>
      <c r="M13" s="21"/>
      <c r="N13" s="21"/>
    </row>
    <row r="14" spans="1:14" x14ac:dyDescent="0.3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</row>
    <row r="15" spans="1:14" x14ac:dyDescent="0.3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</row>
    <row r="16" spans="1:14" x14ac:dyDescent="0.3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</row>
    <row r="17" spans="1:14" x14ac:dyDescent="0.3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</row>
    <row r="18" spans="1:14" x14ac:dyDescent="0.3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</row>
    <row r="19" spans="1:14" x14ac:dyDescent="0.3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</row>
    <row r="20" spans="1:14" x14ac:dyDescent="0.3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</row>
    <row r="21" spans="1:14" x14ac:dyDescent="0.3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</row>
    <row r="22" spans="1:14" x14ac:dyDescent="0.3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</row>
    <row r="23" spans="1:14" x14ac:dyDescent="0.3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</row>
    <row r="24" spans="1:14" x14ac:dyDescent="0.3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</row>
    <row r="25" spans="1:14" x14ac:dyDescent="0.3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</row>
    <row r="26" spans="1:14" x14ac:dyDescent="0.3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</row>
    <row r="27" spans="1:14" x14ac:dyDescent="0.3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</row>
    <row r="28" spans="1:14" x14ac:dyDescent="0.3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</row>
    <row r="29" spans="1:14" x14ac:dyDescent="0.3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30" spans="1:14" x14ac:dyDescent="0.3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</row>
    <row r="31" spans="1:14" x14ac:dyDescent="0.3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</row>
    <row r="32" spans="1:14" x14ac:dyDescent="0.3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</row>
    <row r="33" spans="1:14" x14ac:dyDescent="0.3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</row>
    <row r="34" spans="1:14" x14ac:dyDescent="0.3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</row>
    <row r="35" spans="1:14" x14ac:dyDescent="0.3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</row>
    <row r="36" spans="1:14" x14ac:dyDescent="0.3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</row>
    <row r="37" spans="1:14" x14ac:dyDescent="0.3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</row>
    <row r="38" spans="1:14" x14ac:dyDescent="0.3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</row>
  </sheetData>
  <mergeCells count="1">
    <mergeCell ref="C2:C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2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Menu</vt:lpstr>
      <vt:lpstr>Semestre 1</vt:lpstr>
      <vt:lpstr>Semestre 2</vt:lpstr>
      <vt:lpstr>Coef - BUT1</vt:lpstr>
      <vt:lpstr>Résultat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Theo GARDERE</cp:lastModifiedBy>
  <cp:revision/>
  <dcterms:created xsi:type="dcterms:W3CDTF">2021-04-11T08:18:39Z</dcterms:created>
  <dcterms:modified xsi:type="dcterms:W3CDTF">2025-05-29T19:51:19Z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