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Flutter_Projects\cal_track_v1\assets\data\"/>
    </mc:Choice>
  </mc:AlternateContent>
  <xr:revisionPtr revIDLastSave="0" documentId="13_ncr:1_{A4CEAC5D-39C1-4349-8C23-41FE6E947191}" xr6:coauthVersionLast="47" xr6:coauthVersionMax="47" xr10:uidLastSave="{00000000-0000-0000-0000-000000000000}"/>
  <bookViews>
    <workbookView xWindow="11424" yWindow="0" windowWidth="11712" windowHeight="13056" firstSheet="1" activeTab="1" xr2:uid="{2B945B8E-FDF0-4ADD-9C55-1B75F05D938E}"/>
  </bookViews>
  <sheets>
    <sheet name="Calcul des besoins caloriques" sheetId="1" r:id="rId1"/>
    <sheet name="macros" sheetId="3" r:id="rId2"/>
    <sheet name="Niveau d'activité physiqu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B19" i="3"/>
  <c r="F9" i="3" s="1"/>
  <c r="F15" i="3"/>
  <c r="K14" i="3"/>
  <c r="P6" i="3"/>
  <c r="L14" i="3"/>
  <c r="F6" i="3"/>
  <c r="E6" i="1"/>
  <c r="H6" i="3" s="1"/>
  <c r="D10" i="1"/>
  <c r="C10" i="1"/>
  <c r="C9" i="1"/>
  <c r="E10" i="1"/>
  <c r="E9" i="1"/>
  <c r="D9" i="1"/>
  <c r="B9" i="1"/>
  <c r="B10" i="1"/>
  <c r="K5" i="3" l="1"/>
  <c r="Q10" i="3"/>
  <c r="F9" i="1"/>
  <c r="H9" i="1" s="1"/>
  <c r="C15" i="1" s="1"/>
  <c r="F10" i="1"/>
  <c r="H10" i="1" s="1"/>
  <c r="E18" i="1" l="1"/>
  <c r="E17" i="1"/>
  <c r="D18" i="1"/>
  <c r="L3" i="3" s="1"/>
  <c r="D17" i="1"/>
  <c r="C18" i="1"/>
  <c r="C17" i="1"/>
  <c r="E16" i="1"/>
  <c r="E15" i="1"/>
  <c r="C16" i="1"/>
  <c r="D15" i="1"/>
  <c r="B3" i="3" s="1"/>
  <c r="D16" i="1"/>
  <c r="C3" i="3" s="1"/>
  <c r="C5" i="3" s="1"/>
  <c r="C12" i="3" l="1"/>
  <c r="B12" i="3"/>
  <c r="Q11" i="3"/>
  <c r="P14" i="3" s="1"/>
  <c r="K7" i="3"/>
  <c r="G6" i="3"/>
  <c r="B5" i="3" s="1"/>
  <c r="F10" i="3"/>
  <c r="B4" i="3" s="1"/>
  <c r="F14" i="3"/>
  <c r="C4" i="3" s="1"/>
  <c r="B6" i="3" l="1"/>
  <c r="B8" i="3" s="1"/>
  <c r="B9" i="3" s="1"/>
  <c r="C6" i="3"/>
  <c r="G15" i="3"/>
</calcChain>
</file>

<file path=xl/sharedStrings.xml><?xml version="1.0" encoding="utf-8"?>
<sst xmlns="http://schemas.openxmlformats.org/spreadsheetml/2006/main" count="69" uniqueCount="59">
  <si>
    <t>Hommes</t>
  </si>
  <si>
    <t>Métabolisme basale</t>
  </si>
  <si>
    <t>Femmes</t>
  </si>
  <si>
    <t>Poids (en kg)</t>
  </si>
  <si>
    <t>Taille (en cm)</t>
  </si>
  <si>
    <t>Age (en années)</t>
  </si>
  <si>
    <t>Formule Mifflin-St Jeor</t>
  </si>
  <si>
    <t>MOYENNE</t>
  </si>
  <si>
    <t>HOMME</t>
  </si>
  <si>
    <t>FEMME</t>
  </si>
  <si>
    <t>Données personnelles</t>
  </si>
  <si>
    <t>Niveau d'activité physique</t>
  </si>
  <si>
    <t>Coefficient</t>
  </si>
  <si>
    <t>Formule de Harris-Benedict</t>
  </si>
  <si>
    <t>Sexe</t>
  </si>
  <si>
    <t>Estimation TDEE</t>
  </si>
  <si>
    <t>Coefficient d'activité physique</t>
  </si>
  <si>
    <t>Détails</t>
  </si>
  <si>
    <t>Sédentaire</t>
  </si>
  <si>
    <t>(travail de bureau ou une faible dépense sportive)</t>
  </si>
  <si>
    <t>Légèrement actif</t>
  </si>
  <si>
    <t>(1 à 3 entraînement par semaine)</t>
  </si>
  <si>
    <t>Modérément actif</t>
  </si>
  <si>
    <t>(4 à 6 entraînement par semaine)</t>
  </si>
  <si>
    <t>Très actif</t>
  </si>
  <si>
    <t>(Plus de 2 heures de sport intensif par jour)</t>
  </si>
  <si>
    <t>Extrêmement actif</t>
  </si>
  <si>
    <t>Min Lipides</t>
  </si>
  <si>
    <t>Max Lipides</t>
  </si>
  <si>
    <t>Besoins caloriques</t>
  </si>
  <si>
    <t>min lipides</t>
  </si>
  <si>
    <t>V1</t>
  </si>
  <si>
    <t>V2</t>
  </si>
  <si>
    <t>Protéines</t>
  </si>
  <si>
    <t>min prot</t>
  </si>
  <si>
    <t>max prot</t>
  </si>
  <si>
    <t>Homme</t>
  </si>
  <si>
    <t>max prot 1</t>
  </si>
  <si>
    <t>max prot 2</t>
  </si>
  <si>
    <t>min</t>
  </si>
  <si>
    <t>MAX</t>
  </si>
  <si>
    <t>Lipides</t>
  </si>
  <si>
    <t>Glucides</t>
  </si>
  <si>
    <t>Calorie min</t>
  </si>
  <si>
    <t>Calories plaisir</t>
  </si>
  <si>
    <t>Pratique sportive</t>
  </si>
  <si>
    <t>Sport d'endurance</t>
  </si>
  <si>
    <t>Sport de loisir</t>
  </si>
  <si>
    <t>min prot sport</t>
  </si>
  <si>
    <t>min prot %</t>
  </si>
  <si>
    <t>Sport</t>
  </si>
  <si>
    <t>Sport de force</t>
  </si>
  <si>
    <t>COEF PROT min</t>
  </si>
  <si>
    <t>Coef prot min</t>
  </si>
  <si>
    <t>Déficit</t>
  </si>
  <si>
    <t>Maintien</t>
  </si>
  <si>
    <t>PDM</t>
  </si>
  <si>
    <t>Estimations des besoins caloriques journaliers (kcal)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</si>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</sst>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5" borderId="15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91B4-ABD3-4837-B35F-DCA521B168D5}">
  <sheetPr codeName="Feuil1"/>
  <dimension ref="A1:N18"/>
  <sheetViews>
    <sheetView workbookViewId="0">
      <selection activeCell="E16" sqref="E16"/>
    </sheetView>
  </sheetViews>
  <sheetFormatPr baseColWidth="10" defaultRowHeight="14.4" x14ac:dyDescent="0.3"/>
  <cols>
    <col min="1" max="1" width="22.33203125" style="1" customWidth="1"/>
    <col min="2" max="2" width="26.33203125" style="1" customWidth="1"/>
    <col min="3" max="3" width="11" style="1" customWidth="1"/>
    <col min="4" max="4" width="10.6640625" style="1" customWidth="1"/>
    <col min="5" max="5" width="10.33203125" style="1" customWidth="1"/>
    <col min="6" max="6" width="12.44140625" style="1" customWidth="1"/>
    <col min="7" max="7" width="12.77734375" style="1" customWidth="1"/>
    <col min="8" max="8" width="16.77734375" style="1" customWidth="1"/>
    <col min="9" max="10" width="12.77734375" style="1" customWidth="1"/>
    <col min="11" max="11" width="16.33203125" style="1" customWidth="1"/>
    <col min="12" max="12" width="19.44140625" style="1" customWidth="1"/>
    <col min="13" max="16384" width="11.5546875" style="1"/>
  </cols>
  <sheetData>
    <row r="1" spans="1:14" ht="28.8" customHeight="1" thickBot="1" x14ac:dyDescent="0.35">
      <c r="A1" s="43" t="s">
        <v>10</v>
      </c>
      <c r="B1" s="44"/>
      <c r="G1" s="3"/>
      <c r="H1" s="3"/>
      <c r="M1" s="8"/>
      <c r="N1" s="8"/>
    </row>
    <row r="2" spans="1:14" ht="19.95" customHeight="1" x14ac:dyDescent="0.3">
      <c r="A2" s="20" t="s">
        <v>3</v>
      </c>
      <c r="B2" s="21">
        <v>70</v>
      </c>
      <c r="H2" s="1">
        <f>(9.6235*B2)+(4.674*B3)-(4.665*B4)+143.2965</f>
        <v>1532.3065000000001</v>
      </c>
      <c r="I2" s="1">
        <f>H2*E6</f>
        <v>2643.2287125000003</v>
      </c>
      <c r="M2" s="3"/>
      <c r="N2" s="8"/>
    </row>
    <row r="3" spans="1:14" ht="19.95" customHeight="1" x14ac:dyDescent="0.3">
      <c r="A3" s="12" t="s">
        <v>4</v>
      </c>
      <c r="B3" s="22">
        <v>180</v>
      </c>
      <c r="M3" s="3"/>
      <c r="N3" s="8"/>
    </row>
    <row r="4" spans="1:14" ht="19.95" customHeight="1" x14ac:dyDescent="0.3">
      <c r="A4" s="12" t="s">
        <v>5</v>
      </c>
      <c r="B4" s="22">
        <v>27</v>
      </c>
      <c r="M4" s="3"/>
      <c r="N4" s="8"/>
    </row>
    <row r="5" spans="1:14" ht="19.95" customHeight="1" thickBot="1" x14ac:dyDescent="0.35">
      <c r="A5" s="15" t="s">
        <v>14</v>
      </c>
      <c r="B5" s="16" t="s">
        <v>36</v>
      </c>
      <c r="M5" s="3"/>
      <c r="N5" s="8"/>
    </row>
    <row r="6" spans="1:14" ht="55.8" customHeight="1" thickBot="1" x14ac:dyDescent="0.35">
      <c r="A6" s="13" t="s">
        <v>11</v>
      </c>
      <c r="B6" s="14" t="s">
        <v>24</v>
      </c>
      <c r="D6" s="23" t="s">
        <v>16</v>
      </c>
      <c r="E6" s="24">
        <f>VLOOKUP('Calcul des besoins caloriques'!B6, 'Niveau d''activité physique'!A2:C6, 3, FALSE)</f>
        <v>1.7250000000000001</v>
      </c>
      <c r="M6" s="3"/>
      <c r="N6" s="8"/>
    </row>
    <row r="7" spans="1:14" ht="15" customHeight="1" thickBot="1" x14ac:dyDescent="0.35">
      <c r="B7" s="4"/>
      <c r="M7" s="3"/>
      <c r="N7" s="8"/>
    </row>
    <row r="8" spans="1:14" ht="34.200000000000003" customHeight="1" x14ac:dyDescent="0.3">
      <c r="A8" s="9" t="s">
        <v>1</v>
      </c>
      <c r="B8" s="9" t="s">
        <v>6</v>
      </c>
      <c r="C8" s="47" t="s">
        <v>13</v>
      </c>
      <c r="D8" s="47"/>
      <c r="E8" s="47"/>
      <c r="F8" s="40" t="s">
        <v>7</v>
      </c>
      <c r="H8" s="17" t="s">
        <v>15</v>
      </c>
    </row>
    <row r="9" spans="1:14" ht="15.6" x14ac:dyDescent="0.3">
      <c r="A9" s="39" t="s">
        <v>0</v>
      </c>
      <c r="B9" s="10">
        <f>(10*B2)+(6.25*B3)-(5*B4)+5</f>
        <v>1695</v>
      </c>
      <c r="C9" s="11">
        <f>(13.707*B2)+(492.3*B3/100)-(6.673*B4)+77.607</f>
        <v>1743.066</v>
      </c>
      <c r="D9" s="10">
        <f>(13.7516*B2)+(500.33*B3/100)-(6.755*B4)+66.479</f>
        <v>1747.3</v>
      </c>
      <c r="E9" s="10">
        <f>88.362+(13.397*B2)+(4.799*B3)-(5.677*B4)</f>
        <v>1736.6930000000002</v>
      </c>
      <c r="F9" s="41">
        <f>AVERAGE(B9:E9)</f>
        <v>1730.51475</v>
      </c>
      <c r="H9" s="18">
        <f>F9*E6</f>
        <v>2985.1379437500004</v>
      </c>
      <c r="I9" s="2"/>
      <c r="J9" s="2"/>
    </row>
    <row r="10" spans="1:14" ht="16.2" thickBot="1" x14ac:dyDescent="0.35">
      <c r="A10" s="39" t="s">
        <v>2</v>
      </c>
      <c r="B10" s="10">
        <f>(10*B2)+(6.25*B3)-(5*B4)-161</f>
        <v>1529</v>
      </c>
      <c r="C10" s="11">
        <f>(9.74*B2)+(1.729*B3)-(4.737*B4)+667.051</f>
        <v>1532.172</v>
      </c>
      <c r="D10" s="10">
        <f>(9.74*B2)+(1.8496*B3)-(4.6756*B4)+655.0955</f>
        <v>1543.5823</v>
      </c>
      <c r="E10" s="10">
        <f>447.593+(9.247*B2)+(3.098*B3)-(4.33*B4)</f>
        <v>1535.6130000000001</v>
      </c>
      <c r="F10" s="41">
        <f>AVERAGE(B10:E10)</f>
        <v>1535.0918250000002</v>
      </c>
      <c r="H10" s="19">
        <f>F10*E6</f>
        <v>2648.0333981250005</v>
      </c>
      <c r="I10" s="2"/>
      <c r="J10" s="2"/>
    </row>
    <row r="11" spans="1:14" ht="15.6" customHeight="1" thickBot="1" x14ac:dyDescent="0.35"/>
    <row r="12" spans="1:14" ht="33.6" customHeight="1" thickBot="1" x14ac:dyDescent="0.35">
      <c r="B12" s="48" t="s">
        <v>57</v>
      </c>
      <c r="C12" s="49"/>
      <c r="D12" s="49"/>
      <c r="E12" s="50"/>
    </row>
    <row r="13" spans="1:14" ht="14.4" customHeight="1" thickBot="1" x14ac:dyDescent="0.35"/>
    <row r="14" spans="1:14" ht="14.4" customHeight="1" thickBot="1" x14ac:dyDescent="0.35">
      <c r="C14" s="29" t="s">
        <v>54</v>
      </c>
      <c r="D14" s="30" t="s">
        <v>55</v>
      </c>
      <c r="E14" s="31" t="s">
        <v>56</v>
      </c>
    </row>
    <row r="15" spans="1:14" ht="24" customHeight="1" x14ac:dyDescent="0.3">
      <c r="B15" s="45" t="s">
        <v>8</v>
      </c>
      <c r="C15" s="32">
        <f>MROUND((H9*0.9)-100,100)</f>
        <v>2600</v>
      </c>
      <c r="D15" s="33">
        <f>MROUND(H9-100,100)</f>
        <v>2900</v>
      </c>
      <c r="E15" s="21">
        <f>MROUND((H9*1.1)-100,100)</f>
        <v>3200</v>
      </c>
    </row>
    <row r="16" spans="1:14" ht="24" customHeight="1" thickBot="1" x14ac:dyDescent="0.35">
      <c r="B16" s="46"/>
      <c r="C16" s="34">
        <f>MROUND((H9*0.9)+100,100)</f>
        <v>2800</v>
      </c>
      <c r="D16" s="35">
        <f>MROUND(H9+100,100)</f>
        <v>3100</v>
      </c>
      <c r="E16" s="14">
        <f>MROUND((H9*1.1)+100,100)</f>
        <v>3400</v>
      </c>
    </row>
    <row r="17" spans="2:5" ht="24" customHeight="1" x14ac:dyDescent="0.3">
      <c r="B17" s="45" t="s">
        <v>9</v>
      </c>
      <c r="C17" s="36">
        <f>MROUND((H10*0.9)-100,100)</f>
        <v>2300</v>
      </c>
      <c r="D17" s="37">
        <f>MROUND(H10-100,100)</f>
        <v>2500</v>
      </c>
      <c r="E17" s="38">
        <f>MROUND((H10*1.1)-100,100)</f>
        <v>2800</v>
      </c>
    </row>
    <row r="18" spans="2:5" ht="24" customHeight="1" thickBot="1" x14ac:dyDescent="0.35">
      <c r="B18" s="46"/>
      <c r="C18" s="34">
        <f>MROUND((H10*0.9)+100,100)</f>
        <v>2500</v>
      </c>
      <c r="D18" s="35">
        <f>MROUND(H10+100,100)</f>
        <v>2700</v>
      </c>
      <c r="E18" s="14">
        <f>MROUND((H10*1.1)+100,100)</f>
        <v>3000</v>
      </c>
    </row>
  </sheetData>
  <mergeCells count="5">
    <mergeCell ref="A1:B1"/>
    <mergeCell ref="B15:B16"/>
    <mergeCell ref="C8:E8"/>
    <mergeCell ref="B12:E12"/>
    <mergeCell ref="B17:B18"/>
  </mergeCells>
  <dataValidations disablePrompts="1" count="1">
    <dataValidation type="list" allowBlank="1" showInputMessage="1" showErrorMessage="1" sqref="B5" xr:uid="{8EDBD9CA-85E2-45A7-B7CB-45050EA18E5D}">
      <formula1>"Homme, Femme"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2D97361-6B28-474E-8C07-0317FD1807C8}">
          <x14:formula1>
            <xm:f>'Niveau d''activité physique'!$A$2:$A$6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09FD-B026-42E1-8D54-E11C8BA44FA3}">
  <sheetPr codeName="Feuil3"/>
  <dimension ref="A1:Q19"/>
  <sheetViews>
    <sheetView tabSelected="1" workbookViewId="0">
      <selection activeCell="B3" sqref="B3"/>
    </sheetView>
  </sheetViews>
  <sheetFormatPr baseColWidth="10" defaultRowHeight="14.4" x14ac:dyDescent="0.3"/>
  <cols>
    <col min="1" max="1" width="17.33203125" customWidth="1"/>
    <col min="2" max="2" width="16.77734375" customWidth="1"/>
    <col min="3" max="3" width="17" customWidth="1"/>
    <col min="5" max="5" width="18.44140625" customWidth="1"/>
    <col min="8" max="8" width="12.88671875" customWidth="1"/>
    <col min="10" max="10" width="14.44140625" customWidth="1"/>
  </cols>
  <sheetData>
    <row r="1" spans="1:17" x14ac:dyDescent="0.3">
      <c r="A1" t="s">
        <v>58</v>
      </c>
      <c r="B1" s="51" t="s">
        <v>54</v>
      </c>
      <c r="C1" s="51"/>
    </row>
    <row r="2" spans="1:17" x14ac:dyDescent="0.3">
      <c r="B2" t="s">
        <v>39</v>
      </c>
      <c r="C2" t="s">
        <v>40</v>
      </c>
    </row>
    <row r="3" spans="1:17" x14ac:dyDescent="0.3">
      <c r="A3" t="s">
        <v>29</v>
      </c>
      <c r="B3">
        <f>HLOOKUP(B1,'Calcul des besoins caloriques'!C14:E16,2,FALSE)</f>
        <v>2600</v>
      </c>
      <c r="C3">
        <f>HLOOKUP(B1,'Calcul des besoins caloriques'!C14:E16,3,FALSE)</f>
        <v>2800</v>
      </c>
      <c r="J3" t="s">
        <v>29</v>
      </c>
      <c r="K3">
        <v>1500</v>
      </c>
      <c r="L3">
        <f>'Calcul des besoins caloriques'!D18</f>
        <v>2700</v>
      </c>
    </row>
    <row r="4" spans="1:17" x14ac:dyDescent="0.3">
      <c r="A4" t="s">
        <v>33</v>
      </c>
      <c r="B4">
        <f>MROUND(MAX(F9:F10),5)</f>
        <v>110</v>
      </c>
      <c r="C4">
        <f>MROUND(MIN(F14:F15),5)</f>
        <v>135</v>
      </c>
    </row>
    <row r="5" spans="1:17" x14ac:dyDescent="0.3">
      <c r="A5" t="s">
        <v>41</v>
      </c>
      <c r="B5">
        <f>MAX(F6:G6)</f>
        <v>58</v>
      </c>
      <c r="C5">
        <f>ROUNDDOWN(C3*0.3/9,0)</f>
        <v>93</v>
      </c>
      <c r="F5" t="s">
        <v>31</v>
      </c>
      <c r="G5" t="s">
        <v>32</v>
      </c>
      <c r="J5" t="s">
        <v>27</v>
      </c>
      <c r="K5">
        <f>ROUND(MAX(K14:L14),0)</f>
        <v>45</v>
      </c>
    </row>
    <row r="6" spans="1:17" x14ac:dyDescent="0.3">
      <c r="A6" t="s">
        <v>42</v>
      </c>
      <c r="B6">
        <f>ROUND((B3-(4*C4)-(9*C5))/4,0)</f>
        <v>306</v>
      </c>
      <c r="C6">
        <f>ROUND((C3-(4*B4)-(9*B5))/4,0)</f>
        <v>460</v>
      </c>
      <c r="E6" t="s">
        <v>30</v>
      </c>
      <c r="F6">
        <f>MAX(('Calcul des besoins caloriques'!B3-150)*0.5+30,30)</f>
        <v>45</v>
      </c>
      <c r="G6">
        <f>ROUND(B3*0.2/9,0)</f>
        <v>58</v>
      </c>
      <c r="H6">
        <f>ROUND(('Calcul des besoins caloriques'!E6)*('Calcul des besoins caloriques'!B2),0)</f>
        <v>121</v>
      </c>
      <c r="O6" t="s">
        <v>33</v>
      </c>
      <c r="P6">
        <f>ROUND(('Calcul des besoins caloriques'!N6)*('Calcul des besoins caloriques'!D13),0)</f>
        <v>0</v>
      </c>
    </row>
    <row r="7" spans="1:17" x14ac:dyDescent="0.3">
      <c r="J7" t="s">
        <v>28</v>
      </c>
      <c r="K7">
        <f>ROUNDDOWN(L3*0.3/9,0)</f>
        <v>90</v>
      </c>
    </row>
    <row r="8" spans="1:17" x14ac:dyDescent="0.3">
      <c r="A8" t="s">
        <v>43</v>
      </c>
      <c r="B8">
        <f>B4*4+B5*9+B6*4</f>
        <v>2186</v>
      </c>
    </row>
    <row r="9" spans="1:17" x14ac:dyDescent="0.3">
      <c r="A9" t="s">
        <v>44</v>
      </c>
      <c r="B9">
        <f>B3-B8</f>
        <v>414</v>
      </c>
      <c r="E9" s="26" t="s">
        <v>48</v>
      </c>
      <c r="F9" s="8">
        <f>ROUND('Calcul des besoins caloriques'!B2*B19,0)</f>
        <v>112</v>
      </c>
    </row>
    <row r="10" spans="1:17" x14ac:dyDescent="0.3">
      <c r="E10" s="26" t="s">
        <v>49</v>
      </c>
      <c r="F10" s="8">
        <f>MROUND(B3*0.15/4,5)</f>
        <v>100</v>
      </c>
      <c r="P10" t="s">
        <v>34</v>
      </c>
      <c r="Q10">
        <f>MROUND(K3*0.15/4,5)</f>
        <v>55</v>
      </c>
    </row>
    <row r="11" spans="1:17" x14ac:dyDescent="0.3">
      <c r="E11" s="26"/>
      <c r="F11" s="8"/>
      <c r="P11" t="s">
        <v>35</v>
      </c>
      <c r="Q11">
        <f>MROUND(L3*0.2/4,5)</f>
        <v>135</v>
      </c>
    </row>
    <row r="12" spans="1:17" x14ac:dyDescent="0.3">
      <c r="B12">
        <f>B3*0.55/4</f>
        <v>357.50000000000006</v>
      </c>
      <c r="C12">
        <f>C3*0.55/4</f>
        <v>385.00000000000006</v>
      </c>
      <c r="F12" s="8"/>
    </row>
    <row r="13" spans="1:17" x14ac:dyDescent="0.3">
      <c r="F13" s="8"/>
      <c r="K13" t="s">
        <v>31</v>
      </c>
      <c r="L13" t="s">
        <v>32</v>
      </c>
    </row>
    <row r="14" spans="1:17" ht="18.600000000000001" customHeight="1" x14ac:dyDescent="0.3">
      <c r="E14" s="8" t="s">
        <v>37</v>
      </c>
      <c r="F14" s="8">
        <f>MROUND(C3*0.2/4,5)</f>
        <v>140</v>
      </c>
      <c r="J14" t="s">
        <v>30</v>
      </c>
      <c r="K14">
        <f>MAX(('Calcul des besoins caloriques'!B3-150)*0.5+30,30)</f>
        <v>45</v>
      </c>
      <c r="L14">
        <f>ROUND(K3*0.2/9,0)</f>
        <v>33</v>
      </c>
      <c r="P14">
        <f>ROUND(AVERAGE(Q10,Q11,P6),0)</f>
        <v>63</v>
      </c>
    </row>
    <row r="15" spans="1:17" ht="18" customHeight="1" x14ac:dyDescent="0.3">
      <c r="E15" s="8" t="s">
        <v>38</v>
      </c>
      <c r="F15" s="8">
        <f>ROUND('Calcul des besoins caloriques'!B2*1.9,0)</f>
        <v>133</v>
      </c>
      <c r="G15">
        <f>ROUND(AVERAGE(F10,F14,H6),0)</f>
        <v>120</v>
      </c>
    </row>
    <row r="16" spans="1:17" x14ac:dyDescent="0.3">
      <c r="F16" s="8"/>
    </row>
    <row r="18" spans="1:2" x14ac:dyDescent="0.3">
      <c r="A18" s="42" t="s">
        <v>45</v>
      </c>
      <c r="B18" s="27" t="s">
        <v>51</v>
      </c>
    </row>
    <row r="19" spans="1:2" x14ac:dyDescent="0.3">
      <c r="A19" s="42" t="s">
        <v>53</v>
      </c>
      <c r="B19" s="28">
        <f>VLOOKUP(B18,'Niveau d''activité physique'!F1:G4,2,FALSE)</f>
        <v>1.6</v>
      </c>
    </row>
  </sheetData>
  <mergeCells count="1">
    <mergeCell ref="B1:C1"/>
  </mergeCells>
  <phoneticPr fontId="6" type="noConversion"/>
  <dataValidations count="1">
    <dataValidation type="list" allowBlank="1" showInputMessage="1" showErrorMessage="1" sqref="B18" xr:uid="{23320B60-235F-46D3-9ABF-542F19744C73}">
      <formula1>"Sport de loisir, Sport d'endurance, Sport de force"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095D44-1061-47D4-8D66-EF6C575995E7}">
          <x14:formula1>
            <xm:f>'Calcul des besoins caloriques'!$C$14:$E$14</xm:f>
          </x14:formula1>
          <xm:sqref>B1:C1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2CA9-2C8F-4CB8-A0D6-080B7C45E81A}">
  <sheetPr codeName="Feuil2"/>
  <dimension ref="A1:G6"/>
  <sheetViews>
    <sheetView workbookViewId="0">
      <selection activeCell="B10" sqref="B10"/>
    </sheetView>
  </sheetViews>
  <sheetFormatPr baseColWidth="10" defaultRowHeight="14.4" x14ac:dyDescent="0.3"/>
  <cols>
    <col min="1" max="2" width="22.77734375" customWidth="1"/>
    <col min="3" max="3" width="14" customWidth="1"/>
    <col min="6" max="6" width="16.77734375" customWidth="1"/>
    <col min="7" max="7" width="16.33203125" customWidth="1"/>
  </cols>
  <sheetData>
    <row r="1" spans="1:7" ht="24.6" customHeight="1" x14ac:dyDescent="0.3">
      <c r="A1" s="5" t="s">
        <v>11</v>
      </c>
      <c r="B1" s="5" t="s">
        <v>17</v>
      </c>
      <c r="C1" s="5" t="s">
        <v>12</v>
      </c>
      <c r="F1" s="5" t="s">
        <v>50</v>
      </c>
      <c r="G1" s="5" t="s">
        <v>52</v>
      </c>
    </row>
    <row r="2" spans="1:7" ht="49.2" customHeight="1" x14ac:dyDescent="0.3">
      <c r="A2" s="25" t="s">
        <v>18</v>
      </c>
      <c r="B2" s="6" t="s">
        <v>19</v>
      </c>
      <c r="C2" s="7">
        <v>1.2</v>
      </c>
      <c r="F2" s="7" t="s">
        <v>47</v>
      </c>
      <c r="G2" s="7">
        <v>1</v>
      </c>
    </row>
    <row r="3" spans="1:7" ht="49.2" customHeight="1" x14ac:dyDescent="0.3">
      <c r="A3" s="25" t="s">
        <v>20</v>
      </c>
      <c r="B3" s="6" t="s">
        <v>21</v>
      </c>
      <c r="C3" s="7">
        <v>1.375</v>
      </c>
      <c r="F3" s="7" t="s">
        <v>46</v>
      </c>
      <c r="G3" s="7">
        <v>1.3</v>
      </c>
    </row>
    <row r="4" spans="1:7" ht="49.2" customHeight="1" x14ac:dyDescent="0.3">
      <c r="A4" s="25" t="s">
        <v>22</v>
      </c>
      <c r="B4" s="6" t="s">
        <v>23</v>
      </c>
      <c r="C4" s="7">
        <v>1.55</v>
      </c>
      <c r="F4" s="7" t="s">
        <v>51</v>
      </c>
      <c r="G4" s="7">
        <v>1.6</v>
      </c>
    </row>
    <row r="5" spans="1:7" ht="49.2" customHeight="1" x14ac:dyDescent="0.3">
      <c r="A5" s="25" t="s">
        <v>24</v>
      </c>
      <c r="B5" s="6" t="s">
        <v>23</v>
      </c>
      <c r="C5" s="7">
        <v>1.7250000000000001</v>
      </c>
    </row>
    <row r="6" spans="1:7" ht="49.2" customHeight="1" x14ac:dyDescent="0.3">
      <c r="A6" s="25" t="s">
        <v>26</v>
      </c>
      <c r="B6" s="6" t="s">
        <v>25</v>
      </c>
      <c r="C6" s="7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 des besoins caloriques</vt:lpstr>
      <vt:lpstr>macros</vt:lpstr>
      <vt:lpstr>Niveau d'activité physique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Martin</dc:creator>
  <cp:lastModifiedBy>Théo Martin</cp:lastModifiedBy>
  <dcterms:created xsi:type="dcterms:W3CDTF">2025-02-26T13:36:45Z</dcterms:created>
  <dcterms:modified xsi:type="dcterms:W3CDTF">2025-04-26T11:23:11Z</dcterms:modified>
</cp:coreProperties>
</file>