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es" sheetId="1" r:id="rId4"/>
    <sheet state="visible" name="Sales Forecast" sheetId="2" r:id="rId5"/>
    <sheet state="visible" name="FCF" sheetId="3" r:id="rId6"/>
    <sheet state="visible" name="V and Sens Analysis" sheetId="4" r:id="rId7"/>
    <sheet state="visible" name="Beta and Market Risk Premium" sheetId="5" r:id="rId8"/>
  </sheets>
  <definedNames>
    <definedName name="PV.Term.Value">'V and Sens Analysis'!$C$21</definedName>
    <definedName localSheetId="1" name="Term.Value">#REF!</definedName>
    <definedName localSheetId="0" name="PercentEquity">#REF!</definedName>
    <definedName localSheetId="1" name="PercentEquity">#REF!</definedName>
    <definedName localSheetId="1" name="PercentDebt">#REF!</definedName>
    <definedName localSheetId="0" name="Debt">#REF!</definedName>
    <definedName localSheetId="1" name="FV">#REF!</definedName>
    <definedName localSheetId="0" name="CostofDebt">#REF!</definedName>
    <definedName localSheetId="0" name="Sum.PV.FCF">#REF!</definedName>
    <definedName localSheetId="3" name="solver_opt">'V and Sens Analysis'!$D$37</definedName>
    <definedName localSheetId="0" name="Term.Value">#REF!</definedName>
    <definedName name="MarketRiskPremium">'V and Sens Analysis'!$C$7</definedName>
    <definedName localSheetId="0" name="MKT.CAP">#REF!</definedName>
    <definedName localSheetId="0" name="FV">#REF!</definedName>
    <definedName localSheetId="1" name="CAPM">#REF!</definedName>
    <definedName localSheetId="0" name="RiskFree">#REF!</definedName>
    <definedName localSheetId="1" name="Beta">#REF!</definedName>
    <definedName name="TaxRate">'V and Sens Analysis'!$C$4</definedName>
    <definedName localSheetId="0" name="TER.GROWTH.RATE">#REF!</definedName>
    <definedName name="TER.GROWTH.RATE">'V and Sens Analysis'!$C$19</definedName>
    <definedName localSheetId="1" name="Shares">#REF!</definedName>
    <definedName name="PercentDebt">'V and Sens Analysis'!$C$9</definedName>
    <definedName localSheetId="1" name="TaxRate">#REF!</definedName>
    <definedName localSheetId="0" name="PV.Term.Value">#REF!</definedName>
    <definedName name="PercentEquity">'V and Sens Analysis'!$C$8</definedName>
    <definedName localSheetId="1" name="MarketRiskPremium">#REF!</definedName>
    <definedName localSheetId="0" name="PercentDebt">#REF!</definedName>
    <definedName name="Shares">'V and Sens Analysis'!$C$27</definedName>
    <definedName localSheetId="1" name="_bdm.d4143d50b49f40f284cc47c9c2c7fe8c.edm">#REF!</definedName>
    <definedName name="Sum.PV.FCF">'V and Sens Analysis'!$C$22</definedName>
    <definedName localSheetId="1" name="TER.GROWTH.RATE">#REF!</definedName>
    <definedName name="Debt">'V and Sens Analysis'!$C$24</definedName>
    <definedName name="Term.Value">'V and Sens Analysis'!$C$20</definedName>
    <definedName name="WACC">'V and Sens Analysis'!$C$13</definedName>
    <definedName localSheetId="0" name="MarketRiskPremium">#REF!</definedName>
    <definedName localSheetId="0" name="Shares">#REF!</definedName>
    <definedName localSheetId="1" name="MKT.CAP">#REF!</definedName>
    <definedName name="CAPM">'V and Sens Analysis'!$C$12</definedName>
    <definedName name="RiskFree">'V and Sens Analysis'!$C$5</definedName>
    <definedName localSheetId="0" name="WACC">#REF!</definedName>
    <definedName localSheetId="0" name="Beta">#REF!</definedName>
    <definedName localSheetId="1" name="PV.Term.Value">#REF!</definedName>
    <definedName name="_bdm.d4143d50b49f40f284cc47c9c2c7fe8c.edm">#REF!</definedName>
    <definedName name="MKT.CAP">'V and Sens Analysis'!$C$26</definedName>
    <definedName localSheetId="1" name="WACC">#REF!</definedName>
    <definedName localSheetId="1" name="CostofDebt">#REF!</definedName>
    <definedName name="Beta">'V and Sens Analysis'!$C$6</definedName>
    <definedName name="FV">'V and Sens Analysis'!$C$23</definedName>
    <definedName localSheetId="1" name="Sum.PV.FCF">#REF!</definedName>
    <definedName localSheetId="0" name="CAPM">#REF!</definedName>
    <definedName localSheetId="1" name="RiskFree">#REF!</definedName>
    <definedName localSheetId="0" name="TaxRate">#REF!</definedName>
    <definedName name="CostofDebt">'V and Sens Analysis'!$C$11</definedName>
    <definedName localSheetId="1" name="Debt">#REF!</definedName>
  </definedNames>
  <calcPr/>
</workbook>
</file>

<file path=xl/sharedStrings.xml><?xml version="1.0" encoding="utf-8"?>
<sst xmlns="http://schemas.openxmlformats.org/spreadsheetml/2006/main" count="248" uniqueCount="172">
  <si>
    <t>Comparables Analysis (in Millions)</t>
  </si>
  <si>
    <t>Target Company</t>
  </si>
  <si>
    <t>Chevron</t>
  </si>
  <si>
    <t>Royal Dutch Shell</t>
  </si>
  <si>
    <t>BP</t>
  </si>
  <si>
    <t>Total SE</t>
  </si>
  <si>
    <t>ConocoPhillips</t>
  </si>
  <si>
    <t xml:space="preserve">Enterprise Value </t>
  </si>
  <si>
    <t>Max</t>
  </si>
  <si>
    <t>Min</t>
  </si>
  <si>
    <t>Median</t>
  </si>
  <si>
    <t>Weight Avg.</t>
  </si>
  <si>
    <t>ExxonMobil</t>
  </si>
  <si>
    <t>+</t>
  </si>
  <si>
    <t>Market Capitalization</t>
  </si>
  <si>
    <t>Short-Term Debt</t>
  </si>
  <si>
    <t>-</t>
  </si>
  <si>
    <t>Long-Term Debt</t>
  </si>
  <si>
    <t>=</t>
  </si>
  <si>
    <t xml:space="preserve">Cash and Cash Equivalent </t>
  </si>
  <si>
    <t>Characteristics</t>
  </si>
  <si>
    <t xml:space="preserve">Revenue </t>
  </si>
  <si>
    <t>Beta</t>
  </si>
  <si>
    <t>Cash/EV</t>
  </si>
  <si>
    <t>EBIT/Interest Expense</t>
  </si>
  <si>
    <t>Debt/EV</t>
  </si>
  <si>
    <t>(Total Revenue – Cost of Goods Sold)/Total Revenue</t>
  </si>
  <si>
    <t>Interest Coverage Ratio</t>
  </si>
  <si>
    <t>EBITDA / Revenue</t>
  </si>
  <si>
    <t>Gross Margin</t>
  </si>
  <si>
    <t>NI/Revenue</t>
  </si>
  <si>
    <t>EBITDA Margin</t>
  </si>
  <si>
    <t>Net Margin</t>
  </si>
  <si>
    <t>% Revenue Growth 2020E</t>
  </si>
  <si>
    <t>% EPS Growth 2020E</t>
  </si>
  <si>
    <t>Diluted Basic Shares</t>
  </si>
  <si>
    <t>Operating Results FY2019/2020</t>
  </si>
  <si>
    <t>Gross Profit</t>
  </si>
  <si>
    <t>EBITDA</t>
  </si>
  <si>
    <t xml:space="preserve">Net Income </t>
  </si>
  <si>
    <t>COGS</t>
  </si>
  <si>
    <t>EBIT</t>
  </si>
  <si>
    <t>Interest Expense</t>
  </si>
  <si>
    <t>Multiples</t>
  </si>
  <si>
    <t>EV/Revenue</t>
  </si>
  <si>
    <t>EV/EBITDA</t>
  </si>
  <si>
    <t>Market Cap/Net Income = P/E</t>
  </si>
  <si>
    <t xml:space="preserve">Multiple </t>
  </si>
  <si>
    <t>Implied Price</t>
  </si>
  <si>
    <t>Weight</t>
  </si>
  <si>
    <t>Market Cap/ Net Income</t>
  </si>
  <si>
    <t>Price Target</t>
  </si>
  <si>
    <t xml:space="preserve">Current Price </t>
  </si>
  <si>
    <t>($ in thousands)</t>
  </si>
  <si>
    <t>2015</t>
  </si>
  <si>
    <t>2016</t>
  </si>
  <si>
    <t>2017</t>
  </si>
  <si>
    <t>2018</t>
  </si>
  <si>
    <t>2020</t>
  </si>
  <si>
    <t>2021</t>
  </si>
  <si>
    <t>2022</t>
  </si>
  <si>
    <t>2023</t>
  </si>
  <si>
    <t>2024</t>
  </si>
  <si>
    <t>Revenue by Segment</t>
  </si>
  <si>
    <t>Upstream</t>
  </si>
  <si>
    <t>% Growth</t>
  </si>
  <si>
    <t>N/A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</si>
  <si>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</si>
  <si>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% of Total Revenue</t>
  </si>
  <si>
    <t>Downstream</t>
  </si>
  <si>
    <t>Chemical</t>
  </si>
  <si>
    <t>Corporate and Financing</t>
  </si>
  <si>
    <t>Income From Equity Affiliates</t>
  </si>
  <si>
    <t>Other Income</t>
  </si>
  <si>
    <t>Total Revenue</t>
  </si>
  <si>
    <t xml:space="preserve"> </t>
  </si>
  <si>
    <t>Discounted Cash Flow Analysis: 5 years</t>
  </si>
  <si>
    <t>Revenue</t>
  </si>
  <si>
    <t xml:space="preserve">Cost of Goods Sold </t>
  </si>
  <si>
    <t>% of Revenue</t>
  </si>
  <si>
    <t xml:space="preserve">Selling General and Administrative Expense </t>
  </si>
  <si>
    <t>Exploration Expenses, Including Dry Holes</t>
  </si>
  <si>
    <t>Non-Service Pension and Postretirement Benefit Expense</t>
  </si>
  <si>
    <t>Other Taxes and Duties</t>
  </si>
  <si>
    <t xml:space="preserve">Depreciation and Amortization </t>
  </si>
  <si>
    <t>% of PPE</t>
  </si>
  <si>
    <t>Earnings Before Interest &amp; Taxes</t>
  </si>
  <si>
    <t>% Revenue</t>
  </si>
  <si>
    <t>Earnings Before Interest and Tax</t>
  </si>
  <si>
    <t xml:space="preserve">Tax </t>
  </si>
  <si>
    <t>Depreciation and Amortization</t>
  </si>
  <si>
    <t>Increase in the Net Working Capital</t>
  </si>
  <si>
    <t>CAPEX</t>
  </si>
  <si>
    <t>Free Cash Flow</t>
  </si>
  <si>
    <t>Discounted Free Cash Flow</t>
  </si>
  <si>
    <t>Sum of Discounted Cash Flows for 5 years</t>
  </si>
  <si>
    <t>Auxilary table</t>
  </si>
  <si>
    <t>Earnings Before Taxes</t>
  </si>
  <si>
    <t>Total Current Asset</t>
  </si>
  <si>
    <t>Total Current Liabilities</t>
  </si>
  <si>
    <t>Net Working Capital</t>
  </si>
  <si>
    <t>Tax Rate</t>
  </si>
  <si>
    <t>PPE</t>
  </si>
  <si>
    <t>Net PPE</t>
  </si>
  <si>
    <t>DCF Assumptions</t>
  </si>
  <si>
    <t>Sensitivity Analysis</t>
  </si>
  <si>
    <t>Discounted Free Cash Flow Assumptions</t>
  </si>
  <si>
    <t>Value per Share</t>
  </si>
  <si>
    <t>Undervalued/(Overvalued)</t>
  </si>
  <si>
    <t>Terminal Growth Rate</t>
  </si>
  <si>
    <t>Risk Free Rate</t>
  </si>
  <si>
    <t xml:space="preserve">Market Risk Premium </t>
  </si>
  <si>
    <t>% Equity</t>
  </si>
  <si>
    <t>% Debt</t>
  </si>
  <si>
    <t>Credit Spread</t>
  </si>
  <si>
    <t>Cost of Debt</t>
  </si>
  <si>
    <t>CAPM</t>
  </si>
  <si>
    <t>WACC</t>
  </si>
  <si>
    <t>Estimated Value per Share</t>
  </si>
  <si>
    <t>Terminal Value as of year 5</t>
  </si>
  <si>
    <t>PV of Terminal Value</t>
  </si>
  <si>
    <t>Sum of PV Free Cash Flows for 5 years</t>
  </si>
  <si>
    <t>Estimated Enterprise Value</t>
  </si>
  <si>
    <t>Total Debt</t>
  </si>
  <si>
    <t>Cash</t>
  </si>
  <si>
    <t>Estimated Equity Value</t>
  </si>
  <si>
    <t>Fully Diluted Shares</t>
  </si>
  <si>
    <t>Implied Equity Value Per Share</t>
  </si>
  <si>
    <t>Current Price</t>
  </si>
  <si>
    <t>Final Valuation</t>
  </si>
  <si>
    <t>Value</t>
  </si>
  <si>
    <t>DCF Valuation</t>
  </si>
  <si>
    <t>Relative Valuation</t>
  </si>
  <si>
    <t>Date</t>
  </si>
  <si>
    <t>Adj Close</t>
  </si>
  <si>
    <t>Dividends</t>
  </si>
  <si>
    <t>Adj Close+Dividends</t>
  </si>
  <si>
    <t>Return</t>
  </si>
  <si>
    <t>MK ( Kenneth French)</t>
  </si>
  <si>
    <t>RF (10-year Treasury Yield)</t>
  </si>
  <si>
    <t>MK-RF (10-year Treasury Yield)</t>
  </si>
  <si>
    <t>RE-RF  (10-year Treasury Yield)</t>
  </si>
  <si>
    <t>11/10.2017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</si>
  <si>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</si>
  <si>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</si>
  <si>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</si>
  <si>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</si>
  <si>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</si>
  <si>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</si>
  <si>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</si>
  <si>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</si>
  <si>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</si>
  <si>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</si>
  <si>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</si>
  <si>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</si>
  <si>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</si>
  <si>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</si>
  <si>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</si>
  <si>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</si>
  <si>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</si>
  <si>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</si>
  <si>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</si>
  <si>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</si>
  <si>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</si>
  <si>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</si>
  <si>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</si>
  <si>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</si>
  <si>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MK-RF</t>
  </si>
  <si>
    <t>Mkt-RF</t>
  </si>
  <si>
    <t>1+Mkt-RF</t>
  </si>
  <si>
    <t>Geometic Mean</t>
  </si>
  <si>
    <t>Market Risk Premium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</si>
</sst>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1">
    <numFmt numFmtId="164" formatCode="#,##0;\(#,##0\);0"/>
    <numFmt numFmtId="165" formatCode="&quot;$&quot;#,##0;\(&quot;$&quot;#,##0\)"/>
    <numFmt numFmtId="166" formatCode="#,##0.00;\(#,##0.00\);0.00"/>
    <numFmt numFmtId="167" formatCode="#,##0.00;[Red]\(#,##0.00\)"/>
    <numFmt numFmtId="168" formatCode="0.0%"/>
    <numFmt numFmtId="169" formatCode="&quot;$&quot;#,##0.00_);\(&quot;$&quot;#,##0.00\)"/>
    <numFmt numFmtId="170" formatCode="0.00\x;\(0.00\x\)"/>
    <numFmt numFmtId="171" formatCode="&quot;$&quot;#,##0.00"/>
    <numFmt numFmtId="172" formatCode="##.00%;\(##.00%\);0.00%"/>
    <numFmt numFmtId="173" formatCode="_(* #,##0_);_(* \(#,##0\);_(* &quot;-&quot;??_);_(@_)"/>
    <numFmt numFmtId="174" formatCode="_(&quot;$&quot;* #,##0.00_);_(&quot;$&quot;* \(#,##0.00\);_(&quot;$&quot;* &quot;-&quot;??_);_(@_)"/>
    <numFmt numFmtId="175" formatCode="_(&quot;$&quot;* #,##0.0_);_(&quot;$&quot;* \(#,##0.0\);_(&quot;$&quot;* &quot;-&quot;??_);_(@_)"/>
    <numFmt numFmtId="176" formatCode="##.0%;\(##.0%\);0.0%"/>
    <numFmt numFmtId="177" formatCode="##.000%;\(##.000%\);0.000%"/>
    <numFmt numFmtId="178" formatCode="0.0%;\(0.0%\);0"/>
    <numFmt numFmtId="179" formatCode="0.00%;[Red]\(0.00%\)"/>
    <numFmt numFmtId="180" formatCode="_(&quot;$&quot;* #,##0.0000_);_(&quot;$&quot;* \(#,##0.0000\);_(&quot;$&quot;* &quot;-&quot;??_);_(@_)"/>
    <numFmt numFmtId="181" formatCode="&quot;$&quot;#,##0"/>
    <numFmt numFmtId="182" formatCode="&quot;$&quot;#,##0;\(&quot;$&quot;#,##0\);&quot;$&quot;0"/>
    <numFmt numFmtId="183" formatCode="#,##0;[Red]\(#,##0\)"/>
    <numFmt numFmtId="184" formatCode="0.00%;\(0.00%\)"/>
    <numFmt numFmtId="185" formatCode=";;;"/>
    <numFmt numFmtId="186" formatCode="#,##0.0_);\(#,##0.0\);#,##0.0_);@_)"/>
    <numFmt numFmtId="187" formatCode="0.00\x_);\(0.00\x\);0.00\x_);@_)"/>
    <numFmt numFmtId="188" formatCode="0.00%_);\(0.00%\);0.00%_);@_)"/>
    <numFmt numFmtId="189" formatCode="yyyy/m/d"/>
    <numFmt numFmtId="190" formatCode="0.00000"/>
    <numFmt numFmtId="191" formatCode="0.000%"/>
    <numFmt numFmtId="192" formatCode="0.0000%"/>
    <numFmt numFmtId="193" formatCode="0.00000000000000000%"/>
    <numFmt numFmtId="194" formatCode="#,##0.0000;\(#,##0.0000\);0.0000"/>
  </numFmts>
  <fonts count="22">
    <font>
      <sz val="11.0"/>
      <color rgb="FF000000"/>
      <name val="Calibri"/>
      <scheme val="minor"/>
    </font>
    <font>
      <sz val="11.0"/>
      <color rgb="FF000000"/>
      <name val="Calibri"/>
    </font>
    <font>
      <b/>
      <sz val="10.0"/>
      <color rgb="FFFFFFFF"/>
      <name val="Times New Roman"/>
    </font>
    <font>
      <sz val="10.0"/>
      <color rgb="FFFFFFFF"/>
      <name val="Times New Roman"/>
    </font>
    <font>
      <i/>
      <sz val="10.0"/>
      <color rgb="FFFFFFFF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>
      <sz val="11.0"/>
      <color theme="1"/>
      <name val="Calibri"/>
    </font>
    <font>
      <sz val="10.0"/>
      <color rgb="FF0000FF"/>
      <name val="Times New Roman"/>
    </font>
    <font>
      <sz val="10.0"/>
      <color rgb="FFFF0000"/>
      <name val="Times New Roman"/>
    </font>
    <font>
      <i/>
      <sz val="10.0"/>
      <color theme="1"/>
      <name val="Times New Roman"/>
    </font>
    <font>
      <u/>
      <sz val="11.0"/>
      <color rgb="FF000000"/>
      <name val="Calibri"/>
    </font>
    <font>
      <sz val="10.0"/>
      <color rgb="FF000000"/>
      <name val="Times New Roman"/>
    </font>
    <font>
      <b/>
      <sz val="12.0"/>
      <color rgb="FF000000"/>
      <name val="Times New Roman"/>
    </font>
    <font>
      <b/>
      <sz val="10.0"/>
      <color rgb="FF000000"/>
      <name val="Times New Roman"/>
    </font>
    <font>
      <i/>
      <sz val="11.0"/>
      <color rgb="FF000000"/>
      <name val="Calibri"/>
    </font>
    <font>
      <b/>
      <sz val="10.0"/>
      <color theme="0"/>
      <name val="Times New Roman"/>
    </font>
    <font>
      <sz val="10.0"/>
      <color theme="0"/>
      <name val="Times New Roman"/>
    </font>
    <font/>
    <font>
      <u/>
      <sz val="10.0"/>
      <color theme="1"/>
      <name val="Times New Roman"/>
    </font>
    <font>
      <sz val="11.0"/>
      <color rgb="FF000000"/>
      <name val="Times New Roman"/>
    </font>
    <font>
      <i/>
      <sz val="11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004F27"/>
        <bgColor rgb="FF004F27"/>
      </patternFill>
    </fill>
    <fill>
      <patternFill patternType="solid">
        <fgColor theme="0"/>
        <bgColor theme="0"/>
      </patternFill>
    </fill>
    <fill>
      <patternFill patternType="solid">
        <fgColor rgb="FFDEDEDF"/>
        <bgColor rgb="FFDEDEDF"/>
      </patternFill>
    </fill>
    <fill>
      <patternFill patternType="solid">
        <fgColor rgb="FFE2EFD9"/>
        <bgColor rgb="FFE2EFD9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1E2E3"/>
        <bgColor rgb="FFE1E2E3"/>
      </patternFill>
    </fill>
    <fill>
      <patternFill patternType="solid">
        <fgColor rgb="FF385623"/>
        <bgColor rgb="FF385623"/>
      </patternFill>
    </fill>
    <fill>
      <patternFill patternType="solid">
        <fgColor rgb="FF8ED29B"/>
        <bgColor rgb="FF8ED29B"/>
      </patternFill>
    </fill>
    <fill>
      <patternFill patternType="solid">
        <fgColor rgb="FFD9EAD3"/>
        <bgColor rgb="FFD9EAD3"/>
      </patternFill>
    </fill>
  </fills>
  <borders count="61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right style="thin">
        <color rgb="FF000000"/>
      </right>
    </border>
    <border>
      <left style="dotted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dotted">
        <color rgb="FF000000"/>
      </right>
      <top/>
      <bottom/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thin">
        <color rgb="FF000000"/>
      </left>
    </border>
    <border>
      <left style="dotted">
        <color rgb="FF000000"/>
      </left>
      <right style="dotted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2" numFmtId="0" xfId="0" applyBorder="1" applyFont="1"/>
    <xf borderId="2" fillId="2" fontId="3" numFmtId="0" xfId="0" applyBorder="1" applyFont="1"/>
    <xf borderId="3" fillId="2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5" fillId="2" fontId="4" numFmtId="0" xfId="0" applyBorder="1" applyFont="1"/>
    <xf borderId="6" fillId="2" fontId="3" numFmtId="0" xfId="0" applyBorder="1" applyFont="1"/>
    <xf borderId="7" fillId="2" fontId="3" numFmtId="0" xfId="0" applyAlignment="1" applyBorder="1" applyFont="1">
      <alignment horizontal="center" shrinkToFit="0" wrapText="1"/>
    </xf>
    <xf borderId="6" fillId="2" fontId="3" numFmtId="0" xfId="0" applyAlignment="1" applyBorder="1" applyFont="1">
      <alignment horizontal="center" shrinkToFit="0" wrapText="1"/>
    </xf>
    <xf borderId="8" fillId="2" fontId="3" numFmtId="0" xfId="0" applyAlignment="1" applyBorder="1" applyFont="1">
      <alignment horizontal="center" shrinkToFit="0" wrapText="1"/>
    </xf>
    <xf borderId="9" fillId="3" fontId="5" numFmtId="0" xfId="0" applyBorder="1" applyFill="1" applyFont="1"/>
    <xf borderId="10" fillId="3" fontId="6" numFmtId="0" xfId="0" applyBorder="1" applyFont="1"/>
    <xf borderId="10" fillId="3" fontId="6" numFmtId="0" xfId="0" applyAlignment="1" applyBorder="1" applyFont="1">
      <alignment horizontal="center"/>
    </xf>
    <xf borderId="11" fillId="3" fontId="5" numFmtId="0" xfId="0" applyBorder="1" applyFont="1"/>
    <xf borderId="10" fillId="4" fontId="6" numFmtId="10" xfId="0" applyAlignment="1" applyBorder="1" applyFill="1" applyFont="1" applyNumberFormat="1">
      <alignment horizontal="center"/>
    </xf>
    <xf borderId="12" fillId="4" fontId="6" numFmtId="10" xfId="0" applyAlignment="1" applyBorder="1" applyFont="1" applyNumberFormat="1">
      <alignment horizontal="center"/>
    </xf>
    <xf borderId="0" fillId="0" fontId="1" numFmtId="10" xfId="0" applyFont="1" applyNumberFormat="1"/>
    <xf borderId="0" fillId="0" fontId="1" numFmtId="0" xfId="0" applyAlignment="1" applyFont="1">
      <alignment horizontal="right"/>
    </xf>
    <xf borderId="13" fillId="3" fontId="6" numFmtId="0" xfId="0" applyBorder="1" applyFont="1"/>
    <xf borderId="14" fillId="3" fontId="6" numFmtId="0" xfId="0" applyBorder="1" applyFont="1"/>
    <xf borderId="14" fillId="5" fontId="6" numFmtId="164" xfId="0" applyAlignment="1" applyBorder="1" applyFill="1" applyFont="1" applyNumberFormat="1">
      <alignment horizontal="right"/>
    </xf>
    <xf borderId="15" fillId="3" fontId="6" numFmtId="164" xfId="0" applyAlignment="1" applyBorder="1" applyFont="1" applyNumberFormat="1">
      <alignment horizontal="right"/>
    </xf>
    <xf borderId="14" fillId="3" fontId="6" numFmtId="164" xfId="0" applyAlignment="1" applyBorder="1" applyFont="1" applyNumberFormat="1">
      <alignment horizontal="right"/>
    </xf>
    <xf borderId="16" fillId="3" fontId="6" numFmtId="164" xfId="0" applyAlignment="1" applyBorder="1" applyFont="1" applyNumberFormat="1">
      <alignment horizontal="right"/>
    </xf>
    <xf borderId="10" fillId="5" fontId="6" numFmtId="164" xfId="0" applyAlignment="1" applyBorder="1" applyFont="1" applyNumberFormat="1">
      <alignment horizontal="right"/>
    </xf>
    <xf borderId="11" fillId="3" fontId="6" numFmtId="164" xfId="0" applyAlignment="1" applyBorder="1" applyFont="1" applyNumberFormat="1">
      <alignment horizontal="right"/>
    </xf>
    <xf borderId="10" fillId="3" fontId="6" numFmtId="164" xfId="0" applyAlignment="1" applyBorder="1" applyFont="1" applyNumberFormat="1">
      <alignment horizontal="right"/>
    </xf>
    <xf borderId="12" fillId="3" fontId="6" numFmtId="164" xfId="0" applyAlignment="1" applyBorder="1" applyFont="1" applyNumberFormat="1">
      <alignment horizontal="right"/>
    </xf>
    <xf borderId="9" fillId="3" fontId="6" numFmtId="0" xfId="0" applyBorder="1" applyFont="1"/>
    <xf borderId="17" fillId="3" fontId="6" numFmtId="0" xfId="0" applyBorder="1" applyFont="1"/>
    <xf borderId="17" fillId="5" fontId="6" numFmtId="164" xfId="0" applyAlignment="1" applyBorder="1" applyFont="1" applyNumberFormat="1">
      <alignment horizontal="right"/>
    </xf>
    <xf borderId="18" fillId="3" fontId="6" numFmtId="164" xfId="0" applyAlignment="1" applyBorder="1" applyFont="1" applyNumberFormat="1">
      <alignment horizontal="right"/>
    </xf>
    <xf borderId="17" fillId="3" fontId="6" numFmtId="164" xfId="0" applyAlignment="1" applyBorder="1" applyFont="1" applyNumberFormat="1">
      <alignment horizontal="right"/>
    </xf>
    <xf borderId="19" fillId="3" fontId="6" numFmtId="164" xfId="0" applyAlignment="1" applyBorder="1" applyFont="1" applyNumberFormat="1">
      <alignment horizontal="right"/>
    </xf>
    <xf borderId="13" fillId="5" fontId="6" numFmtId="0" xfId="0" applyBorder="1" applyFont="1"/>
    <xf borderId="10" fillId="5" fontId="6" numFmtId="0" xfId="0" applyBorder="1" applyFont="1"/>
    <xf borderId="11" fillId="5" fontId="6" numFmtId="164" xfId="0" applyAlignment="1" applyBorder="1" applyFont="1" applyNumberFormat="1">
      <alignment horizontal="right"/>
    </xf>
    <xf borderId="12" fillId="5" fontId="6" numFmtId="164" xfId="0" applyAlignment="1" applyBorder="1" applyFont="1" applyNumberFormat="1">
      <alignment horizontal="right"/>
    </xf>
    <xf borderId="20" fillId="0" fontId="5" numFmtId="0" xfId="0" applyBorder="1" applyFont="1"/>
    <xf borderId="10" fillId="5" fontId="6" numFmtId="165" xfId="0" applyAlignment="1" applyBorder="1" applyFont="1" applyNumberFormat="1">
      <alignment horizontal="right"/>
    </xf>
    <xf borderId="11" fillId="3" fontId="6" numFmtId="165" xfId="0" applyAlignment="1" applyBorder="1" applyFont="1" applyNumberFormat="1">
      <alignment horizontal="right"/>
    </xf>
    <xf borderId="10" fillId="3" fontId="6" numFmtId="165" xfId="0" applyAlignment="1" applyBorder="1" applyFont="1" applyNumberFormat="1">
      <alignment horizontal="right"/>
    </xf>
    <xf borderId="12" fillId="3" fontId="6" numFmtId="165" xfId="0" applyAlignment="1" applyBorder="1" applyFont="1" applyNumberFormat="1">
      <alignment horizontal="right"/>
    </xf>
    <xf borderId="0" fillId="0" fontId="7" numFmtId="0" xfId="0" applyFont="1"/>
    <xf borderId="10" fillId="5" fontId="6" numFmtId="166" xfId="0" applyAlignment="1" applyBorder="1" applyFont="1" applyNumberFormat="1">
      <alignment horizontal="right"/>
    </xf>
    <xf borderId="11" fillId="3" fontId="6" numFmtId="166" xfId="0" applyAlignment="1" applyBorder="1" applyFont="1" applyNumberFormat="1">
      <alignment horizontal="right"/>
    </xf>
    <xf borderId="10" fillId="3" fontId="6" numFmtId="166" xfId="0" applyAlignment="1" applyBorder="1" applyFont="1" applyNumberFormat="1">
      <alignment horizontal="right"/>
    </xf>
    <xf borderId="12" fillId="3" fontId="6" numFmtId="166" xfId="0" applyAlignment="1" applyBorder="1" applyFont="1" applyNumberFormat="1">
      <alignment horizontal="right"/>
    </xf>
    <xf borderId="10" fillId="5" fontId="6" numFmtId="167" xfId="0" applyAlignment="1" applyBorder="1" applyFont="1" applyNumberFormat="1">
      <alignment horizontal="right"/>
    </xf>
    <xf borderId="21" fillId="5" fontId="6" numFmtId="166" xfId="0" applyAlignment="1" applyBorder="1" applyFont="1" applyNumberFormat="1">
      <alignment horizontal="right"/>
    </xf>
    <xf borderId="12" fillId="5" fontId="6" numFmtId="166" xfId="0" applyAlignment="1" applyBorder="1" applyFont="1" applyNumberFormat="1">
      <alignment horizontal="right"/>
    </xf>
    <xf borderId="21" fillId="5" fontId="6" numFmtId="167" xfId="0" applyAlignment="1" applyBorder="1" applyFont="1" applyNumberFormat="1">
      <alignment horizontal="right"/>
    </xf>
    <xf borderId="11" fillId="5" fontId="6" numFmtId="167" xfId="0" applyAlignment="1" applyBorder="1" applyFont="1" applyNumberFormat="1">
      <alignment horizontal="right"/>
    </xf>
    <xf borderId="10" fillId="5" fontId="6" numFmtId="168" xfId="0" applyAlignment="1" applyBorder="1" applyFont="1" applyNumberFormat="1">
      <alignment horizontal="right"/>
    </xf>
    <xf borderId="21" fillId="5" fontId="6" numFmtId="168" xfId="0" applyAlignment="1" applyBorder="1" applyFont="1" applyNumberFormat="1">
      <alignment horizontal="right"/>
    </xf>
    <xf borderId="12" fillId="5" fontId="6" numFmtId="168" xfId="0" applyAlignment="1" applyBorder="1" applyFont="1" applyNumberFormat="1">
      <alignment horizontal="right"/>
    </xf>
    <xf borderId="11" fillId="5" fontId="6" numFmtId="168" xfId="0" applyAlignment="1" applyBorder="1" applyFont="1" applyNumberFormat="1">
      <alignment horizontal="right"/>
    </xf>
    <xf borderId="11" fillId="3" fontId="6" numFmtId="168" xfId="0" applyAlignment="1" applyBorder="1" applyFont="1" applyNumberFormat="1">
      <alignment horizontal="right"/>
    </xf>
    <xf borderId="10" fillId="3" fontId="6" numFmtId="168" xfId="0" applyAlignment="1" applyBorder="1" applyFont="1" applyNumberFormat="1">
      <alignment horizontal="right"/>
    </xf>
    <xf borderId="12" fillId="3" fontId="6" numFmtId="168" xfId="0" applyAlignment="1" applyBorder="1" applyFont="1" applyNumberFormat="1">
      <alignment horizontal="right"/>
    </xf>
    <xf borderId="10" fillId="3" fontId="6" numFmtId="0" xfId="0" applyAlignment="1" applyBorder="1" applyFont="1">
      <alignment horizontal="right"/>
    </xf>
    <xf borderId="11" fillId="3" fontId="6" numFmtId="0" xfId="0" applyAlignment="1" applyBorder="1" applyFont="1">
      <alignment horizontal="right"/>
    </xf>
    <xf borderId="12" fillId="3" fontId="6" numFmtId="0" xfId="0" applyAlignment="1" applyBorder="1" applyFont="1">
      <alignment horizontal="right"/>
    </xf>
    <xf borderId="0" fillId="0" fontId="7" numFmtId="169" xfId="0" applyFont="1" applyNumberFormat="1"/>
    <xf borderId="22" fillId="0" fontId="5" numFmtId="0" xfId="0" applyBorder="1" applyFont="1"/>
    <xf borderId="10" fillId="3" fontId="3" numFmtId="0" xfId="0" applyBorder="1" applyFont="1"/>
    <xf borderId="23" fillId="0" fontId="3" numFmtId="0" xfId="0" applyBorder="1" applyFont="1"/>
    <xf borderId="0" fillId="0" fontId="3" numFmtId="0" xfId="0" applyFont="1"/>
    <xf borderId="24" fillId="0" fontId="3" numFmtId="0" xfId="0" applyBorder="1" applyFont="1"/>
    <xf borderId="1" fillId="2" fontId="3" numFmtId="0" xfId="0" applyBorder="1" applyFont="1"/>
    <xf borderId="2" fillId="2" fontId="3" numFmtId="170" xfId="0" applyAlignment="1" applyBorder="1" applyFont="1" applyNumberFormat="1">
      <alignment horizontal="right"/>
    </xf>
    <xf borderId="3" fillId="2" fontId="3" numFmtId="170" xfId="0" applyAlignment="1" applyBorder="1" applyFont="1" applyNumberFormat="1">
      <alignment horizontal="right"/>
    </xf>
    <xf borderId="4" fillId="2" fontId="3" numFmtId="170" xfId="0" applyAlignment="1" applyBorder="1" applyFont="1" applyNumberFormat="1">
      <alignment horizontal="right"/>
    </xf>
    <xf borderId="13" fillId="2" fontId="3" numFmtId="0" xfId="0" applyBorder="1" applyFont="1"/>
    <xf borderId="10" fillId="2" fontId="3" numFmtId="0" xfId="0" applyBorder="1" applyFont="1"/>
    <xf borderId="10" fillId="2" fontId="3" numFmtId="170" xfId="0" applyAlignment="1" applyBorder="1" applyFont="1" applyNumberFormat="1">
      <alignment horizontal="right"/>
    </xf>
    <xf borderId="21" fillId="2" fontId="3" numFmtId="170" xfId="0" applyAlignment="1" applyBorder="1" applyFont="1" applyNumberFormat="1">
      <alignment horizontal="right"/>
    </xf>
    <xf borderId="11" fillId="2" fontId="3" numFmtId="170" xfId="0" applyAlignment="1" applyBorder="1" applyFont="1" applyNumberFormat="1">
      <alignment horizontal="right"/>
    </xf>
    <xf borderId="12" fillId="2" fontId="3" numFmtId="170" xfId="0" applyAlignment="1" applyBorder="1" applyFont="1" applyNumberFormat="1">
      <alignment horizontal="right"/>
    </xf>
    <xf borderId="5" fillId="2" fontId="3" numFmtId="0" xfId="0" applyBorder="1" applyFont="1"/>
    <xf borderId="6" fillId="2" fontId="3" numFmtId="170" xfId="0" applyAlignment="1" applyBorder="1" applyFont="1" applyNumberFormat="1">
      <alignment horizontal="right"/>
    </xf>
    <xf borderId="25" fillId="2" fontId="3" numFmtId="170" xfId="0" applyAlignment="1" applyBorder="1" applyFont="1" applyNumberFormat="1">
      <alignment horizontal="right"/>
    </xf>
    <xf borderId="7" fillId="2" fontId="3" numFmtId="170" xfId="0" applyAlignment="1" applyBorder="1" applyFont="1" applyNumberFormat="1">
      <alignment horizontal="right"/>
    </xf>
    <xf borderId="8" fillId="2" fontId="3" numFmtId="170" xfId="0" applyAlignment="1" applyBorder="1" applyFont="1" applyNumberFormat="1">
      <alignment horizontal="right"/>
    </xf>
    <xf borderId="0" fillId="0" fontId="6" numFmtId="0" xfId="0" applyFont="1"/>
    <xf borderId="0" fillId="0" fontId="8" numFmtId="0" xfId="0" applyAlignment="1" applyFont="1">
      <alignment horizontal="left"/>
    </xf>
    <xf borderId="26" fillId="2" fontId="3" numFmtId="0" xfId="0" applyBorder="1" applyFont="1"/>
    <xf borderId="27" fillId="2" fontId="3" numFmtId="0" xfId="0" applyBorder="1" applyFont="1"/>
    <xf borderId="28" fillId="2" fontId="3" numFmtId="0" xfId="0" applyAlignment="1" applyBorder="1" applyFont="1">
      <alignment horizontal="center"/>
    </xf>
    <xf borderId="1" fillId="3" fontId="6" numFmtId="0" xfId="0" applyBorder="1" applyFont="1"/>
    <xf borderId="2" fillId="3" fontId="6" numFmtId="0" xfId="0" applyBorder="1" applyFont="1"/>
    <xf borderId="2" fillId="3" fontId="6" numFmtId="171" xfId="0" applyAlignment="1" applyBorder="1" applyFont="1" applyNumberFormat="1">
      <alignment horizontal="right"/>
    </xf>
    <xf borderId="4" fillId="4" fontId="6" numFmtId="10" xfId="0" applyAlignment="1" applyBorder="1" applyFont="1" applyNumberFormat="1">
      <alignment horizontal="center"/>
    </xf>
    <xf borderId="0" fillId="0" fontId="6" numFmtId="10" xfId="0" applyFont="1" applyNumberFormat="1"/>
    <xf borderId="10" fillId="3" fontId="6" numFmtId="171" xfId="0" applyAlignment="1" applyBorder="1" applyFont="1" applyNumberFormat="1">
      <alignment horizontal="right"/>
    </xf>
    <xf borderId="5" fillId="3" fontId="6" numFmtId="0" xfId="0" applyBorder="1" applyFont="1"/>
    <xf borderId="6" fillId="3" fontId="6" numFmtId="0" xfId="0" applyBorder="1" applyFont="1"/>
    <xf borderId="6" fillId="3" fontId="6" numFmtId="171" xfId="0" applyAlignment="1" applyBorder="1" applyFont="1" applyNumberFormat="1">
      <alignment horizontal="right"/>
    </xf>
    <xf borderId="8" fillId="4" fontId="6" numFmtId="10" xfId="0" applyAlignment="1" applyBorder="1" applyFont="1" applyNumberFormat="1">
      <alignment horizontal="center"/>
    </xf>
    <xf borderId="12" fillId="2" fontId="3" numFmtId="171" xfId="0" applyAlignment="1" applyBorder="1" applyFont="1" applyNumberFormat="1">
      <alignment horizontal="right"/>
    </xf>
    <xf borderId="0" fillId="0" fontId="9" numFmtId="0" xfId="0" applyFont="1"/>
    <xf borderId="8" fillId="2" fontId="3" numFmtId="172" xfId="0" applyAlignment="1" applyBorder="1" applyFont="1" applyNumberFormat="1">
      <alignment horizontal="right"/>
    </xf>
    <xf borderId="0" fillId="0" fontId="1" numFmtId="9" xfId="0" applyFont="1" applyNumberFormat="1"/>
    <xf borderId="0" fillId="0" fontId="1" numFmtId="168" xfId="0" applyFont="1" applyNumberFormat="1"/>
    <xf borderId="0" fillId="0" fontId="1" numFmtId="173" xfId="0" applyFont="1" applyNumberFormat="1"/>
    <xf borderId="29" fillId="2" fontId="4" numFmtId="0" xfId="0" applyBorder="1" applyFont="1"/>
    <xf borderId="30" fillId="2" fontId="3" numFmtId="49" xfId="0" applyAlignment="1" applyBorder="1" applyFont="1" applyNumberFormat="1">
      <alignment horizontal="center"/>
    </xf>
    <xf borderId="30" fillId="6" fontId="3" numFmtId="49" xfId="0" applyAlignment="1" applyBorder="1" applyFill="1" applyFont="1" applyNumberFormat="1">
      <alignment horizontal="center"/>
    </xf>
    <xf borderId="31" fillId="7" fontId="5" numFmtId="0" xfId="0" applyBorder="1" applyFill="1" applyFont="1"/>
    <xf borderId="2" fillId="3" fontId="6" numFmtId="174" xfId="0" applyBorder="1" applyFont="1" applyNumberFormat="1"/>
    <xf borderId="10" fillId="3" fontId="6" numFmtId="174" xfId="0" applyBorder="1" applyFont="1" applyNumberFormat="1"/>
    <xf borderId="2" fillId="8" fontId="6" numFmtId="2" xfId="0" applyBorder="1" applyFill="1" applyFont="1" applyNumberFormat="1"/>
    <xf borderId="32" fillId="7" fontId="6" numFmtId="0" xfId="0" applyBorder="1" applyFont="1"/>
    <xf borderId="10" fillId="3" fontId="6" numFmtId="175" xfId="0" applyBorder="1" applyFont="1" applyNumberFormat="1"/>
    <xf borderId="32" fillId="9" fontId="10" numFmtId="0" xfId="0" applyBorder="1" applyFill="1" applyFont="1"/>
    <xf borderId="10" fillId="3" fontId="10" numFmtId="176" xfId="0" applyAlignment="1" applyBorder="1" applyFont="1" applyNumberFormat="1">
      <alignment horizontal="right"/>
    </xf>
    <xf borderId="10" fillId="3" fontId="10" numFmtId="172" xfId="0" applyAlignment="1" applyBorder="1" applyFont="1" applyNumberFormat="1">
      <alignment horizontal="right"/>
    </xf>
    <xf borderId="32" fillId="3" fontId="10" numFmtId="0" xfId="0" applyBorder="1" applyFont="1"/>
    <xf borderId="10" fillId="8" fontId="10" numFmtId="176" xfId="0" applyAlignment="1" applyBorder="1" applyFont="1" applyNumberFormat="1">
      <alignment horizontal="right"/>
    </xf>
    <xf borderId="0" fillId="0" fontId="11" numFmtId="0" xfId="0" applyFont="1"/>
    <xf borderId="10" fillId="3" fontId="10" numFmtId="177" xfId="0" applyAlignment="1" applyBorder="1" applyFont="1" applyNumberFormat="1">
      <alignment horizontal="right"/>
    </xf>
    <xf borderId="33" fillId="7" fontId="5" numFmtId="0" xfId="0" applyBorder="1" applyFont="1"/>
    <xf borderId="14" fillId="3" fontId="5" numFmtId="173" xfId="0" applyBorder="1" applyFont="1" applyNumberFormat="1"/>
    <xf borderId="34" fillId="9" fontId="10" numFmtId="0" xfId="0" applyBorder="1" applyFont="1"/>
    <xf borderId="17" fillId="3" fontId="10" numFmtId="178" xfId="0" applyAlignment="1" applyBorder="1" applyFont="1" applyNumberFormat="1">
      <alignment horizontal="right"/>
    </xf>
    <xf borderId="0" fillId="0" fontId="1" numFmtId="0" xfId="0" applyAlignment="1" applyFont="1">
      <alignment shrinkToFit="0" wrapText="1"/>
    </xf>
    <xf borderId="0" fillId="0" fontId="12" numFmtId="0" xfId="0" applyFont="1"/>
    <xf borderId="0" fillId="0" fontId="13" numFmtId="0" xfId="0" applyFont="1"/>
    <xf borderId="0" fillId="0" fontId="14" numFmtId="0" xfId="0" applyFont="1"/>
    <xf borderId="26" fillId="2" fontId="4" numFmtId="0" xfId="0" applyBorder="1" applyFont="1"/>
    <xf borderId="27" fillId="2" fontId="3" numFmtId="49" xfId="0" applyAlignment="1" applyBorder="1" applyFont="1" applyNumberFormat="1">
      <alignment horizontal="center"/>
    </xf>
    <xf borderId="27" fillId="6" fontId="3" numFmtId="49" xfId="0" applyAlignment="1" applyBorder="1" applyFont="1" applyNumberFormat="1">
      <alignment horizontal="center"/>
    </xf>
    <xf borderId="0" fillId="0" fontId="2" numFmtId="0" xfId="0" applyFont="1"/>
    <xf borderId="13" fillId="3" fontId="5" numFmtId="0" xfId="0" applyBorder="1" applyFont="1"/>
    <xf borderId="0" fillId="0" fontId="6" numFmtId="168" xfId="0" applyAlignment="1" applyFont="1" applyNumberFormat="1">
      <alignment horizontal="right"/>
    </xf>
    <xf borderId="13" fillId="3" fontId="10" numFmtId="0" xfId="0" applyBorder="1" applyFont="1"/>
    <xf borderId="10" fillId="5" fontId="10" numFmtId="176" xfId="0" applyAlignment="1" applyBorder="1" applyFont="1" applyNumberFormat="1">
      <alignment horizontal="right"/>
    </xf>
    <xf borderId="0" fillId="0" fontId="6" numFmtId="179" xfId="0" applyAlignment="1" applyFont="1" applyNumberFormat="1">
      <alignment horizontal="right"/>
    </xf>
    <xf borderId="10" fillId="8" fontId="6" numFmtId="180" xfId="0" applyAlignment="1" applyBorder="1" applyFont="1" applyNumberFormat="1">
      <alignment horizontal="right"/>
    </xf>
    <xf borderId="0" fillId="0" fontId="6" numFmtId="2" xfId="0" applyAlignment="1" applyFont="1" applyNumberFormat="1">
      <alignment horizontal="right"/>
    </xf>
    <xf borderId="9" fillId="3" fontId="10" numFmtId="0" xfId="0" applyBorder="1" applyFont="1"/>
    <xf borderId="17" fillId="5" fontId="10" numFmtId="176" xfId="0" applyAlignment="1" applyBorder="1" applyFont="1" applyNumberFormat="1">
      <alignment horizontal="right"/>
    </xf>
    <xf borderId="10" fillId="8" fontId="6" numFmtId="174" xfId="0" applyBorder="1" applyFont="1" applyNumberFormat="1"/>
    <xf borderId="0" fillId="0" fontId="12" numFmtId="10" xfId="0" applyFont="1" applyNumberFormat="1"/>
    <xf borderId="10" fillId="5" fontId="10" numFmtId="177" xfId="0" applyAlignment="1" applyBorder="1" applyFont="1" applyNumberFormat="1">
      <alignment horizontal="right"/>
    </xf>
    <xf borderId="10" fillId="3" fontId="6" numFmtId="174" xfId="0" applyAlignment="1" applyBorder="1" applyFont="1" applyNumberFormat="1">
      <alignment horizontal="right"/>
    </xf>
    <xf borderId="0" fillId="0" fontId="15" numFmtId="0" xfId="0" applyFont="1"/>
    <xf borderId="10" fillId="5" fontId="10" numFmtId="172" xfId="0" applyAlignment="1" applyBorder="1" applyFont="1" applyNumberFormat="1">
      <alignment horizontal="right"/>
    </xf>
    <xf borderId="0" fillId="0" fontId="6" numFmtId="181" xfId="0" applyAlignment="1" applyFont="1" applyNumberFormat="1">
      <alignment horizontal="right"/>
    </xf>
    <xf borderId="10" fillId="8" fontId="10" numFmtId="172" xfId="0" applyAlignment="1" applyBorder="1" applyFont="1" applyNumberFormat="1">
      <alignment horizontal="right"/>
    </xf>
    <xf borderId="2" fillId="2" fontId="16" numFmtId="182" xfId="0" applyAlignment="1" applyBorder="1" applyFont="1" applyNumberFormat="1">
      <alignment horizontal="right"/>
    </xf>
    <xf borderId="10" fillId="3" fontId="10" numFmtId="174" xfId="0" applyAlignment="1" applyBorder="1" applyFont="1" applyNumberFormat="1">
      <alignment horizontal="right"/>
    </xf>
    <xf borderId="10" fillId="8" fontId="10" numFmtId="174" xfId="0" applyAlignment="1" applyBorder="1" applyFont="1" applyNumberFormat="1">
      <alignment horizontal="right"/>
    </xf>
    <xf borderId="13" fillId="3" fontId="6" numFmtId="0" xfId="0" applyAlignment="1" applyBorder="1" applyFont="1">
      <alignment horizontal="left"/>
    </xf>
    <xf borderId="10" fillId="3" fontId="1" numFmtId="0" xfId="0" applyBorder="1" applyFont="1"/>
    <xf borderId="0" fillId="0" fontId="6" numFmtId="183" xfId="0" applyAlignment="1" applyFont="1" applyNumberFormat="1">
      <alignment horizontal="right"/>
    </xf>
    <xf borderId="10" fillId="3" fontId="10" numFmtId="9" xfId="0" applyAlignment="1" applyBorder="1" applyFont="1" applyNumberFormat="1">
      <alignment horizontal="right"/>
    </xf>
    <xf borderId="0" fillId="0" fontId="3" numFmtId="171" xfId="0" applyAlignment="1" applyFont="1" applyNumberFormat="1">
      <alignment horizontal="right"/>
    </xf>
    <xf borderId="6" fillId="5" fontId="10" numFmtId="9" xfId="0" applyAlignment="1" applyBorder="1" applyFont="1" applyNumberFormat="1">
      <alignment horizontal="right"/>
    </xf>
    <xf borderId="6" fillId="5" fontId="10" numFmtId="9" xfId="0" applyBorder="1" applyFont="1" applyNumberFormat="1"/>
    <xf borderId="1" fillId="2" fontId="16" numFmtId="0" xfId="0" applyBorder="1" applyFont="1"/>
    <xf borderId="10" fillId="2" fontId="16" numFmtId="182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17" numFmtId="184" xfId="0" applyAlignment="1" applyFont="1" applyNumberFormat="1">
      <alignment horizontal="right"/>
    </xf>
    <xf borderId="10" fillId="5" fontId="10" numFmtId="9" xfId="0" applyAlignment="1" applyBorder="1" applyFont="1" applyNumberFormat="1">
      <alignment horizontal="right"/>
    </xf>
    <xf borderId="10" fillId="5" fontId="10" numFmtId="9" xfId="0" applyBorder="1" applyFont="1" applyNumberFormat="1"/>
    <xf borderId="5" fillId="2" fontId="16" numFmtId="0" xfId="0" applyBorder="1" applyFont="1"/>
    <xf borderId="6" fillId="2" fontId="16" numFmtId="174" xfId="0" applyAlignment="1" applyBorder="1" applyFont="1" applyNumberFormat="1">
      <alignment horizontal="right"/>
    </xf>
    <xf borderId="10" fillId="3" fontId="5" numFmtId="174" xfId="0" applyAlignment="1" applyBorder="1" applyFont="1" applyNumberFormat="1">
      <alignment horizontal="right"/>
    </xf>
    <xf borderId="10" fillId="3" fontId="5" numFmtId="182" xfId="0" applyAlignment="1" applyBorder="1" applyFont="1" applyNumberFormat="1">
      <alignment horizontal="right"/>
    </xf>
    <xf borderId="35" fillId="3" fontId="5" numFmtId="0" xfId="0" applyBorder="1" applyFont="1"/>
    <xf borderId="36" fillId="3" fontId="5" numFmtId="182" xfId="0" applyAlignment="1" applyBorder="1" applyFont="1" applyNumberFormat="1">
      <alignment horizontal="right"/>
    </xf>
    <xf borderId="10" fillId="3" fontId="2" numFmtId="174" xfId="0" applyAlignment="1" applyBorder="1" applyFont="1" applyNumberFormat="1">
      <alignment horizontal="right"/>
    </xf>
    <xf borderId="10" fillId="3" fontId="2" numFmtId="182" xfId="0" applyAlignment="1" applyBorder="1" applyFont="1" applyNumberFormat="1">
      <alignment horizontal="right"/>
    </xf>
    <xf borderId="10" fillId="3" fontId="5" numFmtId="0" xfId="0" applyBorder="1" applyFont="1"/>
    <xf borderId="10" fillId="3" fontId="2" numFmtId="0" xfId="0" applyBorder="1" applyFont="1"/>
    <xf borderId="5" fillId="3" fontId="12" numFmtId="0" xfId="0" applyBorder="1" applyFont="1"/>
    <xf borderId="10" fillId="10" fontId="12" numFmtId="0" xfId="0" applyBorder="1" applyFill="1" applyFont="1"/>
    <xf borderId="29" fillId="2" fontId="2" numFmtId="0" xfId="0" applyBorder="1" applyFont="1"/>
    <xf borderId="37" fillId="2" fontId="2" numFmtId="0" xfId="0" applyBorder="1" applyFont="1"/>
    <xf borderId="10" fillId="10" fontId="6" numFmtId="0" xfId="0" applyBorder="1" applyFont="1"/>
    <xf borderId="38" fillId="2" fontId="2" numFmtId="0" xfId="0" applyAlignment="1" applyBorder="1" applyFont="1">
      <alignment horizontal="center"/>
    </xf>
    <xf borderId="39" fillId="0" fontId="18" numFmtId="0" xfId="0" applyBorder="1" applyFont="1"/>
    <xf borderId="40" fillId="0" fontId="18" numFmtId="0" xfId="0" applyBorder="1" applyFont="1"/>
    <xf borderId="31" fillId="3" fontId="6" numFmtId="0" xfId="0" applyBorder="1" applyFont="1"/>
    <xf borderId="3" fillId="3" fontId="6" numFmtId="168" xfId="0" applyAlignment="1" applyBorder="1" applyFont="1" applyNumberFormat="1">
      <alignment horizontal="right"/>
    </xf>
    <xf borderId="0" fillId="0" fontId="19" numFmtId="0" xfId="0" applyAlignment="1" applyFont="1">
      <alignment horizontal="center"/>
    </xf>
    <xf borderId="32" fillId="3" fontId="6" numFmtId="0" xfId="0" applyBorder="1" applyFont="1"/>
    <xf borderId="11" fillId="3" fontId="6" numFmtId="179" xfId="0" applyAlignment="1" applyBorder="1" applyFont="1" applyNumberFormat="1">
      <alignment horizontal="right"/>
    </xf>
    <xf borderId="0" fillId="0" fontId="6" numFmtId="185" xfId="0" applyAlignment="1" applyFont="1" applyNumberFormat="1">
      <alignment horizontal="right"/>
    </xf>
    <xf borderId="41" fillId="0" fontId="6" numFmtId="168" xfId="0" applyBorder="1" applyFont="1" applyNumberFormat="1"/>
    <xf borderId="11" fillId="3" fontId="6" numFmtId="2" xfId="0" applyAlignment="1" applyBorder="1" applyFont="1" applyNumberFormat="1">
      <alignment horizontal="right"/>
    </xf>
    <xf borderId="0" fillId="0" fontId="6" numFmtId="0" xfId="0" applyAlignment="1" applyFont="1">
      <alignment horizontal="center" textRotation="90" vertical="center"/>
    </xf>
    <xf borderId="42" fillId="0" fontId="6" numFmtId="2" xfId="0" applyBorder="1" applyFont="1" applyNumberFormat="1"/>
    <xf borderId="0" fillId="0" fontId="6" numFmtId="174" xfId="0" applyFont="1" applyNumberFormat="1"/>
    <xf borderId="43" fillId="0" fontId="6" numFmtId="174" xfId="0" applyBorder="1" applyFont="1" applyNumberFormat="1"/>
    <xf borderId="0" fillId="0" fontId="6" numFmtId="178" xfId="0" applyFont="1" applyNumberFormat="1"/>
    <xf borderId="43" fillId="0" fontId="6" numFmtId="178" xfId="0" applyBorder="1" applyFont="1" applyNumberFormat="1"/>
    <xf borderId="10" fillId="11" fontId="6" numFmtId="174" xfId="0" applyBorder="1" applyFill="1" applyFont="1" applyNumberFormat="1"/>
    <xf borderId="44" fillId="11" fontId="6" numFmtId="174" xfId="0" applyBorder="1" applyFont="1" applyNumberFormat="1"/>
    <xf borderId="10" fillId="11" fontId="6" numFmtId="178" xfId="0" applyBorder="1" applyFont="1" applyNumberFormat="1"/>
    <xf borderId="44" fillId="11" fontId="6" numFmtId="178" xfId="0" applyBorder="1" applyFont="1" applyNumberFormat="1"/>
    <xf borderId="45" fillId="0" fontId="6" numFmtId="174" xfId="0" applyBorder="1" applyFont="1" applyNumberFormat="1"/>
    <xf borderId="46" fillId="11" fontId="6" numFmtId="174" xfId="0" applyBorder="1" applyFont="1" applyNumberFormat="1"/>
    <xf borderId="47" fillId="11" fontId="6" numFmtId="174" xfId="0" applyBorder="1" applyFont="1" applyNumberFormat="1"/>
    <xf borderId="48" fillId="0" fontId="6" numFmtId="174" xfId="0" applyBorder="1" applyFont="1" applyNumberFormat="1"/>
    <xf borderId="45" fillId="0" fontId="6" numFmtId="178" xfId="0" applyBorder="1" applyFont="1" applyNumberFormat="1"/>
    <xf borderId="46" fillId="11" fontId="6" numFmtId="178" xfId="0" applyBorder="1" applyFont="1" applyNumberFormat="1"/>
    <xf borderId="47" fillId="11" fontId="6" numFmtId="178" xfId="0" applyBorder="1" applyFont="1" applyNumberFormat="1"/>
    <xf borderId="48" fillId="0" fontId="6" numFmtId="178" xfId="0" applyBorder="1" applyFont="1" applyNumberFormat="1"/>
    <xf borderId="49" fillId="0" fontId="12" numFmtId="0" xfId="0" applyBorder="1" applyFont="1"/>
    <xf borderId="23" fillId="0" fontId="12" numFmtId="10" xfId="0" applyBorder="1" applyFont="1" applyNumberFormat="1"/>
    <xf borderId="50" fillId="0" fontId="6" numFmtId="174" xfId="0" applyBorder="1" applyFont="1" applyNumberFormat="1"/>
    <xf borderId="50" fillId="0" fontId="6" numFmtId="178" xfId="0" applyBorder="1" applyFont="1" applyNumberFormat="1"/>
    <xf borderId="34" fillId="3" fontId="6" numFmtId="0" xfId="0" applyBorder="1" applyFont="1"/>
    <xf borderId="18" fillId="3" fontId="6" numFmtId="179" xfId="0" applyAlignment="1" applyBorder="1" applyFont="1" applyNumberFormat="1">
      <alignment horizontal="right"/>
    </xf>
    <xf borderId="10" fillId="3" fontId="6" numFmtId="10" xfId="0" applyBorder="1" applyFont="1" applyNumberFormat="1"/>
    <xf borderId="42" fillId="0" fontId="6" numFmtId="168" xfId="0" applyBorder="1" applyFont="1" applyNumberFormat="1"/>
    <xf borderId="51" fillId="0" fontId="6" numFmtId="0" xfId="0" applyBorder="1" applyFont="1"/>
    <xf borderId="52" fillId="0" fontId="6" numFmtId="179" xfId="0" applyAlignment="1" applyBorder="1" applyFont="1" applyNumberFormat="1">
      <alignment horizontal="right"/>
    </xf>
    <xf borderId="49" fillId="0" fontId="6" numFmtId="0" xfId="0" applyBorder="1" applyFont="1"/>
    <xf borderId="23" fillId="0" fontId="6" numFmtId="181" xfId="0" applyAlignment="1" applyBorder="1" applyFont="1" applyNumberFormat="1">
      <alignment horizontal="right"/>
    </xf>
    <xf borderId="53" fillId="0" fontId="6" numFmtId="0" xfId="0" applyBorder="1" applyFont="1"/>
    <xf borderId="54" fillId="0" fontId="6" numFmtId="181" xfId="0" applyAlignment="1" applyBorder="1" applyFont="1" applyNumberFormat="1">
      <alignment horizontal="right"/>
    </xf>
    <xf borderId="0" fillId="0" fontId="6" numFmtId="0" xfId="0" applyAlignment="1" applyFont="1">
      <alignment horizontal="center" shrinkToFit="0" textRotation="90" vertical="center" wrapText="1"/>
    </xf>
    <xf borderId="42" fillId="0" fontId="6" numFmtId="9" xfId="0" applyBorder="1" applyFont="1" applyNumberFormat="1"/>
    <xf borderId="55" fillId="0" fontId="6" numFmtId="183" xfId="0" applyAlignment="1" applyBorder="1" applyFont="1" applyNumberFormat="1">
      <alignment horizontal="right"/>
    </xf>
    <xf borderId="31" fillId="2" fontId="3" numFmtId="0" xfId="0" applyBorder="1" applyFont="1"/>
    <xf borderId="56" fillId="2" fontId="3" numFmtId="171" xfId="0" applyAlignment="1" applyBorder="1" applyFont="1" applyNumberFormat="1">
      <alignment horizontal="right"/>
    </xf>
    <xf borderId="32" fillId="2" fontId="3" numFmtId="0" xfId="0" applyBorder="1" applyFont="1"/>
    <xf borderId="21" fillId="2" fontId="3" numFmtId="171" xfId="0" applyAlignment="1" applyBorder="1" applyFont="1" applyNumberFormat="1">
      <alignment horizontal="right"/>
    </xf>
    <xf borderId="34" fillId="2" fontId="3" numFmtId="0" xfId="0" applyAlignment="1" applyBorder="1" applyFont="1">
      <alignment horizontal="left"/>
    </xf>
    <xf borderId="57" fillId="2" fontId="17" numFmtId="184" xfId="0" applyAlignment="1" applyBorder="1" applyFont="1" applyNumberFormat="1">
      <alignment horizontal="right"/>
    </xf>
    <xf borderId="0" fillId="0" fontId="6" numFmtId="171" xfId="0" applyFont="1" applyNumberFormat="1"/>
    <xf borderId="1" fillId="2" fontId="16" numFmtId="0" xfId="0" applyAlignment="1" applyBorder="1" applyFont="1">
      <alignment horizontal="center"/>
    </xf>
    <xf borderId="2" fillId="2" fontId="16" numFmtId="0" xfId="0" applyAlignment="1" applyBorder="1" applyFont="1">
      <alignment horizontal="center"/>
    </xf>
    <xf borderId="4" fillId="2" fontId="16" numFmtId="0" xfId="0" applyAlignment="1" applyBorder="1" applyFont="1">
      <alignment horizontal="center"/>
    </xf>
    <xf borderId="22" fillId="0" fontId="6" numFmtId="0" xfId="0" applyBorder="1" applyFont="1"/>
    <xf borderId="24" fillId="0" fontId="6" numFmtId="10" xfId="0" applyBorder="1" applyFont="1" applyNumberFormat="1"/>
    <xf borderId="5" fillId="9" fontId="6" numFmtId="0" xfId="0" applyBorder="1" applyFont="1"/>
    <xf borderId="6" fillId="9" fontId="6" numFmtId="171" xfId="0" applyAlignment="1" applyBorder="1" applyFont="1" applyNumberFormat="1">
      <alignment horizontal="right"/>
    </xf>
    <xf borderId="8" fillId="9" fontId="6" numFmtId="10" xfId="0" applyAlignment="1" applyBorder="1" applyFont="1" applyNumberFormat="1">
      <alignment horizontal="right"/>
    </xf>
    <xf borderId="13" fillId="2" fontId="17" numFmtId="0" xfId="0" applyBorder="1" applyFont="1"/>
    <xf borderId="12" fillId="2" fontId="17" numFmtId="171" xfId="0" applyBorder="1" applyFont="1" applyNumberFormat="1"/>
    <xf borderId="5" fillId="2" fontId="17" numFmtId="0" xfId="0" applyAlignment="1" applyBorder="1" applyFont="1">
      <alignment horizontal="left"/>
    </xf>
    <xf borderId="8" fillId="2" fontId="17" numFmtId="184" xfId="0" applyAlignment="1" applyBorder="1" applyFont="1" applyNumberFormat="1">
      <alignment horizontal="right"/>
    </xf>
    <xf borderId="0" fillId="0" fontId="12" numFmtId="168" xfId="0" applyFont="1" applyNumberFormat="1"/>
    <xf borderId="0" fillId="0" fontId="12" numFmtId="186" xfId="0" applyFont="1" applyNumberFormat="1"/>
    <xf borderId="0" fillId="0" fontId="6" numFmtId="186" xfId="0" applyFont="1" applyNumberFormat="1"/>
    <xf borderId="0" fillId="0" fontId="6" numFmtId="187" xfId="0" applyFont="1" applyNumberFormat="1"/>
    <xf borderId="0" fillId="0" fontId="12" numFmtId="188" xfId="0" applyFont="1" applyNumberFormat="1"/>
    <xf borderId="0" fillId="0" fontId="14" numFmtId="186" xfId="0" applyFont="1" applyNumberFormat="1"/>
    <xf borderId="10" fillId="8" fontId="6" numFmtId="189" xfId="0" applyBorder="1" applyFont="1" applyNumberFormat="1"/>
    <xf borderId="11" fillId="3" fontId="6" numFmtId="190" xfId="0" applyAlignment="1" applyBorder="1" applyFont="1" applyNumberFormat="1">
      <alignment horizontal="right"/>
    </xf>
    <xf borderId="10" fillId="8" fontId="6" numFmtId="189" xfId="0" applyAlignment="1" applyBorder="1" applyFont="1" applyNumberFormat="1">
      <alignment horizontal="right"/>
    </xf>
    <xf borderId="10" fillId="3" fontId="6" numFmtId="191" xfId="0" applyAlignment="1" applyBorder="1" applyFont="1" applyNumberFormat="1">
      <alignment horizontal="right"/>
    </xf>
    <xf borderId="10" fillId="3" fontId="6" numFmtId="192" xfId="0" applyAlignment="1" applyBorder="1" applyFont="1" applyNumberFormat="1">
      <alignment horizontal="right"/>
    </xf>
    <xf borderId="0" fillId="0" fontId="20" numFmtId="0" xfId="0" applyFont="1"/>
    <xf borderId="0" fillId="0" fontId="20" numFmtId="193" xfId="0" applyFont="1" applyNumberFormat="1"/>
    <xf borderId="58" fillId="2" fontId="2" numFmtId="0" xfId="0" applyAlignment="1" applyBorder="1" applyFont="1">
      <alignment horizontal="center"/>
    </xf>
    <xf borderId="59" fillId="0" fontId="18" numFmtId="0" xfId="0" applyBorder="1" applyFont="1"/>
    <xf borderId="60" fillId="0" fontId="21" numFmtId="0" xfId="0" applyAlignment="1" applyBorder="1" applyFont="1">
      <alignment horizontal="center"/>
    </xf>
    <xf borderId="10" fillId="12" fontId="6" numFmtId="194" xfId="0" applyAlignment="1" applyBorder="1" applyFill="1" applyFont="1" applyNumberFormat="1">
      <alignment horizontal="right"/>
    </xf>
    <xf borderId="21" fillId="2" fontId="2" numFmtId="0" xfId="0" applyBorder="1" applyFont="1"/>
    <xf borderId="10" fillId="8" fontId="6" numFmtId="0" xfId="0" applyBorder="1" applyFont="1"/>
    <xf borderId="11" fillId="3" fontId="6" numFmtId="10" xfId="0" applyAlignment="1" applyBorder="1" applyFont="1" applyNumberFormat="1">
      <alignment horizontal="right"/>
    </xf>
    <xf borderId="11" fillId="3" fontId="6" numFmtId="192" xfId="0" applyAlignment="1" applyBorder="1" applyFont="1" applyNumberFormat="1">
      <alignment horizontal="right"/>
    </xf>
    <xf borderId="11" fillId="12" fontId="6" numFmtId="192" xfId="0" applyAlignment="1" applyBorder="1" applyFont="1" applyNumberFormat="1">
      <alignment horizontal="right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F27"/>
      </a:accent1>
      <a:accent2>
        <a:srgbClr val="5F5F62"/>
      </a:accent2>
      <a:accent3>
        <a:srgbClr val="A5A5A5"/>
      </a:accent3>
      <a:accent4>
        <a:srgbClr val="FFC000"/>
      </a:accent4>
      <a:accent5>
        <a:srgbClr val="000000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f.org/external/pubs/ft/weo/2016/01/pdf/text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4F27"/>
    <pageSetUpPr/>
  </sheetPr>
  <sheetViews>
    <sheetView showGridLines="0" workbookViewId="0"/>
  </sheetViews>
  <sheetFormatPr customHeight="1" defaultColWidth="14.43" defaultRowHeight="15.0"/>
  <cols>
    <col customWidth="1" min="1" max="1" width="44.14"/>
    <col customWidth="1" min="2" max="2" width="20.57"/>
    <col customWidth="1" min="3" max="3" width="5.86"/>
    <col customWidth="1" min="4" max="9" width="11.86"/>
    <col customWidth="1" min="10" max="11" width="10.57"/>
    <col customWidth="1" min="12" max="12" width="11.86"/>
    <col customWidth="1" min="13" max="13" width="12.43"/>
    <col customWidth="1" min="14" max="22" width="9.14"/>
    <col customWidth="1" min="23" max="23" width="5.86"/>
    <col customWidth="1" min="24" max="26" width="15.14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4"/>
      <c r="E2" s="4"/>
      <c r="F2" s="4"/>
      <c r="G2" s="4"/>
      <c r="H2" s="5"/>
      <c r="I2" s="6"/>
      <c r="J2" s="6"/>
      <c r="K2" s="6"/>
      <c r="L2" s="6"/>
      <c r="M2" s="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75" customHeight="1">
      <c r="A3" s="1"/>
      <c r="B3" s="8"/>
      <c r="C3" s="9"/>
      <c r="D3" s="9"/>
      <c r="E3" s="9"/>
      <c r="F3" s="9"/>
      <c r="G3" s="9"/>
      <c r="H3" s="10" t="s">
        <v>1</v>
      </c>
      <c r="I3" s="11" t="s">
        <v>2</v>
      </c>
      <c r="J3" s="11" t="s">
        <v>3</v>
      </c>
      <c r="K3" s="11" t="s">
        <v>4</v>
      </c>
      <c r="L3" s="11" t="s">
        <v>5</v>
      </c>
      <c r="M3" s="12" t="s">
        <v>6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3" t="s">
        <v>7</v>
      </c>
      <c r="C4" s="14"/>
      <c r="D4" s="15" t="s">
        <v>8</v>
      </c>
      <c r="E4" s="15" t="s">
        <v>9</v>
      </c>
      <c r="F4" s="15" t="s">
        <v>10</v>
      </c>
      <c r="G4" s="15" t="s">
        <v>11</v>
      </c>
      <c r="H4" s="16" t="s">
        <v>12</v>
      </c>
      <c r="I4" s="17">
        <f>35%</f>
        <v>0.35</v>
      </c>
      <c r="J4" s="17">
        <f>30%</f>
        <v>0.3</v>
      </c>
      <c r="K4" s="17">
        <f>15%</f>
        <v>0.15</v>
      </c>
      <c r="L4" s="17">
        <f t="shared" ref="L4:M4" si="1">10%</f>
        <v>0.1</v>
      </c>
      <c r="M4" s="18">
        <f t="shared" si="1"/>
        <v>0.1</v>
      </c>
      <c r="N4" s="19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20" t="s">
        <v>13</v>
      </c>
      <c r="B5" s="21" t="s">
        <v>14</v>
      </c>
      <c r="C5" s="22"/>
      <c r="D5" s="23">
        <f t="shared" ref="D5:D9" si="2">MAX($H5:$M5)</f>
        <v>259555</v>
      </c>
      <c r="E5" s="23">
        <f t="shared" ref="E5:E9" si="3">MIN($H5:$M5)</f>
        <v>81053</v>
      </c>
      <c r="F5" s="23">
        <f t="shared" ref="F5:F9" si="4">MEDIAN($I5:$M5)</f>
        <v>129248</v>
      </c>
      <c r="G5" s="23">
        <f t="shared" ref="G5:G9" si="5">SUMPRODUCT($I$4:$M$4,$I5:$M5)</f>
        <v>158208.1</v>
      </c>
      <c r="H5" s="24">
        <f>259555</f>
        <v>259555</v>
      </c>
      <c r="I5" s="25">
        <f>214194</f>
        <v>214194</v>
      </c>
      <c r="J5" s="25">
        <f>162863</f>
        <v>162863</v>
      </c>
      <c r="K5" s="25">
        <f>89008</f>
        <v>89008</v>
      </c>
      <c r="L5" s="25">
        <f>129248</f>
        <v>129248</v>
      </c>
      <c r="M5" s="26">
        <f>81053</f>
        <v>81053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0" t="s">
        <v>13</v>
      </c>
      <c r="B6" s="21" t="s">
        <v>15</v>
      </c>
      <c r="C6" s="14"/>
      <c r="D6" s="27">
        <f t="shared" si="2"/>
        <v>20458</v>
      </c>
      <c r="E6" s="27">
        <f t="shared" si="3"/>
        <v>619</v>
      </c>
      <c r="F6" s="27">
        <f t="shared" si="4"/>
        <v>9359</v>
      </c>
      <c r="G6" s="27">
        <f t="shared" si="5"/>
        <v>8787.15</v>
      </c>
      <c r="H6" s="28">
        <f>20458</f>
        <v>20458</v>
      </c>
      <c r="I6" s="29">
        <f>1548</f>
        <v>1548</v>
      </c>
      <c r="J6" s="29">
        <f>16899</f>
        <v>16899</v>
      </c>
      <c r="K6" s="29">
        <f>9359</f>
        <v>9359</v>
      </c>
      <c r="L6" s="29">
        <f>17099</f>
        <v>17099</v>
      </c>
      <c r="M6" s="30">
        <f>619</f>
        <v>619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20" t="s">
        <v>16</v>
      </c>
      <c r="B7" s="21" t="s">
        <v>17</v>
      </c>
      <c r="C7" s="14"/>
      <c r="D7" s="27">
        <f t="shared" si="2"/>
        <v>91115</v>
      </c>
      <c r="E7" s="27">
        <f t="shared" si="3"/>
        <v>14750</v>
      </c>
      <c r="F7" s="27">
        <f t="shared" si="4"/>
        <v>60203</v>
      </c>
      <c r="G7" s="27">
        <f t="shared" si="5"/>
        <v>59137.55</v>
      </c>
      <c r="H7" s="28">
        <f>47182</f>
        <v>47182</v>
      </c>
      <c r="I7" s="29">
        <f>42320</f>
        <v>42320</v>
      </c>
      <c r="J7" s="29">
        <f>91115</f>
        <v>91115</v>
      </c>
      <c r="K7" s="29">
        <f>63305</f>
        <v>63305</v>
      </c>
      <c r="L7" s="29">
        <f>60203</f>
        <v>60203</v>
      </c>
      <c r="M7" s="30">
        <f>14750</f>
        <v>14750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0" t="s">
        <v>18</v>
      </c>
      <c r="B8" s="31" t="s">
        <v>19</v>
      </c>
      <c r="C8" s="32"/>
      <c r="D8" s="33">
        <f t="shared" si="2"/>
        <v>31830</v>
      </c>
      <c r="E8" s="33">
        <f t="shared" si="3"/>
        <v>2991</v>
      </c>
      <c r="F8" s="33">
        <f t="shared" si="4"/>
        <v>31111</v>
      </c>
      <c r="G8" s="33">
        <f t="shared" si="5"/>
        <v>19600.15</v>
      </c>
      <c r="H8" s="34">
        <f>4364</f>
        <v>4364</v>
      </c>
      <c r="I8" s="35">
        <f>5596</f>
        <v>5596</v>
      </c>
      <c r="J8" s="35">
        <f>31830</f>
        <v>31830</v>
      </c>
      <c r="K8" s="35">
        <f>31111</f>
        <v>31111</v>
      </c>
      <c r="L8" s="35">
        <f>31268</f>
        <v>31268</v>
      </c>
      <c r="M8" s="36">
        <f>2991</f>
        <v>2991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0"/>
      <c r="B9" s="37" t="s">
        <v>7</v>
      </c>
      <c r="C9" s="38"/>
      <c r="D9" s="27">
        <f t="shared" si="2"/>
        <v>322831</v>
      </c>
      <c r="E9" s="27">
        <f t="shared" si="3"/>
        <v>93431</v>
      </c>
      <c r="F9" s="27">
        <f t="shared" si="4"/>
        <v>175282</v>
      </c>
      <c r="G9" s="27">
        <f t="shared" si="5"/>
        <v>206532.65</v>
      </c>
      <c r="H9" s="39">
        <f t="shared" ref="H9:M9" si="6">H5+H6+H7-H8</f>
        <v>322831</v>
      </c>
      <c r="I9" s="27">
        <f t="shared" si="6"/>
        <v>252466</v>
      </c>
      <c r="J9" s="27">
        <f t="shared" si="6"/>
        <v>239047</v>
      </c>
      <c r="K9" s="27">
        <f t="shared" si="6"/>
        <v>130561</v>
      </c>
      <c r="L9" s="27">
        <f t="shared" si="6"/>
        <v>175282</v>
      </c>
      <c r="M9" s="40">
        <f t="shared" si="6"/>
        <v>93431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0"/>
      <c r="B10" s="21"/>
      <c r="C10" s="14"/>
      <c r="D10" s="29"/>
      <c r="E10" s="29"/>
      <c r="F10" s="29"/>
      <c r="G10" s="29"/>
      <c r="H10" s="28"/>
      <c r="I10" s="29"/>
      <c r="J10" s="29"/>
      <c r="K10" s="29"/>
      <c r="L10" s="29"/>
      <c r="M10" s="30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0"/>
      <c r="B11" s="41" t="s">
        <v>20</v>
      </c>
      <c r="C11" s="1"/>
      <c r="D11" s="1"/>
      <c r="E11" s="1"/>
      <c r="F11" s="1"/>
      <c r="G11" s="1"/>
      <c r="H11" s="28"/>
      <c r="I11" s="1"/>
      <c r="J11" s="1"/>
      <c r="K11" s="1"/>
      <c r="L11" s="1"/>
      <c r="M11" s="3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0"/>
      <c r="B12" s="21" t="s">
        <v>21</v>
      </c>
      <c r="C12" s="14"/>
      <c r="D12" s="42">
        <f t="shared" ref="D12:D22" si="7">MAX($H12:$M12)</f>
        <v>181502</v>
      </c>
      <c r="E12" s="42">
        <f t="shared" ref="E12:E22" si="8">MIN($H12:$M12)</f>
        <v>18784</v>
      </c>
      <c r="F12" s="42">
        <f t="shared" ref="F12:F22" si="9">MEDIAN($I12:$M12)</f>
        <v>119704</v>
      </c>
      <c r="G12" s="42">
        <f t="shared" ref="G12:G22" si="10">SUMPRODUCT($I$4:$M$4,$I12:$M12)</f>
        <v>128131.45</v>
      </c>
      <c r="H12" s="43">
        <f>'Sales Forecast'!I29/1000</f>
        <v>181502</v>
      </c>
      <c r="I12" s="44">
        <f>94471</f>
        <v>94471</v>
      </c>
      <c r="J12" s="44">
        <f>180543</f>
        <v>180543</v>
      </c>
      <c r="K12" s="44">
        <f>180366</f>
        <v>180366</v>
      </c>
      <c r="L12" s="44">
        <f>119704</f>
        <v>119704</v>
      </c>
      <c r="M12" s="45">
        <f>18784</f>
        <v>18784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1"/>
      <c r="Y12" s="1"/>
      <c r="Z12" s="1"/>
    </row>
    <row r="13" ht="12.75" customHeight="1">
      <c r="A13" s="20"/>
      <c r="B13" s="21" t="s">
        <v>22</v>
      </c>
      <c r="C13" s="14"/>
      <c r="D13" s="47">
        <f t="shared" si="7"/>
        <v>1.84</v>
      </c>
      <c r="E13" s="47">
        <f t="shared" si="8"/>
        <v>0.77</v>
      </c>
      <c r="F13" s="47">
        <f t="shared" si="9"/>
        <v>1</v>
      </c>
      <c r="G13" s="47">
        <f t="shared" si="10"/>
        <v>1.16772</v>
      </c>
      <c r="H13" s="48">
        <f>'Beta and Market Risk Premium'!B63</f>
        <v>1.223600835</v>
      </c>
      <c r="I13" s="49">
        <v>1.346</v>
      </c>
      <c r="J13" s="49">
        <f>1</f>
        <v>1</v>
      </c>
      <c r="K13" s="49">
        <f>0.77</f>
        <v>0.77</v>
      </c>
      <c r="L13" s="49">
        <f>0.9712</f>
        <v>0.9712</v>
      </c>
      <c r="M13" s="50">
        <f>1.84</f>
        <v>1.84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20"/>
      <c r="B14" s="21" t="s">
        <v>23</v>
      </c>
      <c r="C14" s="14"/>
      <c r="D14" s="51">
        <f t="shared" si="7"/>
        <v>0.2382870842</v>
      </c>
      <c r="E14" s="51">
        <f t="shared" si="8"/>
        <v>0.01351790875</v>
      </c>
      <c r="F14" s="51">
        <f t="shared" si="9"/>
        <v>0.1331537313</v>
      </c>
      <c r="G14" s="52">
        <f t="shared" si="10"/>
        <v>0.1044870341</v>
      </c>
      <c r="H14" s="52">
        <f t="shared" ref="H14:M14" si="11">H8/H9</f>
        <v>0.01351790875</v>
      </c>
      <c r="I14" s="47">
        <f t="shared" si="11"/>
        <v>0.02216536088</v>
      </c>
      <c r="J14" s="47">
        <f t="shared" si="11"/>
        <v>0.1331537313</v>
      </c>
      <c r="K14" s="47">
        <f t="shared" si="11"/>
        <v>0.2382870842</v>
      </c>
      <c r="L14" s="47">
        <f t="shared" si="11"/>
        <v>0.1783868281</v>
      </c>
      <c r="M14" s="53">
        <f t="shared" si="11"/>
        <v>0.03201292933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20" t="s">
        <v>24</v>
      </c>
      <c r="B15" s="21" t="s">
        <v>25</v>
      </c>
      <c r="C15" s="14"/>
      <c r="D15" s="51">
        <f t="shared" si="7"/>
        <v>0.5565521097</v>
      </c>
      <c r="E15" s="51">
        <f t="shared" si="8"/>
        <v>0.1644957241</v>
      </c>
      <c r="F15" s="51">
        <f t="shared" si="9"/>
        <v>0.44101505</v>
      </c>
      <c r="G15" s="52">
        <f t="shared" si="10"/>
        <v>0.340404981</v>
      </c>
      <c r="H15" s="54">
        <f t="shared" ref="H15:M15" si="12">(H6+H7)/H9</f>
        <v>0.2095213904</v>
      </c>
      <c r="I15" s="51">
        <f t="shared" si="12"/>
        <v>0.1737580506</v>
      </c>
      <c r="J15" s="51">
        <f t="shared" si="12"/>
        <v>0.4518525646</v>
      </c>
      <c r="K15" s="51">
        <f t="shared" si="12"/>
        <v>0.5565521097</v>
      </c>
      <c r="L15" s="51">
        <f t="shared" si="12"/>
        <v>0.44101505</v>
      </c>
      <c r="M15" s="53">
        <f t="shared" si="12"/>
        <v>0.1644957241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20" t="s">
        <v>26</v>
      </c>
      <c r="B16" s="21" t="s">
        <v>27</v>
      </c>
      <c r="C16" s="14"/>
      <c r="D16" s="51">
        <f t="shared" si="7"/>
        <v>-2.035916824</v>
      </c>
      <c r="E16" s="51">
        <f t="shared" si="8"/>
        <v>-23.94214162</v>
      </c>
      <c r="F16" s="51">
        <f t="shared" si="9"/>
        <v>-5.594766447</v>
      </c>
      <c r="G16" s="51">
        <f t="shared" si="10"/>
        <v>-6.581514893</v>
      </c>
      <c r="H16" s="55">
        <f t="shared" ref="H16:M16" si="13">H29/H30</f>
        <v>-23.94214162</v>
      </c>
      <c r="I16" s="51">
        <f t="shared" si="13"/>
        <v>-9.692969871</v>
      </c>
      <c r="J16" s="51">
        <f t="shared" si="13"/>
        <v>-5.594766447</v>
      </c>
      <c r="K16" s="51">
        <f t="shared" si="13"/>
        <v>-6.979133226</v>
      </c>
      <c r="L16" s="51">
        <f t="shared" si="13"/>
        <v>-2.600838379</v>
      </c>
      <c r="M16" s="53">
        <f t="shared" si="13"/>
        <v>-2.035916824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20" t="s">
        <v>28</v>
      </c>
      <c r="B17" s="21" t="s">
        <v>29</v>
      </c>
      <c r="C17" s="14"/>
      <c r="D17" s="56">
        <f t="shared" si="7"/>
        <v>0.3143987394</v>
      </c>
      <c r="E17" s="56">
        <f t="shared" si="8"/>
        <v>-0.07197731288</v>
      </c>
      <c r="F17" s="56">
        <f t="shared" si="9"/>
        <v>0.05646296974</v>
      </c>
      <c r="G17" s="57">
        <f t="shared" si="10"/>
        <v>0.0986988922</v>
      </c>
      <c r="H17" s="57">
        <f t="shared" ref="H17:M17" si="14">(H12-H28)/H12</f>
        <v>0.3143987394</v>
      </c>
      <c r="I17" s="56">
        <f t="shared" si="14"/>
        <v>0.2590742133</v>
      </c>
      <c r="J17" s="56">
        <f t="shared" si="14"/>
        <v>-0.07197731288</v>
      </c>
      <c r="K17" s="56">
        <f t="shared" si="14"/>
        <v>0.05646296974</v>
      </c>
      <c r="L17" s="56">
        <f t="shared" si="14"/>
        <v>0.1666945131</v>
      </c>
      <c r="M17" s="58">
        <f t="shared" si="14"/>
        <v>0.04477214651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20" t="s">
        <v>30</v>
      </c>
      <c r="B18" s="21" t="s">
        <v>31</v>
      </c>
      <c r="C18" s="14"/>
      <c r="D18" s="56">
        <f t="shared" si="7"/>
        <v>0.1926639693</v>
      </c>
      <c r="E18" s="56">
        <f t="shared" si="8"/>
        <v>0.01701540202</v>
      </c>
      <c r="F18" s="56">
        <f t="shared" si="9"/>
        <v>0.1443310165</v>
      </c>
      <c r="G18" s="57">
        <f t="shared" si="10"/>
        <v>0.1326260608</v>
      </c>
      <c r="H18" s="59">
        <f t="shared" ref="H18:M18" si="15">H26/H12</f>
        <v>0.100737182</v>
      </c>
      <c r="I18" s="56">
        <f t="shared" si="15"/>
        <v>0.1349832224</v>
      </c>
      <c r="J18" s="56">
        <f t="shared" si="15"/>
        <v>0.1637670804</v>
      </c>
      <c r="K18" s="56">
        <f t="shared" si="15"/>
        <v>0.01701540202</v>
      </c>
      <c r="L18" s="56">
        <f t="shared" si="15"/>
        <v>0.1443310165</v>
      </c>
      <c r="M18" s="58">
        <f t="shared" si="15"/>
        <v>0.1926639693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1" t="s">
        <v>32</v>
      </c>
      <c r="C19" s="14"/>
      <c r="D19" s="56">
        <f t="shared" si="7"/>
        <v>-0.05867409046</v>
      </c>
      <c r="E19" s="56">
        <f t="shared" si="8"/>
        <v>-0.1437925894</v>
      </c>
      <c r="F19" s="56">
        <f t="shared" si="9"/>
        <v>-0.112582194</v>
      </c>
      <c r="G19" s="57">
        <f t="shared" si="10"/>
        <v>-0.09363450031</v>
      </c>
      <c r="H19" s="57">
        <f t="shared" ref="H19:M19" si="16">H27/H12</f>
        <v>-0.1236350013</v>
      </c>
      <c r="I19" s="56">
        <f t="shared" si="16"/>
        <v>-0.05867409046</v>
      </c>
      <c r="J19" s="56">
        <f t="shared" si="16"/>
        <v>-0.1192735249</v>
      </c>
      <c r="K19" s="56">
        <f t="shared" si="16"/>
        <v>-0.112582194</v>
      </c>
      <c r="L19" s="56">
        <f t="shared" si="16"/>
        <v>-0.06049923144</v>
      </c>
      <c r="M19" s="58">
        <f t="shared" si="16"/>
        <v>-0.1437925894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1" t="s">
        <v>33</v>
      </c>
      <c r="C20" s="14"/>
      <c r="D20" s="56">
        <f t="shared" si="7"/>
        <v>-0.3149</v>
      </c>
      <c r="E20" s="56">
        <f t="shared" si="8"/>
        <v>-0.4765</v>
      </c>
      <c r="F20" s="56">
        <f t="shared" si="9"/>
        <v>-0.3537</v>
      </c>
      <c r="G20" s="57">
        <f t="shared" si="10"/>
        <v>-0.399115</v>
      </c>
      <c r="H20" s="60">
        <f>-31.49%</f>
        <v>-0.3149</v>
      </c>
      <c r="I20" s="61">
        <f>-35.37%</f>
        <v>-0.3537</v>
      </c>
      <c r="J20" s="61">
        <v>-0.4765</v>
      </c>
      <c r="K20" s="61">
        <f>-35.2%</f>
        <v>-0.352</v>
      </c>
      <c r="L20" s="61">
        <v>-0.3208</v>
      </c>
      <c r="M20" s="62">
        <f>-47.49%</f>
        <v>-0.4749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1" t="s">
        <v>34</v>
      </c>
      <c r="C21" s="14"/>
      <c r="D21" s="56">
        <f t="shared" si="7"/>
        <v>-0.304</v>
      </c>
      <c r="E21" s="56">
        <f t="shared" si="8"/>
        <v>-6.067</v>
      </c>
      <c r="F21" s="56">
        <f t="shared" si="9"/>
        <v>-1.6954</v>
      </c>
      <c r="G21" s="57">
        <f t="shared" si="10"/>
        <v>-2.332745</v>
      </c>
      <c r="H21" s="60">
        <f>-256.25%</f>
        <v>-2.5625</v>
      </c>
      <c r="I21" s="61">
        <v>-2.9221</v>
      </c>
      <c r="J21" s="61">
        <f>-30.4%</f>
        <v>-0.304</v>
      </c>
      <c r="K21" s="61">
        <f>-606.7%</f>
        <v>-6.067</v>
      </c>
      <c r="L21" s="61">
        <f>-169.54%</f>
        <v>-1.6954</v>
      </c>
      <c r="M21" s="62">
        <f>-139.22%</f>
        <v>-1.3922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1" t="s">
        <v>35</v>
      </c>
      <c r="C22" s="14"/>
      <c r="D22" s="27">
        <f t="shared" si="7"/>
        <v>4271</v>
      </c>
      <c r="E22" s="27">
        <f t="shared" si="8"/>
        <v>1078</v>
      </c>
      <c r="F22" s="27">
        <f t="shared" si="9"/>
        <v>2621</v>
      </c>
      <c r="G22" s="27">
        <f t="shared" si="10"/>
        <v>2751.2</v>
      </c>
      <c r="H22" s="28">
        <v>4271.0</v>
      </c>
      <c r="I22" s="29">
        <f>1870</f>
        <v>1870</v>
      </c>
      <c r="J22" s="29">
        <v>4056.0</v>
      </c>
      <c r="K22" s="29">
        <v>3400.0</v>
      </c>
      <c r="L22" s="29">
        <f>2621</f>
        <v>2621</v>
      </c>
      <c r="M22" s="30">
        <f>1078</f>
        <v>1078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1"/>
      <c r="C23" s="14"/>
      <c r="D23" s="29"/>
      <c r="E23" s="29"/>
      <c r="F23" s="29"/>
      <c r="G23" s="29"/>
      <c r="H23" s="28"/>
      <c r="I23" s="29"/>
      <c r="J23" s="29"/>
      <c r="K23" s="29"/>
      <c r="L23" s="29"/>
      <c r="M23" s="3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13" t="s">
        <v>36</v>
      </c>
      <c r="C24" s="32"/>
      <c r="D24" s="63"/>
      <c r="E24" s="63"/>
      <c r="F24" s="63"/>
      <c r="G24" s="63"/>
      <c r="H24" s="64"/>
      <c r="I24" s="63"/>
      <c r="J24" s="63"/>
      <c r="K24" s="63"/>
      <c r="L24" s="63"/>
      <c r="M24" s="65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1"/>
      <c r="Y24" s="1"/>
      <c r="Z24" s="1"/>
    </row>
    <row r="25" ht="12.75" customHeight="1">
      <c r="A25" s="1"/>
      <c r="B25" s="21" t="s">
        <v>37</v>
      </c>
      <c r="C25" s="14"/>
      <c r="D25" s="42">
        <f t="shared" ref="D25:D30" si="17">MAX($H25:$M25)</f>
        <v>57064</v>
      </c>
      <c r="E25" s="42">
        <f t="shared" ref="E25:E30" si="18">MIN($H25:$M25)</f>
        <v>-12995</v>
      </c>
      <c r="F25" s="42">
        <f t="shared" ref="F25:F30" si="19">MEDIAN($I25:$M25)</f>
        <v>10184</v>
      </c>
      <c r="G25" s="42">
        <f t="shared" ref="G25:G30" si="20">SUMPRODUCT($I$4:$M$4,$I25:$M25)</f>
        <v>8274.85</v>
      </c>
      <c r="H25" s="43">
        <f>FCF!H8/1000</f>
        <v>57064</v>
      </c>
      <c r="I25" s="44">
        <f>24475</f>
        <v>24475</v>
      </c>
      <c r="J25" s="44">
        <f>-12995</f>
        <v>-12995</v>
      </c>
      <c r="K25" s="44">
        <f>10184</f>
        <v>10184</v>
      </c>
      <c r="L25" s="44">
        <f>19954</f>
        <v>19954</v>
      </c>
      <c r="M25" s="45">
        <f>841</f>
        <v>841</v>
      </c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1"/>
      <c r="Y25" s="1"/>
      <c r="Z25" s="1"/>
    </row>
    <row r="26" ht="12.75" customHeight="1">
      <c r="A26" s="1"/>
      <c r="B26" s="21" t="s">
        <v>38</v>
      </c>
      <c r="C26" s="14"/>
      <c r="D26" s="42">
        <f t="shared" si="17"/>
        <v>29567</v>
      </c>
      <c r="E26" s="42">
        <f t="shared" si="18"/>
        <v>3069</v>
      </c>
      <c r="F26" s="42">
        <f t="shared" si="19"/>
        <v>12752</v>
      </c>
      <c r="G26" s="42">
        <f t="shared" si="20"/>
        <v>15883.25</v>
      </c>
      <c r="H26" s="43">
        <f>18284</f>
        <v>18284</v>
      </c>
      <c r="I26" s="44">
        <f>12752</f>
        <v>12752</v>
      </c>
      <c r="J26" s="44">
        <f>29567</f>
        <v>29567</v>
      </c>
      <c r="K26" s="44">
        <f>3069</f>
        <v>3069</v>
      </c>
      <c r="L26" s="44">
        <f>17277</f>
        <v>17277</v>
      </c>
      <c r="M26" s="45">
        <f>3619</f>
        <v>3619</v>
      </c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1"/>
      <c r="Y26" s="1"/>
      <c r="Z26" s="1"/>
    </row>
    <row r="27" ht="12.75" customHeight="1">
      <c r="A27" s="1"/>
      <c r="B27" s="21" t="s">
        <v>39</v>
      </c>
      <c r="C27" s="14"/>
      <c r="D27" s="42">
        <f t="shared" si="17"/>
        <v>-2701</v>
      </c>
      <c r="E27" s="42">
        <f t="shared" si="18"/>
        <v>-22440</v>
      </c>
      <c r="F27" s="42">
        <f t="shared" si="19"/>
        <v>-7242</v>
      </c>
      <c r="G27" s="42">
        <f t="shared" si="20"/>
        <v>-12440.45</v>
      </c>
      <c r="H27" s="43">
        <f>-22440</f>
        <v>-22440</v>
      </c>
      <c r="I27" s="44">
        <f>-5543</f>
        <v>-5543</v>
      </c>
      <c r="J27" s="44">
        <f>-21534</f>
        <v>-21534</v>
      </c>
      <c r="K27" s="44">
        <f>-20306</f>
        <v>-20306</v>
      </c>
      <c r="L27" s="44">
        <f>-7242</f>
        <v>-7242</v>
      </c>
      <c r="M27" s="45">
        <f>-2701</f>
        <v>-2701</v>
      </c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1"/>
      <c r="Y27" s="1"/>
      <c r="Z27" s="1"/>
    </row>
    <row r="28" ht="12.75" customHeight="1">
      <c r="A28" s="1"/>
      <c r="B28" s="21" t="s">
        <v>40</v>
      </c>
      <c r="C28" s="14"/>
      <c r="D28" s="42">
        <f t="shared" si="17"/>
        <v>193538</v>
      </c>
      <c r="E28" s="42">
        <f t="shared" si="18"/>
        <v>17943</v>
      </c>
      <c r="F28" s="42">
        <f t="shared" si="19"/>
        <v>99750</v>
      </c>
      <c r="G28" s="42">
        <f t="shared" si="20"/>
        <v>119856.6</v>
      </c>
      <c r="H28" s="43">
        <f>FCF!H6/1000</f>
        <v>124438</v>
      </c>
      <c r="I28" s="44">
        <f>69996</f>
        <v>69996</v>
      </c>
      <c r="J28" s="44">
        <f>193538</f>
        <v>193538</v>
      </c>
      <c r="K28" s="44">
        <f>170182</f>
        <v>170182</v>
      </c>
      <c r="L28" s="44">
        <f>99750</f>
        <v>99750</v>
      </c>
      <c r="M28" s="45">
        <f>17943</f>
        <v>17943</v>
      </c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1"/>
      <c r="Y28" s="1"/>
      <c r="Z28" s="1"/>
    </row>
    <row r="29" ht="12.75" customHeight="1">
      <c r="A29" s="1"/>
      <c r="B29" s="21" t="s">
        <v>41</v>
      </c>
      <c r="C29" s="14"/>
      <c r="D29" s="42">
        <f t="shared" si="17"/>
        <v>-2154</v>
      </c>
      <c r="E29" s="42">
        <f t="shared" si="18"/>
        <v>-27725</v>
      </c>
      <c r="F29" s="42">
        <f t="shared" si="19"/>
        <v>-6756</v>
      </c>
      <c r="G29" s="42">
        <f t="shared" si="20"/>
        <v>-13262.5</v>
      </c>
      <c r="H29" s="43">
        <f>FCF!H20/1000</f>
        <v>-27725</v>
      </c>
      <c r="I29" s="44">
        <f>-6756</f>
        <v>-6756</v>
      </c>
      <c r="J29" s="44">
        <f>-22877</f>
        <v>-22877</v>
      </c>
      <c r="K29" s="44">
        <f>-21740</f>
        <v>-21740</v>
      </c>
      <c r="L29" s="44">
        <f>-5584</f>
        <v>-5584</v>
      </c>
      <c r="M29" s="45">
        <f>-2154</f>
        <v>-2154</v>
      </c>
      <c r="N29" s="66"/>
      <c r="O29" s="46"/>
      <c r="P29" s="46"/>
      <c r="Q29" s="46"/>
      <c r="R29" s="46"/>
      <c r="S29" s="46"/>
      <c r="T29" s="46"/>
      <c r="U29" s="46"/>
      <c r="V29" s="46"/>
      <c r="W29" s="46"/>
      <c r="X29" s="1"/>
      <c r="Y29" s="1"/>
      <c r="Z29" s="1"/>
    </row>
    <row r="30" ht="12.75" customHeight="1">
      <c r="A30" s="1"/>
      <c r="B30" s="21" t="s">
        <v>42</v>
      </c>
      <c r="C30" s="14"/>
      <c r="D30" s="42">
        <f t="shared" si="17"/>
        <v>4089</v>
      </c>
      <c r="E30" s="42">
        <f t="shared" si="18"/>
        <v>697</v>
      </c>
      <c r="F30" s="42">
        <f t="shared" si="19"/>
        <v>2147</v>
      </c>
      <c r="G30" s="42">
        <f t="shared" si="20"/>
        <v>2258.4</v>
      </c>
      <c r="H30" s="43">
        <f>1158</f>
        <v>1158</v>
      </c>
      <c r="I30" s="44">
        <f>697</f>
        <v>697</v>
      </c>
      <c r="J30" s="44">
        <f>4089</f>
        <v>4089</v>
      </c>
      <c r="K30" s="44">
        <f>3115</f>
        <v>3115</v>
      </c>
      <c r="L30" s="44">
        <f>2147</f>
        <v>2147</v>
      </c>
      <c r="M30" s="45">
        <f>1058</f>
        <v>1058</v>
      </c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1"/>
      <c r="Y30" s="1"/>
      <c r="Z30" s="1"/>
    </row>
    <row r="31" ht="12.75" customHeight="1">
      <c r="A31" s="1"/>
      <c r="B31" s="21"/>
      <c r="C31" s="14"/>
      <c r="D31" s="44"/>
      <c r="E31" s="44"/>
      <c r="F31" s="44"/>
      <c r="G31" s="44"/>
      <c r="H31" s="43"/>
      <c r="I31" s="44"/>
      <c r="J31" s="44"/>
      <c r="K31" s="44"/>
      <c r="L31" s="44"/>
      <c r="M31" s="45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1"/>
      <c r="Y31" s="1"/>
      <c r="Z31" s="1"/>
    </row>
    <row r="32" ht="15.0" customHeight="1">
      <c r="A32" s="1"/>
      <c r="B32" s="67" t="s">
        <v>43</v>
      </c>
      <c r="C32" s="68"/>
      <c r="D32" s="68"/>
      <c r="E32" s="68"/>
      <c r="F32" s="68"/>
      <c r="G32" s="68"/>
      <c r="H32" s="69"/>
      <c r="I32" s="70"/>
      <c r="J32" s="70"/>
      <c r="K32" s="70"/>
      <c r="L32" s="70"/>
      <c r="M32" s="71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1"/>
      <c r="Y32" s="1"/>
      <c r="Z32" s="1"/>
    </row>
    <row r="33" ht="12.75" customHeight="1">
      <c r="A33" s="1"/>
      <c r="B33" s="72" t="s">
        <v>44</v>
      </c>
      <c r="C33" s="4"/>
      <c r="D33" s="73">
        <f t="shared" ref="D33:D35" si="22">MAX($H33:$M33)</f>
        <v>4.973967206</v>
      </c>
      <c r="E33" s="73">
        <f t="shared" ref="E33:E35" si="23">MIN($H33:$M33)</f>
        <v>0.7238670259</v>
      </c>
      <c r="F33" s="73">
        <f t="shared" ref="F33:F35" si="24">MEDIAN($I33:$M33)</f>
        <v>1.464295262</v>
      </c>
      <c r="G33" s="73">
        <f t="shared" ref="G33:G35" si="25">SUMPRODUCT($I$4:$M$4,$I33:$M33)</f>
        <v>2.084966004</v>
      </c>
      <c r="H33" s="74">
        <f t="shared" ref="H33:M33" si="21">H$9/H12</f>
        <v>1.778663596</v>
      </c>
      <c r="I33" s="73">
        <f t="shared" si="21"/>
        <v>2.672417991</v>
      </c>
      <c r="J33" s="73">
        <f t="shared" si="21"/>
        <v>1.324044687</v>
      </c>
      <c r="K33" s="73">
        <f t="shared" si="21"/>
        <v>0.7238670259</v>
      </c>
      <c r="L33" s="73">
        <f t="shared" si="21"/>
        <v>1.464295262</v>
      </c>
      <c r="M33" s="75">
        <f t="shared" si="21"/>
        <v>4.973967206</v>
      </c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1"/>
      <c r="Y33" s="1"/>
      <c r="Z33" s="1"/>
    </row>
    <row r="34" ht="12.75" customHeight="1">
      <c r="A34" s="1"/>
      <c r="B34" s="76" t="s">
        <v>45</v>
      </c>
      <c r="C34" s="77"/>
      <c r="D34" s="78">
        <f t="shared" si="22"/>
        <v>42.54187032</v>
      </c>
      <c r="E34" s="78">
        <f t="shared" si="23"/>
        <v>8.084925762</v>
      </c>
      <c r="F34" s="78">
        <f t="shared" si="24"/>
        <v>19.79814931</v>
      </c>
      <c r="G34" s="79">
        <f t="shared" si="25"/>
        <v>19.33233012</v>
      </c>
      <c r="H34" s="80">
        <f t="shared" ref="H34:M34" si="26">H$9/H26</f>
        <v>17.65647561</v>
      </c>
      <c r="I34" s="78">
        <f t="shared" si="26"/>
        <v>19.79814931</v>
      </c>
      <c r="J34" s="78">
        <f t="shared" si="26"/>
        <v>8.084925762</v>
      </c>
      <c r="K34" s="78">
        <f t="shared" si="26"/>
        <v>42.54187032</v>
      </c>
      <c r="L34" s="78">
        <f t="shared" si="26"/>
        <v>10.14539561</v>
      </c>
      <c r="M34" s="81">
        <f t="shared" si="26"/>
        <v>25.81680022</v>
      </c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1"/>
      <c r="Y34" s="1"/>
      <c r="Z34" s="1"/>
    </row>
    <row r="35" ht="12.75" customHeight="1">
      <c r="A35" s="1"/>
      <c r="B35" s="82" t="s">
        <v>46</v>
      </c>
      <c r="C35" s="9"/>
      <c r="D35" s="83">
        <f t="shared" si="22"/>
        <v>-4.383334975</v>
      </c>
      <c r="E35" s="83">
        <f t="shared" si="23"/>
        <v>-38.64225149</v>
      </c>
      <c r="F35" s="83">
        <f t="shared" si="24"/>
        <v>-17.84700359</v>
      </c>
      <c r="G35" s="84">
        <f t="shared" si="25"/>
        <v>-21.23675908</v>
      </c>
      <c r="H35" s="85">
        <f t="shared" ref="H35:M35" si="27">H$5/H27</f>
        <v>-11.5666221</v>
      </c>
      <c r="I35" s="83">
        <f t="shared" si="27"/>
        <v>-38.64225149</v>
      </c>
      <c r="J35" s="83">
        <f t="shared" si="27"/>
        <v>-7.563063063</v>
      </c>
      <c r="K35" s="83">
        <f t="shared" si="27"/>
        <v>-4.383334975</v>
      </c>
      <c r="L35" s="83">
        <f t="shared" si="27"/>
        <v>-17.84700359</v>
      </c>
      <c r="M35" s="86">
        <f t="shared" si="27"/>
        <v>-30.00851536</v>
      </c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1"/>
      <c r="Y35" s="1"/>
      <c r="Z35" s="1"/>
    </row>
    <row r="36" ht="12.75" customHeight="1">
      <c r="A36" s="1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1"/>
      <c r="Y36" s="1"/>
      <c r="Z36" s="1"/>
    </row>
    <row r="37" ht="12.75" customHeight="1">
      <c r="A37" s="1"/>
      <c r="B37" s="88"/>
      <c r="C37" s="87"/>
      <c r="D37" s="87"/>
      <c r="E37" s="87"/>
      <c r="F37" s="87"/>
      <c r="G37" s="87"/>
      <c r="H37" s="89" t="s">
        <v>47</v>
      </c>
      <c r="I37" s="90"/>
      <c r="J37" s="90" t="s">
        <v>48</v>
      </c>
      <c r="K37" s="91" t="s">
        <v>49</v>
      </c>
      <c r="L37" s="87"/>
      <c r="M37" s="87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1"/>
      <c r="Y37" s="1"/>
      <c r="Z37" s="1"/>
    </row>
    <row r="38" ht="12.75" customHeight="1">
      <c r="A38" s="1"/>
      <c r="B38" s="88"/>
      <c r="C38" s="87"/>
      <c r="D38" s="87"/>
      <c r="E38" s="87"/>
      <c r="F38" s="87"/>
      <c r="G38" s="87"/>
      <c r="H38" s="92" t="str">
        <f t="shared" ref="H38:H39" si="28">B33</f>
        <v>EV/Revenue</v>
      </c>
      <c r="I38" s="93"/>
      <c r="J38" s="94">
        <f>($G33*$H12+$H$8-$H$6-$H$7)/$H$22</f>
        <v>73.7882228</v>
      </c>
      <c r="K38" s="95">
        <f t="shared" ref="K38:K39" si="29">50%</f>
        <v>0.5</v>
      </c>
      <c r="L38" s="96"/>
      <c r="M38" s="87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1"/>
      <c r="Y38" s="1"/>
      <c r="Z38" s="1"/>
    </row>
    <row r="39" ht="12.75" customHeight="1">
      <c r="A39" s="1"/>
      <c r="B39" s="87"/>
      <c r="C39" s="87"/>
      <c r="D39" s="87"/>
      <c r="E39" s="87"/>
      <c r="F39" s="87"/>
      <c r="G39" s="87"/>
      <c r="H39" s="21" t="str">
        <f t="shared" si="28"/>
        <v>EV/EBITDA</v>
      </c>
      <c r="I39" s="14"/>
      <c r="J39" s="97">
        <f>($G34*$H26+$H$8-$H$6-$H$7)/$H$22</f>
        <v>67.945756</v>
      </c>
      <c r="K39" s="18">
        <f t="shared" si="29"/>
        <v>0.5</v>
      </c>
      <c r="L39" s="87"/>
      <c r="M39" s="8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87"/>
      <c r="C40" s="87"/>
      <c r="D40" s="87"/>
      <c r="E40" s="87"/>
      <c r="F40" s="87"/>
      <c r="G40" s="87"/>
      <c r="H40" s="98" t="s">
        <v>50</v>
      </c>
      <c r="I40" s="99"/>
      <c r="J40" s="100">
        <f>($G35*$H27)/$H$22</f>
        <v>111.5787576</v>
      </c>
      <c r="K40" s="101">
        <f>0%</f>
        <v>0</v>
      </c>
      <c r="L40" s="87"/>
      <c r="M40" s="8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87"/>
      <c r="C41" s="87"/>
      <c r="D41" s="87"/>
      <c r="E41" s="87"/>
      <c r="F41" s="87"/>
      <c r="G41" s="87"/>
      <c r="H41" s="76" t="s">
        <v>51</v>
      </c>
      <c r="I41" s="77"/>
      <c r="J41" s="102">
        <f>SUMPRODUCT(J38:J40,K38:K40)</f>
        <v>70.8669894</v>
      </c>
      <c r="K41" s="103" t="str">
        <f>IF(ISERROR(SUM(K38:K40)),"",IF(SUM(K38:K40)=1,"","ERROR, Adjust Weights"))</f>
        <v/>
      </c>
      <c r="L41" s="87"/>
      <c r="M41" s="8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87"/>
      <c r="C42" s="87"/>
      <c r="D42" s="87"/>
      <c r="E42" s="87"/>
      <c r="F42" s="87"/>
      <c r="G42" s="87"/>
      <c r="H42" s="76" t="s">
        <v>52</v>
      </c>
      <c r="I42" s="77"/>
      <c r="J42" s="102">
        <f>H5/H22</f>
        <v>60.77148209</v>
      </c>
      <c r="K42" s="96"/>
      <c r="L42" s="87"/>
      <c r="M42" s="8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87"/>
      <c r="C43" s="87"/>
      <c r="D43" s="87"/>
      <c r="E43" s="87"/>
      <c r="F43" s="87"/>
      <c r="G43" s="87"/>
      <c r="H43" s="82" t="str">
        <f>IF(J43&gt;0,"Undervalued","Overvalued")</f>
        <v>Undervalued</v>
      </c>
      <c r="I43" s="9"/>
      <c r="J43" s="104">
        <f>(J41/J42)-1</f>
        <v>0.166122447</v>
      </c>
      <c r="K43" s="87"/>
      <c r="L43" s="87"/>
      <c r="M43" s="8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87"/>
      <c r="L44" s="87"/>
      <c r="M44" s="87"/>
      <c r="N44" s="1"/>
      <c r="O44" s="1"/>
      <c r="P44" s="1"/>
      <c r="Q44" s="105"/>
      <c r="R44" s="105"/>
      <c r="S44" s="1"/>
      <c r="T44" s="105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05"/>
      <c r="R45" s="105"/>
      <c r="S45" s="1"/>
      <c r="T45" s="105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05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06"/>
      <c r="R50" s="106"/>
      <c r="S50" s="1"/>
      <c r="T50" s="105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05"/>
      <c r="R51" s="105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0:L21 D17:M17">
    <cfRule type="expression" dxfId="0" priority="1">
      <formula>#REF!&gt;0</formula>
    </cfRule>
  </conditionalFormatting>
  <conditionalFormatting sqref="G18:H18">
    <cfRule type="expression" dxfId="0" priority="2">
      <formula>#REF!&gt;0</formula>
    </cfRule>
  </conditionalFormatting>
  <conditionalFormatting sqref="D18:M18">
    <cfRule type="expression" dxfId="0" priority="3">
      <formula>#REF!&gt;0</formula>
    </cfRule>
  </conditionalFormatting>
  <conditionalFormatting sqref="D29:H29 J29 L29:M29 D30:M30 D5:M28">
    <cfRule type="cellIs" dxfId="1" priority="4" operator="lessThan">
      <formula>0</formula>
    </cfRule>
  </conditionalFormatting>
  <conditionalFormatting sqref="H38:J42 H43:I43">
    <cfRule type="cellIs" dxfId="1" priority="5" operator="lessThan">
      <formula>0</formula>
    </cfRule>
  </conditionalFormatting>
  <conditionalFormatting sqref="I29">
    <cfRule type="cellIs" dxfId="1" priority="6" operator="lessThan">
      <formula>0</formula>
    </cfRule>
  </conditionalFormatting>
  <conditionalFormatting sqref="K29">
    <cfRule type="cellIs" dxfId="1" priority="7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4F27"/>
    <pageSetUpPr/>
  </sheetPr>
  <sheetViews>
    <sheetView workbookViewId="0"/>
  </sheetViews>
  <sheetFormatPr customHeight="1" defaultColWidth="14.43" defaultRowHeight="15.0"/>
  <cols>
    <col customWidth="1" min="1" max="2" width="2.43"/>
    <col customWidth="1" min="3" max="3" width="27.0"/>
    <col customWidth="1" min="4" max="4" width="13.57"/>
    <col customWidth="1" min="5" max="6" width="15.14"/>
    <col customWidth="1" min="7" max="7" width="14.43"/>
    <col customWidth="1" min="8" max="8" width="14.71"/>
    <col customWidth="1" min="9" max="9" width="14.14"/>
    <col customWidth="1" min="10" max="10" width="16.71"/>
    <col customWidth="1" min="11" max="11" width="14.14"/>
    <col customWidth="1" min="12" max="12" width="13.57"/>
    <col customWidth="1" min="13" max="13" width="14.14"/>
    <col customWidth="1" min="14" max="14" width="14.71"/>
    <col customWidth="1" min="15" max="28" width="15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5.75" customHeight="1">
      <c r="A3" s="1"/>
      <c r="B3" s="1"/>
      <c r="C3" s="1"/>
      <c r="D3" s="1"/>
      <c r="E3" s="1"/>
      <c r="F3" s="1"/>
      <c r="G3" s="1"/>
      <c r="H3" s="1"/>
      <c r="I3" s="10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5.75" customHeight="1">
      <c r="A4" s="1"/>
      <c r="B4" s="1"/>
      <c r="C4" s="108" t="s">
        <v>53</v>
      </c>
      <c r="D4" s="109" t="s">
        <v>54</v>
      </c>
      <c r="E4" s="109" t="s">
        <v>55</v>
      </c>
      <c r="F4" s="109" t="s">
        <v>56</v>
      </c>
      <c r="G4" s="109" t="s">
        <v>57</v>
      </c>
      <c r="H4" s="109">
        <v>2019.0</v>
      </c>
      <c r="I4" s="109" t="s">
        <v>58</v>
      </c>
      <c r="J4" s="110" t="s">
        <v>59</v>
      </c>
      <c r="K4" s="110" t="s">
        <v>60</v>
      </c>
      <c r="L4" s="110" t="s">
        <v>61</v>
      </c>
      <c r="M4" s="110" t="s">
        <v>62</v>
      </c>
      <c r="N4" s="110">
        <v>2025.0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"/>
      <c r="C5" s="111" t="s">
        <v>63</v>
      </c>
      <c r="D5" s="112"/>
      <c r="E5" s="112"/>
      <c r="F5" s="113"/>
      <c r="G5" s="112"/>
      <c r="H5" s="112"/>
      <c r="I5" s="46"/>
      <c r="J5" s="114"/>
      <c r="K5" s="114"/>
      <c r="L5" s="114"/>
      <c r="M5" s="114"/>
      <c r="N5" s="11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"/>
      <c r="C6" s="115" t="s">
        <v>64</v>
      </c>
      <c r="D6" s="116">
        <v>2.4053E7</v>
      </c>
      <c r="E6" s="116">
        <v>2.018E7</v>
      </c>
      <c r="F6" s="116">
        <v>2.3857E7</v>
      </c>
      <c r="G6" s="116">
        <v>2.5517E7</v>
      </c>
      <c r="H6" s="116">
        <v>2.3143E7</v>
      </c>
      <c r="I6" s="116">
        <v>1.4549E7</v>
      </c>
      <c r="J6" s="116">
        <f>I6*(1+15%)</f>
        <v>16731350</v>
      </c>
      <c r="K6" s="116">
        <f>J6*(1+5%)</f>
        <v>17567917.5</v>
      </c>
      <c r="L6" s="116">
        <f>K6*(1+1.92%)</f>
        <v>17905221.52</v>
      </c>
      <c r="M6" s="116">
        <f>L6*(1+2.83%)</f>
        <v>18411939.28</v>
      </c>
      <c r="N6" s="116">
        <f>M6*(1+3.5%)</f>
        <v>19056357.16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"/>
      <c r="C7" s="117" t="s">
        <v>65</v>
      </c>
      <c r="D7" s="118" t="s">
        <v>66</v>
      </c>
      <c r="E7" s="118">
        <f t="shared" ref="E7:N7" si="1">(E6-D6)/D6</f>
        <v>-0.1610194155</v>
      </c>
      <c r="F7" s="118">
        <f t="shared" si="1"/>
        <v>0.182210109</v>
      </c>
      <c r="G7" s="118">
        <f t="shared" si="1"/>
        <v>0.06958125498</v>
      </c>
      <c r="H7" s="118">
        <f t="shared" si="1"/>
        <v>-0.09303601521</v>
      </c>
      <c r="I7" s="118">
        <f t="shared" si="1"/>
        <v>-0.3713433868</v>
      </c>
      <c r="J7" s="118">
        <f t="shared" si="1"/>
        <v>0.15</v>
      </c>
      <c r="K7" s="119">
        <f t="shared" si="1"/>
        <v>0.05</v>
      </c>
      <c r="L7" s="118">
        <f t="shared" si="1"/>
        <v>0.0192</v>
      </c>
      <c r="M7" s="119">
        <f t="shared" si="1"/>
        <v>0.0283</v>
      </c>
      <c r="N7" s="119">
        <f t="shared" si="1"/>
        <v>0.035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 t="s">
        <v>67</v>
      </c>
      <c r="B8" s="1"/>
      <c r="C8" s="117" t="s">
        <v>68</v>
      </c>
      <c r="D8" s="118">
        <f t="shared" ref="D8:N8" si="2">D6/$D29</f>
        <v>0.08945559762</v>
      </c>
      <c r="E8" s="118">
        <f t="shared" si="2"/>
        <v>0.07505150958</v>
      </c>
      <c r="F8" s="118">
        <f t="shared" si="2"/>
        <v>0.08872665333</v>
      </c>
      <c r="G8" s="118">
        <f t="shared" si="2"/>
        <v>0.09490036522</v>
      </c>
      <c r="H8" s="118">
        <f t="shared" si="2"/>
        <v>0.08607121339</v>
      </c>
      <c r="I8" s="118">
        <f t="shared" si="2"/>
        <v>0.05410923751</v>
      </c>
      <c r="J8" s="118">
        <f t="shared" si="2"/>
        <v>0.06222562314</v>
      </c>
      <c r="K8" s="118">
        <f t="shared" si="2"/>
        <v>0.06533690429</v>
      </c>
      <c r="L8" s="118">
        <f t="shared" si="2"/>
        <v>0.06659137286</v>
      </c>
      <c r="M8" s="118">
        <f t="shared" si="2"/>
        <v>0.06847590871</v>
      </c>
      <c r="N8" s="118">
        <f t="shared" si="2"/>
        <v>0.07087256551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"/>
      <c r="C9" s="120"/>
      <c r="D9" s="118"/>
      <c r="E9" s="118"/>
      <c r="F9" s="118"/>
      <c r="G9" s="118"/>
      <c r="H9" s="118"/>
      <c r="I9" s="46"/>
      <c r="J9" s="121"/>
      <c r="K9" s="121"/>
      <c r="L9" s="121"/>
      <c r="M9" s="121"/>
      <c r="N9" s="12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"/>
      <c r="C10" s="115" t="s">
        <v>69</v>
      </c>
      <c r="D10" s="116">
        <v>2.07293E8</v>
      </c>
      <c r="E10" s="116">
        <v>1.72349E8</v>
      </c>
      <c r="F10" s="116">
        <v>1.84576E8</v>
      </c>
      <c r="G10" s="116">
        <v>2.21334E8</v>
      </c>
      <c r="H10" s="116">
        <v>2.04983E8</v>
      </c>
      <c r="I10" s="116">
        <v>1.40896E8</v>
      </c>
      <c r="J10" s="116">
        <f>I10*(1+15.69%)</f>
        <v>163002582.4</v>
      </c>
      <c r="K10" s="116">
        <f>J10*(1+6.53%)</f>
        <v>173646651</v>
      </c>
      <c r="L10" s="116">
        <f>K10*(1+2.39%)</f>
        <v>177796806</v>
      </c>
      <c r="M10" s="116">
        <f>L10*(1+2.32%)</f>
        <v>181921691.9</v>
      </c>
      <c r="N10" s="116">
        <f>M10*(1+2.02%)</f>
        <v>185596510.1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22"/>
    </row>
    <row r="11">
      <c r="A11" s="1"/>
      <c r="B11" s="1"/>
      <c r="C11" s="117" t="s">
        <v>65</v>
      </c>
      <c r="D11" s="118" t="s">
        <v>66</v>
      </c>
      <c r="E11" s="118">
        <f t="shared" ref="E11:N11" si="3">(E10-D10)/D10</f>
        <v>-0.1685729861</v>
      </c>
      <c r="F11" s="118">
        <f t="shared" si="3"/>
        <v>0.07094326048</v>
      </c>
      <c r="G11" s="118">
        <f t="shared" si="3"/>
        <v>0.1991483183</v>
      </c>
      <c r="H11" s="118">
        <f t="shared" si="3"/>
        <v>-0.07387477749</v>
      </c>
      <c r="I11" s="118">
        <f t="shared" si="3"/>
        <v>-0.3126454389</v>
      </c>
      <c r="J11" s="118">
        <f t="shared" si="3"/>
        <v>0.1569</v>
      </c>
      <c r="K11" s="118">
        <f t="shared" si="3"/>
        <v>0.0653</v>
      </c>
      <c r="L11" s="118">
        <f t="shared" si="3"/>
        <v>0.0239</v>
      </c>
      <c r="M11" s="118">
        <f t="shared" si="3"/>
        <v>0.0232</v>
      </c>
      <c r="N11" s="118">
        <f t="shared" si="3"/>
        <v>0.0202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"/>
      <c r="C12" s="117" t="str">
        <f>C8</f>
        <v>% of Total Revenue</v>
      </c>
      <c r="D12" s="118">
        <f t="shared" ref="D12:N12" si="4">D10/$D$29</f>
        <v>0.7709441316</v>
      </c>
      <c r="E12" s="118">
        <f t="shared" si="4"/>
        <v>0.6409837773</v>
      </c>
      <c r="F12" s="118">
        <f t="shared" si="4"/>
        <v>0.6864572563</v>
      </c>
      <c r="G12" s="118">
        <f t="shared" si="4"/>
        <v>0.8231640645</v>
      </c>
      <c r="H12" s="118">
        <f t="shared" si="4"/>
        <v>0.7623530024</v>
      </c>
      <c r="I12" s="118">
        <f t="shared" si="4"/>
        <v>0.5240068134</v>
      </c>
      <c r="J12" s="118">
        <f t="shared" si="4"/>
        <v>0.6062234824</v>
      </c>
      <c r="K12" s="118">
        <f t="shared" si="4"/>
        <v>0.6458098758</v>
      </c>
      <c r="L12" s="118">
        <f t="shared" si="4"/>
        <v>0.6612447319</v>
      </c>
      <c r="M12" s="118">
        <f t="shared" si="4"/>
        <v>0.6765856096</v>
      </c>
      <c r="N12" s="118">
        <f t="shared" si="4"/>
        <v>0.6902526389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"/>
      <c r="C13" s="120"/>
      <c r="D13" s="118"/>
      <c r="E13" s="118"/>
      <c r="F13" s="118"/>
      <c r="G13" s="118"/>
      <c r="H13" s="118"/>
      <c r="I13" s="46"/>
      <c r="J13" s="121"/>
      <c r="K13" s="121"/>
      <c r="L13" s="121"/>
      <c r="M13" s="121"/>
      <c r="N13" s="12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115" t="s">
        <v>70</v>
      </c>
      <c r="D14" s="116">
        <v>2.8134E7</v>
      </c>
      <c r="E14" s="116">
        <v>2.6058E7</v>
      </c>
      <c r="F14" s="116">
        <v>2.8694E7</v>
      </c>
      <c r="G14" s="116">
        <v>3.2443E7</v>
      </c>
      <c r="H14" s="116">
        <v>2.7416E7</v>
      </c>
      <c r="I14" s="116">
        <v>2.3091E7</v>
      </c>
      <c r="J14" s="116">
        <f>I14*(1+9.95%)</f>
        <v>25388554.5</v>
      </c>
      <c r="K14" s="116">
        <f>J14*(1+4.5%)</f>
        <v>26531039.45</v>
      </c>
      <c r="L14" s="116">
        <f>K14*(1+4.95%)</f>
        <v>27844325.91</v>
      </c>
      <c r="M14" s="116">
        <f>L14*(1+4.78%)</f>
        <v>29175284.68</v>
      </c>
      <c r="N14" s="116">
        <f>M14*(1+4.5%)</f>
        <v>30488172.49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"/>
      <c r="C15" s="117" t="s">
        <v>65</v>
      </c>
      <c r="D15" s="118" t="s">
        <v>66</v>
      </c>
      <c r="E15" s="118">
        <f t="shared" ref="E15:N15" si="5">(E14-D14)/D14</f>
        <v>-0.07378972062</v>
      </c>
      <c r="F15" s="118">
        <f t="shared" si="5"/>
        <v>0.1011589531</v>
      </c>
      <c r="G15" s="118">
        <f t="shared" si="5"/>
        <v>0.1306544922</v>
      </c>
      <c r="H15" s="118">
        <f t="shared" si="5"/>
        <v>-0.1549486792</v>
      </c>
      <c r="I15" s="118">
        <f t="shared" si="5"/>
        <v>-0.1577545959</v>
      </c>
      <c r="J15" s="119">
        <f t="shared" si="5"/>
        <v>0.0995</v>
      </c>
      <c r="K15" s="118">
        <f t="shared" si="5"/>
        <v>0.045</v>
      </c>
      <c r="L15" s="119">
        <f t="shared" si="5"/>
        <v>0.0495</v>
      </c>
      <c r="M15" s="118">
        <f t="shared" si="5"/>
        <v>0.0478</v>
      </c>
      <c r="N15" s="118">
        <f t="shared" si="5"/>
        <v>0.045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/>
      <c r="C16" s="117" t="str">
        <f>C8</f>
        <v>% of Total Revenue</v>
      </c>
      <c r="D16" s="118">
        <f t="shared" ref="D16:N16" si="6">D14/$D$29</f>
        <v>0.1046332592</v>
      </c>
      <c r="E16" s="118">
        <f t="shared" si="6"/>
        <v>0.09691240024</v>
      </c>
      <c r="F16" s="118">
        <f t="shared" si="6"/>
        <v>0.1067159572</v>
      </c>
      <c r="G16" s="118">
        <f t="shared" si="6"/>
        <v>0.1206588764</v>
      </c>
      <c r="H16" s="118">
        <f t="shared" si="6"/>
        <v>0.1019629429</v>
      </c>
      <c r="I16" s="118">
        <f t="shared" si="6"/>
        <v>0.08587782001</v>
      </c>
      <c r="J16" s="118">
        <f t="shared" si="6"/>
        <v>0.0944226631</v>
      </c>
      <c r="K16" s="118">
        <f t="shared" si="6"/>
        <v>0.09867168294</v>
      </c>
      <c r="L16" s="118">
        <f t="shared" si="6"/>
        <v>0.1035559312</v>
      </c>
      <c r="M16" s="118">
        <f t="shared" si="6"/>
        <v>0.1085059048</v>
      </c>
      <c r="N16" s="118">
        <f t="shared" si="6"/>
        <v>0.1133886705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"/>
      <c r="C17" s="120"/>
      <c r="D17" s="118"/>
      <c r="E17" s="118"/>
      <c r="F17" s="118"/>
      <c r="G17" s="118"/>
      <c r="H17" s="118"/>
      <c r="I17" s="46"/>
      <c r="J17" s="121"/>
      <c r="K17" s="121"/>
      <c r="L17" s="121"/>
      <c r="M17" s="121"/>
      <c r="N17" s="12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"/>
      <c r="C18" s="115" t="s">
        <v>71</v>
      </c>
      <c r="D18" s="116">
        <v>8000.0</v>
      </c>
      <c r="E18" s="116">
        <v>21000.0</v>
      </c>
      <c r="F18" s="113">
        <v>35000.0</v>
      </c>
      <c r="G18" s="116">
        <v>38000.0</v>
      </c>
      <c r="H18" s="116">
        <v>41000.0</v>
      </c>
      <c r="I18" s="116">
        <v>38000.0</v>
      </c>
      <c r="J18" s="116">
        <f>I18*(1+2%)</f>
        <v>38760</v>
      </c>
      <c r="K18" s="116">
        <f>J18*(1+5%)</f>
        <v>40698</v>
      </c>
      <c r="L18" s="116">
        <f>K18*(1+6%)</f>
        <v>43139.88</v>
      </c>
      <c r="M18" s="116">
        <f>L18*(1+7%)</f>
        <v>46159.6716</v>
      </c>
      <c r="N18" s="116">
        <f>M18*(1+8%)</f>
        <v>49852.44533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"/>
      <c r="C19" s="117" t="s">
        <v>65</v>
      </c>
      <c r="D19" s="118" t="s">
        <v>66</v>
      </c>
      <c r="E19" s="118">
        <f t="shared" ref="E19:N19" si="7">(E18-D18)/D18</f>
        <v>1.625</v>
      </c>
      <c r="F19" s="118">
        <f t="shared" si="7"/>
        <v>0.6666666667</v>
      </c>
      <c r="G19" s="118">
        <f t="shared" si="7"/>
        <v>0.08571428571</v>
      </c>
      <c r="H19" s="118">
        <f t="shared" si="7"/>
        <v>0.07894736842</v>
      </c>
      <c r="I19" s="118">
        <f t="shared" si="7"/>
        <v>-0.07317073171</v>
      </c>
      <c r="J19" s="118">
        <f t="shared" si="7"/>
        <v>0.02</v>
      </c>
      <c r="K19" s="118">
        <f t="shared" si="7"/>
        <v>0.05</v>
      </c>
      <c r="L19" s="118">
        <f t="shared" si="7"/>
        <v>0.06</v>
      </c>
      <c r="M19" s="118">
        <f t="shared" si="7"/>
        <v>0.07</v>
      </c>
      <c r="N19" s="118">
        <f t="shared" si="7"/>
        <v>0.08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17" t="str">
        <f>C8</f>
        <v>% of Total Revenue</v>
      </c>
      <c r="D20" s="123">
        <f t="shared" ref="D20:N20" si="8">D18/$D$29</f>
        <v>0.00002975282838</v>
      </c>
      <c r="E20" s="123">
        <f t="shared" si="8"/>
        <v>0.00007810117449</v>
      </c>
      <c r="F20" s="123">
        <f t="shared" si="8"/>
        <v>0.0001301686242</v>
      </c>
      <c r="G20" s="123">
        <f t="shared" si="8"/>
        <v>0.0001413259348</v>
      </c>
      <c r="H20" s="123">
        <f t="shared" si="8"/>
        <v>0.0001524832454</v>
      </c>
      <c r="I20" s="123">
        <f t="shared" si="8"/>
        <v>0.0001413259348</v>
      </c>
      <c r="J20" s="123">
        <f t="shared" si="8"/>
        <v>0.0001441524535</v>
      </c>
      <c r="K20" s="123">
        <f t="shared" si="8"/>
        <v>0.0001513600762</v>
      </c>
      <c r="L20" s="123">
        <f t="shared" si="8"/>
        <v>0.0001604416807</v>
      </c>
      <c r="M20" s="123">
        <f t="shared" si="8"/>
        <v>0.0001716725984</v>
      </c>
      <c r="N20" s="123">
        <f t="shared" si="8"/>
        <v>0.0001854064063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21"/>
      <c r="K21" s="121"/>
      <c r="L21" s="121"/>
      <c r="M21" s="121"/>
      <c r="N21" s="12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1"/>
      <c r="B22" s="1"/>
      <c r="C22" s="115" t="s">
        <v>72</v>
      </c>
      <c r="D22" s="116">
        <v>7644000.0</v>
      </c>
      <c r="E22" s="116">
        <v>4806000.0</v>
      </c>
      <c r="F22" s="116">
        <v>5380000.0</v>
      </c>
      <c r="G22" s="116">
        <f>7355000</f>
        <v>7355000</v>
      </c>
      <c r="H22" s="116">
        <f>5441000</f>
        <v>5441000</v>
      </c>
      <c r="I22" s="116">
        <v>1732000.0</v>
      </c>
      <c r="J22" s="116">
        <f>(1+10%)*I22</f>
        <v>1905200</v>
      </c>
      <c r="K22" s="116">
        <f>(1+15%)*J22</f>
        <v>2190980</v>
      </c>
      <c r="L22" s="116">
        <f>(1+20%)*K22</f>
        <v>2629176</v>
      </c>
      <c r="M22" s="116">
        <f>(1+25%)*L22</f>
        <v>3286470</v>
      </c>
      <c r="N22" s="116">
        <f>(1+35%)*M22</f>
        <v>4436734.5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"/>
      <c r="B23" s="1"/>
      <c r="C23" s="117" t="s">
        <v>65</v>
      </c>
      <c r="D23" s="118" t="s">
        <v>66</v>
      </c>
      <c r="E23" s="118">
        <f t="shared" ref="E23:N23" si="9">(E22-D22)/D22</f>
        <v>-0.3712715856</v>
      </c>
      <c r="F23" s="118">
        <f t="shared" si="9"/>
        <v>0.1194340408</v>
      </c>
      <c r="G23" s="118">
        <f t="shared" si="9"/>
        <v>0.3671003717</v>
      </c>
      <c r="H23" s="118">
        <f t="shared" si="9"/>
        <v>-0.2602311353</v>
      </c>
      <c r="I23" s="118">
        <f t="shared" si="9"/>
        <v>-0.6816761625</v>
      </c>
      <c r="J23" s="118">
        <f t="shared" si="9"/>
        <v>0.1</v>
      </c>
      <c r="K23" s="118">
        <f t="shared" si="9"/>
        <v>0.15</v>
      </c>
      <c r="L23" s="118">
        <f t="shared" si="9"/>
        <v>0.2</v>
      </c>
      <c r="M23" s="118">
        <f t="shared" si="9"/>
        <v>0.25</v>
      </c>
      <c r="N23" s="118">
        <f t="shared" si="9"/>
        <v>0.35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1"/>
      <c r="C24" s="117" t="s">
        <v>68</v>
      </c>
      <c r="D24" s="123">
        <f t="shared" ref="D24:N24" si="10">D22/D29</f>
        <v>0.02842882752</v>
      </c>
      <c r="E24" s="123">
        <f t="shared" si="10"/>
        <v>0.02125664547</v>
      </c>
      <c r="F24" s="123">
        <f t="shared" si="10"/>
        <v>0.02201642638</v>
      </c>
      <c r="G24" s="123">
        <f t="shared" si="10"/>
        <v>0.02534354196</v>
      </c>
      <c r="H24" s="123">
        <f t="shared" si="10"/>
        <v>0.02053688033</v>
      </c>
      <c r="I24" s="123">
        <f t="shared" si="10"/>
        <v>0.009542594572</v>
      </c>
      <c r="J24" s="123">
        <f t="shared" si="10"/>
        <v>0.009142822179</v>
      </c>
      <c r="K24" s="123">
        <f t="shared" si="10"/>
        <v>0.009891994061</v>
      </c>
      <c r="L24" s="123">
        <f t="shared" si="10"/>
        <v>0.01152974436</v>
      </c>
      <c r="M24" s="123">
        <f t="shared" si="10"/>
        <v>0.01397837882</v>
      </c>
      <c r="N24" s="123">
        <f t="shared" si="10"/>
        <v>0.01828138853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21"/>
      <c r="K25" s="121"/>
      <c r="L25" s="121"/>
      <c r="M25" s="121"/>
      <c r="N25" s="12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1"/>
      <c r="C26" s="115" t="s">
        <v>73</v>
      </c>
      <c r="D26" s="116">
        <v>1750000.0</v>
      </c>
      <c r="E26" s="116">
        <v>2680000.0</v>
      </c>
      <c r="F26" s="116">
        <v>1821000.0</v>
      </c>
      <c r="G26" s="116">
        <v>3525000.0</v>
      </c>
      <c r="H26" s="116">
        <v>3914000.0</v>
      </c>
      <c r="I26" s="116">
        <v>1196000.0</v>
      </c>
      <c r="J26" s="116">
        <f>(1+10%)*I26</f>
        <v>1315600</v>
      </c>
      <c r="K26" s="116">
        <f>(1+15%)*J26</f>
        <v>1512940</v>
      </c>
      <c r="L26" s="116">
        <f>(1+20%)*K26</f>
        <v>1815528</v>
      </c>
      <c r="M26" s="116">
        <f>(1+25%)*L26</f>
        <v>2269410</v>
      </c>
      <c r="N26" s="116">
        <f>(1+35%)*M26</f>
        <v>3063703.5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1"/>
      <c r="C27" s="117" t="s">
        <v>65</v>
      </c>
      <c r="D27" s="118" t="s">
        <v>66</v>
      </c>
      <c r="E27" s="118">
        <f t="shared" ref="E27:N27" si="11">(E26-D26)/D26</f>
        <v>0.5314285714</v>
      </c>
      <c r="F27" s="118">
        <f t="shared" si="11"/>
        <v>-0.3205223881</v>
      </c>
      <c r="G27" s="118">
        <f t="shared" si="11"/>
        <v>0.9357495881</v>
      </c>
      <c r="H27" s="118">
        <f t="shared" si="11"/>
        <v>0.1103546099</v>
      </c>
      <c r="I27" s="118">
        <f t="shared" si="11"/>
        <v>-0.6944302504</v>
      </c>
      <c r="J27" s="118">
        <f t="shared" si="11"/>
        <v>0.1</v>
      </c>
      <c r="K27" s="118">
        <f t="shared" si="11"/>
        <v>0.15</v>
      </c>
      <c r="L27" s="118">
        <f t="shared" si="11"/>
        <v>0.2</v>
      </c>
      <c r="M27" s="118">
        <f t="shared" si="11"/>
        <v>0.25</v>
      </c>
      <c r="N27" s="118">
        <f t="shared" si="11"/>
        <v>0.35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1"/>
      <c r="C28" s="117" t="s">
        <v>68</v>
      </c>
      <c r="D28" s="123">
        <f t="shared" ref="D28:N28" si="12">D26/D29</f>
        <v>0.006508431208</v>
      </c>
      <c r="E28" s="123">
        <f t="shared" si="12"/>
        <v>0.01185347687</v>
      </c>
      <c r="F28" s="123">
        <f t="shared" si="12"/>
        <v>0.007452028335</v>
      </c>
      <c r="G28" s="123">
        <f t="shared" si="12"/>
        <v>0.01214629305</v>
      </c>
      <c r="H28" s="123">
        <f t="shared" si="12"/>
        <v>0.01477326771</v>
      </c>
      <c r="I28" s="123">
        <f t="shared" si="12"/>
        <v>0.006589459069</v>
      </c>
      <c r="J28" s="123">
        <f t="shared" si="12"/>
        <v>0.006313403768</v>
      </c>
      <c r="K28" s="123">
        <f t="shared" si="12"/>
        <v>0.00683073031</v>
      </c>
      <c r="L28" s="123">
        <f t="shared" si="12"/>
        <v>0.007961647953</v>
      </c>
      <c r="M28" s="123">
        <f t="shared" si="12"/>
        <v>0.009652506387</v>
      </c>
      <c r="N28" s="123">
        <f t="shared" si="12"/>
        <v>0.01262386876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24" t="s">
        <v>74</v>
      </c>
      <c r="D29" s="125">
        <f t="shared" ref="D29:N29" si="13">D6+D10+D14+D18+D22+D26</f>
        <v>268882000</v>
      </c>
      <c r="E29" s="125">
        <f t="shared" si="13"/>
        <v>226094000</v>
      </c>
      <c r="F29" s="125">
        <f t="shared" si="13"/>
        <v>244363000</v>
      </c>
      <c r="G29" s="125">
        <f t="shared" si="13"/>
        <v>290212000</v>
      </c>
      <c r="H29" s="125">
        <f t="shared" si="13"/>
        <v>264938000</v>
      </c>
      <c r="I29" s="125">
        <f t="shared" si="13"/>
        <v>181502000</v>
      </c>
      <c r="J29" s="125">
        <f t="shared" si="13"/>
        <v>208382046.9</v>
      </c>
      <c r="K29" s="125">
        <f t="shared" si="13"/>
        <v>221490226</v>
      </c>
      <c r="L29" s="125">
        <f t="shared" si="13"/>
        <v>228034197.3</v>
      </c>
      <c r="M29" s="125">
        <f t="shared" si="13"/>
        <v>235110955.5</v>
      </c>
      <c r="N29" s="125">
        <f t="shared" si="13"/>
        <v>242691330.2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26" t="s">
        <v>65</v>
      </c>
      <c r="D30" s="127" t="s">
        <v>66</v>
      </c>
      <c r="E30" s="127">
        <f t="shared" ref="E30:N30" si="14">(E29-D29)/D29</f>
        <v>-0.1591330026</v>
      </c>
      <c r="F30" s="127">
        <f t="shared" si="14"/>
        <v>0.08080267499</v>
      </c>
      <c r="G30" s="127">
        <f t="shared" si="14"/>
        <v>0.1876266047</v>
      </c>
      <c r="H30" s="127">
        <f t="shared" si="14"/>
        <v>-0.08708805976</v>
      </c>
      <c r="I30" s="127">
        <f t="shared" si="14"/>
        <v>-0.3149265111</v>
      </c>
      <c r="J30" s="127">
        <f t="shared" si="14"/>
        <v>0.1480978</v>
      </c>
      <c r="K30" s="127">
        <f t="shared" si="14"/>
        <v>0.06290455094</v>
      </c>
      <c r="L30" s="127">
        <f t="shared" si="14"/>
        <v>0.02954519225</v>
      </c>
      <c r="M30" s="127">
        <f t="shared" si="14"/>
        <v>0.03103375863</v>
      </c>
      <c r="N30" s="127">
        <f t="shared" si="14"/>
        <v>0.03224169039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4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4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1"/>
      <c r="F72" s="1" t="s">
        <v>75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B10"/>
  </hyperlinks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4F27"/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52.43"/>
    <col customWidth="1" min="3" max="3" width="15.57"/>
    <col customWidth="1" min="4" max="4" width="15.71"/>
    <col customWidth="1" min="5" max="5" width="16.29"/>
    <col customWidth="1" min="6" max="6" width="15.43"/>
    <col customWidth="1" min="7" max="7" width="16.0"/>
    <col customWidth="1" min="8" max="8" width="16.86"/>
    <col customWidth="1" min="9" max="9" width="16.29"/>
    <col customWidth="1" min="10" max="10" width="16.86"/>
    <col customWidth="1" min="11" max="11" width="17.14"/>
    <col customWidth="1" min="12" max="12" width="16.71"/>
    <col customWidth="1" min="13" max="13" width="18.86"/>
    <col customWidth="1" min="14" max="14" width="33.57"/>
    <col customWidth="1" min="15" max="26" width="15.14"/>
  </cols>
  <sheetData>
    <row r="1">
      <c r="A1" s="1"/>
      <c r="B1" s="2" t="s">
        <v>76</v>
      </c>
      <c r="C1" s="1"/>
      <c r="D1" s="1"/>
      <c r="E1" s="1"/>
      <c r="F1" s="1"/>
      <c r="G1" s="1"/>
      <c r="H1" s="128"/>
      <c r="I1" s="129"/>
      <c r="J1" s="129"/>
      <c r="K1" s="129"/>
      <c r="L1" s="129"/>
      <c r="M1" s="129"/>
      <c r="N1" s="130"/>
      <c r="O1" s="129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28"/>
      <c r="I2" s="129"/>
      <c r="J2" s="129"/>
      <c r="K2" s="129"/>
      <c r="L2" s="129"/>
      <c r="M2" s="131"/>
      <c r="N2" s="129"/>
      <c r="O2" s="129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32"/>
      <c r="C3" s="133" t="s">
        <v>54</v>
      </c>
      <c r="D3" s="133" t="s">
        <v>55</v>
      </c>
      <c r="E3" s="133" t="s">
        <v>56</v>
      </c>
      <c r="F3" s="133" t="s">
        <v>57</v>
      </c>
      <c r="G3" s="133">
        <v>2019.0</v>
      </c>
      <c r="H3" s="133" t="s">
        <v>58</v>
      </c>
      <c r="I3" s="134" t="s">
        <v>59</v>
      </c>
      <c r="J3" s="134" t="s">
        <v>60</v>
      </c>
      <c r="K3" s="134" t="s">
        <v>61</v>
      </c>
      <c r="L3" s="134" t="s">
        <v>62</v>
      </c>
      <c r="M3" s="134">
        <v>2025.0</v>
      </c>
      <c r="N3" s="135"/>
      <c r="O3" s="135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36" t="s">
        <v>77</v>
      </c>
      <c r="C4" s="113">
        <f>'Sales Forecast'!D29</f>
        <v>268882000</v>
      </c>
      <c r="D4" s="113">
        <f>'Sales Forecast'!E29</f>
        <v>226094000</v>
      </c>
      <c r="E4" s="113">
        <f>'Sales Forecast'!F29</f>
        <v>244363000</v>
      </c>
      <c r="F4" s="113">
        <f>'Sales Forecast'!G29</f>
        <v>290212000</v>
      </c>
      <c r="G4" s="113">
        <f>'Sales Forecast'!H29</f>
        <v>264938000</v>
      </c>
      <c r="H4" s="113">
        <f>'Sales Forecast'!I29</f>
        <v>181502000</v>
      </c>
      <c r="I4" s="113">
        <f>'Sales Forecast'!J29</f>
        <v>208382046.9</v>
      </c>
      <c r="J4" s="113">
        <f>'Sales Forecast'!K29</f>
        <v>221490226</v>
      </c>
      <c r="K4" s="113">
        <f>'Sales Forecast'!L29</f>
        <v>228034197.3</v>
      </c>
      <c r="L4" s="113">
        <f>'Sales Forecast'!M29</f>
        <v>235110955.5</v>
      </c>
      <c r="M4" s="113">
        <f>'Sales Forecast'!N29</f>
        <v>242691330.2</v>
      </c>
      <c r="N4" s="87"/>
      <c r="O4" s="137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38" t="s">
        <v>65</v>
      </c>
      <c r="C5" s="139" t="str">
        <f>'Sales Forecast'!D30</f>
        <v>N/A</v>
      </c>
      <c r="D5" s="139">
        <f>'Sales Forecast'!E30</f>
        <v>-0.1591330026</v>
      </c>
      <c r="E5" s="139">
        <f>'Sales Forecast'!F30</f>
        <v>0.08080267499</v>
      </c>
      <c r="F5" s="139">
        <f>'Sales Forecast'!G30</f>
        <v>0.1876266047</v>
      </c>
      <c r="G5" s="139">
        <f>'Sales Forecast'!H30</f>
        <v>-0.08708805976</v>
      </c>
      <c r="H5" s="139">
        <f>'Sales Forecast'!I30</f>
        <v>-0.3149265111</v>
      </c>
      <c r="I5" s="139">
        <f>'Sales Forecast'!J30</f>
        <v>0.1480978</v>
      </c>
      <c r="J5" s="139">
        <f>'Sales Forecast'!K30</f>
        <v>0.06290455094</v>
      </c>
      <c r="K5" s="139">
        <f>'Sales Forecast'!L30</f>
        <v>0.02954519225</v>
      </c>
      <c r="L5" s="139">
        <f>'Sales Forecast'!M30</f>
        <v>0.03103375863</v>
      </c>
      <c r="M5" s="139">
        <f>'Sales Forecast'!N30</f>
        <v>0.03224169039</v>
      </c>
      <c r="N5" s="87"/>
      <c r="O5" s="140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36" t="s">
        <v>78</v>
      </c>
      <c r="C6" s="113">
        <f>165590000</f>
        <v>165590000</v>
      </c>
      <c r="D6" s="113">
        <f>134619000</f>
        <v>134619000</v>
      </c>
      <c r="E6" s="113">
        <f>160907000</f>
        <v>160907000</v>
      </c>
      <c r="F6" s="113">
        <f>192854000</f>
        <v>192854000</v>
      </c>
      <c r="G6" s="113">
        <f>180627000</f>
        <v>180627000</v>
      </c>
      <c r="H6" s="113">
        <f>124438000</f>
        <v>124438000</v>
      </c>
      <c r="I6" s="141">
        <f t="shared" ref="I6:M6" si="1">I4*67.11%</f>
        <v>139845191.7</v>
      </c>
      <c r="J6" s="141">
        <f t="shared" si="1"/>
        <v>148642090.7</v>
      </c>
      <c r="K6" s="141">
        <f t="shared" si="1"/>
        <v>153033749.8</v>
      </c>
      <c r="L6" s="141">
        <f t="shared" si="1"/>
        <v>157782962.3</v>
      </c>
      <c r="M6" s="141">
        <f t="shared" si="1"/>
        <v>162870151.7</v>
      </c>
      <c r="N6" s="87"/>
      <c r="O6" s="142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43" t="s">
        <v>79</v>
      </c>
      <c r="C7" s="144">
        <f t="shared" ref="C7:M7" si="2">C6/C4</f>
        <v>0.6158463564</v>
      </c>
      <c r="D7" s="144">
        <f t="shared" si="2"/>
        <v>0.5954116429</v>
      </c>
      <c r="E7" s="144">
        <f t="shared" si="2"/>
        <v>0.6584753011</v>
      </c>
      <c r="F7" s="144">
        <f t="shared" si="2"/>
        <v>0.6645280002</v>
      </c>
      <c r="G7" s="144">
        <f t="shared" si="2"/>
        <v>0.6817708294</v>
      </c>
      <c r="H7" s="144">
        <f t="shared" si="2"/>
        <v>0.6856012606</v>
      </c>
      <c r="I7" s="144">
        <f t="shared" si="2"/>
        <v>0.6711</v>
      </c>
      <c r="J7" s="144">
        <f t="shared" si="2"/>
        <v>0.6711</v>
      </c>
      <c r="K7" s="144">
        <f t="shared" si="2"/>
        <v>0.6711</v>
      </c>
      <c r="L7" s="144">
        <f t="shared" si="2"/>
        <v>0.6711</v>
      </c>
      <c r="M7" s="144">
        <f t="shared" si="2"/>
        <v>0.6711</v>
      </c>
      <c r="N7" s="87"/>
      <c r="O7" s="140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6" t="s">
        <v>37</v>
      </c>
      <c r="C8" s="113">
        <f t="shared" ref="C8:M8" si="3">C4-C6</f>
        <v>103292000</v>
      </c>
      <c r="D8" s="113">
        <f t="shared" si="3"/>
        <v>91475000</v>
      </c>
      <c r="E8" s="113">
        <f t="shared" si="3"/>
        <v>83456000</v>
      </c>
      <c r="F8" s="113">
        <f t="shared" si="3"/>
        <v>97358000</v>
      </c>
      <c r="G8" s="113">
        <f t="shared" si="3"/>
        <v>84311000</v>
      </c>
      <c r="H8" s="113">
        <f t="shared" si="3"/>
        <v>57064000</v>
      </c>
      <c r="I8" s="113">
        <f t="shared" si="3"/>
        <v>68536855.23</v>
      </c>
      <c r="J8" s="113">
        <f t="shared" si="3"/>
        <v>72848135.33</v>
      </c>
      <c r="K8" s="113">
        <f t="shared" si="3"/>
        <v>75000447.49</v>
      </c>
      <c r="L8" s="113">
        <f t="shared" si="3"/>
        <v>77327993.27</v>
      </c>
      <c r="M8" s="113">
        <f t="shared" si="3"/>
        <v>79821178.49</v>
      </c>
      <c r="N8" s="87"/>
      <c r="O8" s="140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38" t="s">
        <v>29</v>
      </c>
      <c r="C9" s="139">
        <f t="shared" ref="C9:M9" si="4">C8/C4</f>
        <v>0.3841536436</v>
      </c>
      <c r="D9" s="139">
        <f t="shared" si="4"/>
        <v>0.4045883571</v>
      </c>
      <c r="E9" s="139">
        <f t="shared" si="4"/>
        <v>0.3415246989</v>
      </c>
      <c r="F9" s="139">
        <f t="shared" si="4"/>
        <v>0.3354719998</v>
      </c>
      <c r="G9" s="139">
        <f t="shared" si="4"/>
        <v>0.3182291706</v>
      </c>
      <c r="H9" s="139">
        <f t="shared" si="4"/>
        <v>0.3143987394</v>
      </c>
      <c r="I9" s="139">
        <f t="shared" si="4"/>
        <v>0.3289</v>
      </c>
      <c r="J9" s="139">
        <f t="shared" si="4"/>
        <v>0.3289</v>
      </c>
      <c r="K9" s="139">
        <f t="shared" si="4"/>
        <v>0.3289</v>
      </c>
      <c r="L9" s="139">
        <f t="shared" si="4"/>
        <v>0.3289</v>
      </c>
      <c r="M9" s="139">
        <f t="shared" si="4"/>
        <v>0.3289</v>
      </c>
      <c r="N9" s="87"/>
      <c r="O9" s="140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36" t="s">
        <v>80</v>
      </c>
      <c r="C10" s="113">
        <f>11501000</f>
        <v>11501000</v>
      </c>
      <c r="D10" s="113">
        <f>10443000</f>
        <v>10443000</v>
      </c>
      <c r="E10" s="113">
        <f>10649000</f>
        <v>10649000</v>
      </c>
      <c r="F10" s="113">
        <f>11480000</f>
        <v>11480000</v>
      </c>
      <c r="G10" s="113">
        <v>1.1398E7</v>
      </c>
      <c r="H10" s="113">
        <f>10168000</f>
        <v>10168000</v>
      </c>
      <c r="I10" s="145">
        <f>I4*5%</f>
        <v>10419102.35</v>
      </c>
      <c r="J10" s="145">
        <f t="shared" ref="J10:M10" si="5">J4*4.5%</f>
        <v>9967060.169</v>
      </c>
      <c r="K10" s="145">
        <f t="shared" si="5"/>
        <v>10261538.88</v>
      </c>
      <c r="L10" s="145">
        <f t="shared" si="5"/>
        <v>10579993</v>
      </c>
      <c r="M10" s="145">
        <f t="shared" si="5"/>
        <v>10921109.86</v>
      </c>
      <c r="N10" s="129"/>
      <c r="O10" s="14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38" t="str">
        <f>+B7</f>
        <v>% of Revenue</v>
      </c>
      <c r="C11" s="139">
        <f t="shared" ref="C11:M11" si="6">C10/C4</f>
        <v>0.0427734099</v>
      </c>
      <c r="D11" s="139">
        <f t="shared" si="6"/>
        <v>0.04618875335</v>
      </c>
      <c r="E11" s="139">
        <f t="shared" si="6"/>
        <v>0.04357861051</v>
      </c>
      <c r="F11" s="139">
        <f t="shared" si="6"/>
        <v>0.03955728915</v>
      </c>
      <c r="G11" s="139">
        <f t="shared" si="6"/>
        <v>0.04302138614</v>
      </c>
      <c r="H11" s="139">
        <f t="shared" si="6"/>
        <v>0.05602142125</v>
      </c>
      <c r="I11" s="139">
        <f t="shared" si="6"/>
        <v>0.05</v>
      </c>
      <c r="J11" s="139">
        <f t="shared" si="6"/>
        <v>0.045</v>
      </c>
      <c r="K11" s="139">
        <f t="shared" si="6"/>
        <v>0.045</v>
      </c>
      <c r="L11" s="139">
        <f t="shared" si="6"/>
        <v>0.045</v>
      </c>
      <c r="M11" s="139">
        <f t="shared" si="6"/>
        <v>0.045</v>
      </c>
      <c r="N11" s="87"/>
      <c r="O11" s="14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36" t="s">
        <v>81</v>
      </c>
      <c r="C12" s="113">
        <v>1523000.0</v>
      </c>
      <c r="D12" s="113">
        <v>1467000.0</v>
      </c>
      <c r="E12" s="113">
        <v>1790000.0</v>
      </c>
      <c r="F12" s="113">
        <v>1466000.0</v>
      </c>
      <c r="G12" s="113">
        <v>1269000.0</v>
      </c>
      <c r="H12" s="113">
        <v>1285000.0</v>
      </c>
      <c r="I12" s="145">
        <f t="shared" ref="I12:M12" si="7">0.607%*I4</f>
        <v>1264879.025</v>
      </c>
      <c r="J12" s="145">
        <f t="shared" si="7"/>
        <v>1344445.672</v>
      </c>
      <c r="K12" s="145">
        <f t="shared" si="7"/>
        <v>1384167.578</v>
      </c>
      <c r="L12" s="145">
        <f t="shared" si="7"/>
        <v>1427123.5</v>
      </c>
      <c r="M12" s="145">
        <f t="shared" si="7"/>
        <v>1473136.374</v>
      </c>
      <c r="N12" s="87"/>
      <c r="O12" s="14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38" t="s">
        <v>79</v>
      </c>
      <c r="C13" s="147">
        <f t="shared" ref="C13:M13" si="8">C12/C4</f>
        <v>0.005664194703</v>
      </c>
      <c r="D13" s="147">
        <f t="shared" si="8"/>
        <v>0.006488451706</v>
      </c>
      <c r="E13" s="147">
        <f t="shared" si="8"/>
        <v>0.007325167885</v>
      </c>
      <c r="F13" s="147">
        <f t="shared" si="8"/>
        <v>0.005051479608</v>
      </c>
      <c r="G13" s="147">
        <f t="shared" si="8"/>
        <v>0.004789799878</v>
      </c>
      <c r="H13" s="147">
        <f t="shared" si="8"/>
        <v>0.007079811793</v>
      </c>
      <c r="I13" s="147">
        <f t="shared" si="8"/>
        <v>0.00607</v>
      </c>
      <c r="J13" s="147">
        <f t="shared" si="8"/>
        <v>0.00607</v>
      </c>
      <c r="K13" s="147">
        <f t="shared" si="8"/>
        <v>0.00607</v>
      </c>
      <c r="L13" s="147">
        <f t="shared" si="8"/>
        <v>0.00607</v>
      </c>
      <c r="M13" s="147">
        <f t="shared" si="8"/>
        <v>0.00607</v>
      </c>
      <c r="N13" s="87"/>
      <c r="O13" s="14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36" t="s">
        <v>82</v>
      </c>
      <c r="C14" s="148" t="s">
        <v>66</v>
      </c>
      <c r="D14" s="113">
        <v>1835000.0</v>
      </c>
      <c r="E14" s="113">
        <v>1745000.0</v>
      </c>
      <c r="F14" s="113">
        <v>1285000.0</v>
      </c>
      <c r="G14" s="113">
        <v>1235000.0</v>
      </c>
      <c r="H14" s="113">
        <v>1205000.0</v>
      </c>
      <c r="I14" s="145">
        <f t="shared" ref="I14:M14" si="9">0.62%*I4</f>
        <v>1291968.691</v>
      </c>
      <c r="J14" s="145">
        <f t="shared" si="9"/>
        <v>1373239.401</v>
      </c>
      <c r="K14" s="145">
        <f t="shared" si="9"/>
        <v>1413812.023</v>
      </c>
      <c r="L14" s="145">
        <f t="shared" si="9"/>
        <v>1457687.924</v>
      </c>
      <c r="M14" s="145">
        <f t="shared" si="9"/>
        <v>1504686.247</v>
      </c>
      <c r="N14" s="87"/>
      <c r="O14" s="9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38" t="s">
        <v>79</v>
      </c>
      <c r="C15" s="147" t="s">
        <v>66</v>
      </c>
      <c r="D15" s="147">
        <f t="shared" ref="D15:M15" si="10">D14/D4</f>
        <v>0.008116093306</v>
      </c>
      <c r="E15" s="147">
        <f t="shared" si="10"/>
        <v>0.00714101562</v>
      </c>
      <c r="F15" s="147">
        <f t="shared" si="10"/>
        <v>0.00442779761</v>
      </c>
      <c r="G15" s="147">
        <f t="shared" si="10"/>
        <v>0.004661467966</v>
      </c>
      <c r="H15" s="147">
        <f t="shared" si="10"/>
        <v>0.0066390453</v>
      </c>
      <c r="I15" s="147">
        <f t="shared" si="10"/>
        <v>0.0062</v>
      </c>
      <c r="J15" s="147">
        <f t="shared" si="10"/>
        <v>0.0062</v>
      </c>
      <c r="K15" s="147">
        <f t="shared" si="10"/>
        <v>0.0062</v>
      </c>
      <c r="L15" s="147">
        <f t="shared" si="10"/>
        <v>0.0062</v>
      </c>
      <c r="M15" s="147">
        <f t="shared" si="10"/>
        <v>0.0062</v>
      </c>
      <c r="N15" s="87"/>
      <c r="O15" s="9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49"/>
      <c r="B16" s="136" t="s">
        <v>83</v>
      </c>
      <c r="C16" s="113">
        <v>2.7265E7</v>
      </c>
      <c r="D16" s="113">
        <v>2.902E7</v>
      </c>
      <c r="E16" s="113">
        <v>3.0104E7</v>
      </c>
      <c r="F16" s="113">
        <v>3.2663E7</v>
      </c>
      <c r="G16" s="113">
        <f>30525000</f>
        <v>30525000</v>
      </c>
      <c r="H16" s="113">
        <v>2.6122E7</v>
      </c>
      <c r="I16" s="145">
        <f t="shared" ref="I16:M16" si="11">12.077%*I4</f>
        <v>25166299.8</v>
      </c>
      <c r="J16" s="145">
        <f t="shared" si="11"/>
        <v>26749374.59</v>
      </c>
      <c r="K16" s="145">
        <f t="shared" si="11"/>
        <v>27539690.01</v>
      </c>
      <c r="L16" s="145">
        <f t="shared" si="11"/>
        <v>28394350.1</v>
      </c>
      <c r="M16" s="145">
        <f t="shared" si="11"/>
        <v>29309831.94</v>
      </c>
      <c r="N16" s="87"/>
      <c r="O16" s="96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</row>
    <row r="17" ht="15.75" customHeight="1">
      <c r="A17" s="149"/>
      <c r="B17" s="138" t="s">
        <v>79</v>
      </c>
      <c r="C17" s="150">
        <f t="shared" ref="C17:M17" si="12">C16/C4</f>
        <v>0.1014013582</v>
      </c>
      <c r="D17" s="150">
        <f t="shared" si="12"/>
        <v>0.1283536936</v>
      </c>
      <c r="E17" s="150">
        <f t="shared" si="12"/>
        <v>0.1231937732</v>
      </c>
      <c r="F17" s="150">
        <f t="shared" si="12"/>
        <v>0.1125487575</v>
      </c>
      <c r="G17" s="150">
        <f t="shared" si="12"/>
        <v>0.1152156354</v>
      </c>
      <c r="H17" s="150">
        <f t="shared" si="12"/>
        <v>0.1439212791</v>
      </c>
      <c r="I17" s="150">
        <f t="shared" si="12"/>
        <v>0.12077</v>
      </c>
      <c r="J17" s="150">
        <f t="shared" si="12"/>
        <v>0.12077</v>
      </c>
      <c r="K17" s="150">
        <f t="shared" si="12"/>
        <v>0.12077</v>
      </c>
      <c r="L17" s="150">
        <f t="shared" si="12"/>
        <v>0.12077</v>
      </c>
      <c r="M17" s="150">
        <f t="shared" si="12"/>
        <v>0.12077</v>
      </c>
      <c r="N17" s="129"/>
      <c r="O17" s="146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</row>
    <row r="18">
      <c r="A18" s="1"/>
      <c r="B18" s="136" t="s">
        <v>84</v>
      </c>
      <c r="C18" s="113">
        <f>18048000</f>
        <v>18048000</v>
      </c>
      <c r="D18" s="113">
        <f>22308000</f>
        <v>22308000</v>
      </c>
      <c r="E18" s="113">
        <f>19893000</f>
        <v>19893000</v>
      </c>
      <c r="F18" s="113">
        <f>18745000</f>
        <v>18745000</v>
      </c>
      <c r="G18" s="113">
        <f>18998000</f>
        <v>18998000</v>
      </c>
      <c r="H18" s="113">
        <f>46009000</f>
        <v>46009000</v>
      </c>
      <c r="I18" s="145">
        <f>16%*I46</f>
        <v>37500734.4</v>
      </c>
      <c r="J18" s="145">
        <f>11.8%*J46</f>
        <v>27103655.79</v>
      </c>
      <c r="K18" s="145">
        <f t="shared" ref="K18:M18" si="13">7.6%*K46</f>
        <v>17893006.66</v>
      </c>
      <c r="L18" s="145">
        <f t="shared" si="13"/>
        <v>17445681.49</v>
      </c>
      <c r="M18" s="145">
        <f t="shared" si="13"/>
        <v>17951606.26</v>
      </c>
      <c r="N18" s="135"/>
      <c r="O18" s="13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43" t="s">
        <v>85</v>
      </c>
      <c r="C19" s="144">
        <f t="shared" ref="C19:M19" si="14">C18/C46</f>
        <v>0.07173148387</v>
      </c>
      <c r="D19" s="144">
        <f t="shared" si="14"/>
        <v>0.09134237421</v>
      </c>
      <c r="E19" s="144">
        <f t="shared" si="14"/>
        <v>0.07874361715</v>
      </c>
      <c r="F19" s="144">
        <f t="shared" si="14"/>
        <v>0.07585966872</v>
      </c>
      <c r="G19" s="144">
        <f t="shared" si="14"/>
        <v>0.07508556703</v>
      </c>
      <c r="H19" s="144">
        <f t="shared" si="14"/>
        <v>0.202190259</v>
      </c>
      <c r="I19" s="144">
        <f t="shared" si="14"/>
        <v>0.16</v>
      </c>
      <c r="J19" s="144">
        <f t="shared" si="14"/>
        <v>0.118</v>
      </c>
      <c r="K19" s="144">
        <f t="shared" si="14"/>
        <v>0.076</v>
      </c>
      <c r="L19" s="144">
        <f t="shared" si="14"/>
        <v>0.076</v>
      </c>
      <c r="M19" s="144">
        <f t="shared" si="14"/>
        <v>0.076</v>
      </c>
      <c r="N19" s="87"/>
      <c r="O19" s="14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36" t="s">
        <v>86</v>
      </c>
      <c r="C20" s="113">
        <f>C8-C10-C12-C16-C18</f>
        <v>44955000</v>
      </c>
      <c r="D20" s="113">
        <f t="shared" ref="D20:G20" si="15">D8-D10-D12-D16-D18-D14</f>
        <v>26402000</v>
      </c>
      <c r="E20" s="113">
        <f t="shared" si="15"/>
        <v>19275000</v>
      </c>
      <c r="F20" s="113">
        <f t="shared" si="15"/>
        <v>31719000</v>
      </c>
      <c r="G20" s="113">
        <f t="shared" si="15"/>
        <v>20886000</v>
      </c>
      <c r="H20" s="113">
        <f t="shared" ref="H20:M20" si="16">H8-H10-H12-H14-H16-H18</f>
        <v>-27725000</v>
      </c>
      <c r="I20" s="113">
        <f t="shared" si="16"/>
        <v>-7106129.039</v>
      </c>
      <c r="J20" s="113">
        <f t="shared" si="16"/>
        <v>6310359.704</v>
      </c>
      <c r="K20" s="113">
        <f t="shared" si="16"/>
        <v>16508232.34</v>
      </c>
      <c r="L20" s="113">
        <f t="shared" si="16"/>
        <v>18023157.26</v>
      </c>
      <c r="M20" s="113">
        <f t="shared" si="16"/>
        <v>18660807.81</v>
      </c>
      <c r="N20" s="87"/>
      <c r="O20" s="15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38" t="s">
        <v>87</v>
      </c>
      <c r="C21" s="139">
        <f t="shared" ref="C21:M21" si="17">C20/C4</f>
        <v>0.1671923</v>
      </c>
      <c r="D21" s="139">
        <f t="shared" si="17"/>
        <v>0.116774439</v>
      </c>
      <c r="E21" s="139">
        <f t="shared" si="17"/>
        <v>0.07887855363</v>
      </c>
      <c r="F21" s="139">
        <f t="shared" si="17"/>
        <v>0.109295963</v>
      </c>
      <c r="G21" s="139">
        <f t="shared" si="17"/>
        <v>0.07883353841</v>
      </c>
      <c r="H21" s="139">
        <f t="shared" si="17"/>
        <v>-0.1527531377</v>
      </c>
      <c r="I21" s="139">
        <f t="shared" si="17"/>
        <v>-0.03410144561</v>
      </c>
      <c r="J21" s="139">
        <f t="shared" si="17"/>
        <v>0.02849046578</v>
      </c>
      <c r="K21" s="139">
        <f t="shared" si="17"/>
        <v>0.07239366963</v>
      </c>
      <c r="L21" s="139">
        <f t="shared" si="17"/>
        <v>0.07665809199</v>
      </c>
      <c r="M21" s="139">
        <f t="shared" si="17"/>
        <v>0.07689111844</v>
      </c>
      <c r="N21" s="87"/>
      <c r="O21" s="15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38"/>
      <c r="C22" s="119"/>
      <c r="D22" s="119"/>
      <c r="E22" s="119"/>
      <c r="F22" s="119"/>
      <c r="G22" s="119"/>
      <c r="H22" s="119"/>
      <c r="I22" s="152"/>
      <c r="J22" s="152"/>
      <c r="K22" s="152"/>
      <c r="L22" s="152"/>
      <c r="M22" s="152"/>
      <c r="N22" s="87"/>
      <c r="O22" s="15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38"/>
      <c r="C23" s="119"/>
      <c r="D23" s="119"/>
      <c r="E23" s="119"/>
      <c r="F23" s="119"/>
      <c r="G23" s="119"/>
      <c r="H23" s="119"/>
      <c r="I23" s="152"/>
      <c r="J23" s="152"/>
      <c r="K23" s="152"/>
      <c r="L23" s="152"/>
      <c r="M23" s="152"/>
      <c r="N23" s="87"/>
      <c r="O23" s="15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" t="s">
        <v>88</v>
      </c>
      <c r="C24" s="153">
        <f t="shared" ref="C24:M24" si="18">C20</f>
        <v>44955000</v>
      </c>
      <c r="D24" s="153">
        <f t="shared" si="18"/>
        <v>26402000</v>
      </c>
      <c r="E24" s="153">
        <f t="shared" si="18"/>
        <v>19275000</v>
      </c>
      <c r="F24" s="153">
        <f t="shared" si="18"/>
        <v>31719000</v>
      </c>
      <c r="G24" s="153">
        <f t="shared" si="18"/>
        <v>20886000</v>
      </c>
      <c r="H24" s="153">
        <f t="shared" si="18"/>
        <v>-27725000</v>
      </c>
      <c r="I24" s="153">
        <f t="shared" si="18"/>
        <v>-7106129.039</v>
      </c>
      <c r="J24" s="153">
        <f t="shared" si="18"/>
        <v>6310359.704</v>
      </c>
      <c r="K24" s="153">
        <f t="shared" si="18"/>
        <v>16508232.34</v>
      </c>
      <c r="L24" s="153">
        <f t="shared" si="18"/>
        <v>18023157.26</v>
      </c>
      <c r="M24" s="153">
        <f t="shared" si="18"/>
        <v>18660807.81</v>
      </c>
      <c r="N24" s="87"/>
      <c r="O24" s="15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1" t="s">
        <v>89</v>
      </c>
      <c r="C25" s="154">
        <f>5415000</f>
        <v>5415000</v>
      </c>
      <c r="D25" s="154">
        <f>-406000</f>
        <v>-406000</v>
      </c>
      <c r="E25" s="154">
        <f>-1174000</f>
        <v>-1174000</v>
      </c>
      <c r="F25" s="154">
        <f>9532000</f>
        <v>9532000</v>
      </c>
      <c r="G25" s="154">
        <f>5282000</f>
        <v>5282000</v>
      </c>
      <c r="H25" s="154">
        <f>-5632000</f>
        <v>-5632000</v>
      </c>
      <c r="I25" s="155">
        <f t="shared" ref="I25:M25" si="19">I45*I20</f>
        <v>-1563348.389</v>
      </c>
      <c r="J25" s="155">
        <f t="shared" si="19"/>
        <v>1388279.135</v>
      </c>
      <c r="K25" s="155">
        <f t="shared" si="19"/>
        <v>3631811.116</v>
      </c>
      <c r="L25" s="155">
        <f t="shared" si="19"/>
        <v>3965094.597</v>
      </c>
      <c r="M25" s="155">
        <f t="shared" si="19"/>
        <v>4105377.719</v>
      </c>
      <c r="N25" s="129"/>
      <c r="O25" s="15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56" t="s">
        <v>90</v>
      </c>
      <c r="C26" s="148">
        <f t="shared" ref="C26:M26" si="20">C18</f>
        <v>18048000</v>
      </c>
      <c r="D26" s="148">
        <f t="shared" si="20"/>
        <v>22308000</v>
      </c>
      <c r="E26" s="148">
        <f t="shared" si="20"/>
        <v>19893000</v>
      </c>
      <c r="F26" s="148">
        <f t="shared" si="20"/>
        <v>18745000</v>
      </c>
      <c r="G26" s="148">
        <f t="shared" si="20"/>
        <v>18998000</v>
      </c>
      <c r="H26" s="148">
        <f t="shared" si="20"/>
        <v>46009000</v>
      </c>
      <c r="I26" s="148">
        <f t="shared" si="20"/>
        <v>37500734.4</v>
      </c>
      <c r="J26" s="148">
        <f t="shared" si="20"/>
        <v>27103655.79</v>
      </c>
      <c r="K26" s="148">
        <f t="shared" si="20"/>
        <v>17893006.66</v>
      </c>
      <c r="L26" s="148">
        <f t="shared" si="20"/>
        <v>17445681.49</v>
      </c>
      <c r="M26" s="148">
        <f t="shared" si="20"/>
        <v>17951606.26</v>
      </c>
      <c r="N26" s="87"/>
      <c r="O26" s="15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57"/>
      <c r="B27" s="156" t="s">
        <v>91</v>
      </c>
      <c r="C27" s="148">
        <f>370000</f>
        <v>370000</v>
      </c>
      <c r="D27" s="113">
        <f t="shared" ref="D27:M27" si="21">D44-C44</f>
        <v>5131000</v>
      </c>
      <c r="E27" s="113">
        <f t="shared" si="21"/>
        <v>-4415000</v>
      </c>
      <c r="F27" s="113">
        <f t="shared" si="21"/>
        <v>1172000</v>
      </c>
      <c r="G27" s="113">
        <f t="shared" si="21"/>
        <v>-4472000</v>
      </c>
      <c r="H27" s="113">
        <f t="shared" si="21"/>
        <v>2467000</v>
      </c>
      <c r="I27" s="113">
        <f t="shared" si="21"/>
        <v>-2847386</v>
      </c>
      <c r="J27" s="113">
        <f t="shared" si="21"/>
        <v>3265773.575</v>
      </c>
      <c r="K27" s="113">
        <f t="shared" si="21"/>
        <v>-2977611.301</v>
      </c>
      <c r="L27" s="113">
        <f t="shared" si="21"/>
        <v>3367031.467</v>
      </c>
      <c r="M27" s="113">
        <f t="shared" si="21"/>
        <v>-3121641.66</v>
      </c>
      <c r="N27" s="87"/>
      <c r="O27" s="158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ht="15.75" customHeight="1">
      <c r="A28" s="157"/>
      <c r="B28" s="21" t="s">
        <v>92</v>
      </c>
      <c r="C28" s="154">
        <f>31051000</f>
        <v>31051000</v>
      </c>
      <c r="D28" s="154">
        <f>19304000</f>
        <v>19304000</v>
      </c>
      <c r="E28" s="154">
        <f>23080000</f>
        <v>23080000</v>
      </c>
      <c r="F28" s="154">
        <f>25923000</f>
        <v>25923000</v>
      </c>
      <c r="G28" s="154">
        <f>31148000</f>
        <v>31148000</v>
      </c>
      <c r="H28" s="154">
        <f>21374000</f>
        <v>21374000</v>
      </c>
      <c r="I28" s="159">
        <f t="shared" ref="I28:M28" si="22">10%*I46</f>
        <v>23437959</v>
      </c>
      <c r="J28" s="159">
        <f t="shared" si="22"/>
        <v>22969199.82</v>
      </c>
      <c r="K28" s="159">
        <f t="shared" si="22"/>
        <v>23543429.82</v>
      </c>
      <c r="L28" s="159">
        <f t="shared" si="22"/>
        <v>22954844.07</v>
      </c>
      <c r="M28" s="159">
        <f t="shared" si="22"/>
        <v>23620534.55</v>
      </c>
      <c r="N28" s="70"/>
      <c r="O28" s="160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ht="15.75" customHeight="1">
      <c r="A29" s="157"/>
      <c r="B29" s="138" t="str">
        <f>B19</f>
        <v>% of PPE</v>
      </c>
      <c r="C29" s="161">
        <f t="shared" ref="C29:M29" si="23">C28/C46</f>
        <v>0.1234116969</v>
      </c>
      <c r="D29" s="162">
        <f t="shared" si="23"/>
        <v>0.07904219078</v>
      </c>
      <c r="E29" s="162">
        <f t="shared" si="23"/>
        <v>0.09135890433</v>
      </c>
      <c r="F29" s="162">
        <f t="shared" si="23"/>
        <v>0.1049085192</v>
      </c>
      <c r="G29" s="162">
        <f t="shared" si="23"/>
        <v>0.123105866</v>
      </c>
      <c r="H29" s="162">
        <f t="shared" si="23"/>
        <v>0.09392976581</v>
      </c>
      <c r="I29" s="162">
        <f t="shared" si="23"/>
        <v>0.1</v>
      </c>
      <c r="J29" s="162">
        <f t="shared" si="23"/>
        <v>0.1</v>
      </c>
      <c r="K29" s="162">
        <f t="shared" si="23"/>
        <v>0.1</v>
      </c>
      <c r="L29" s="162">
        <f t="shared" si="23"/>
        <v>0.1</v>
      </c>
      <c r="M29" s="162">
        <f t="shared" si="23"/>
        <v>0.1</v>
      </c>
      <c r="N29" s="70"/>
      <c r="O29" s="160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ht="15.75" customHeight="1">
      <c r="A30" s="157"/>
      <c r="B30" s="163" t="s">
        <v>93</v>
      </c>
      <c r="C30" s="164">
        <f t="shared" ref="C30:M30" si="24">C24-C25+C26-C27-C28</f>
        <v>26167000</v>
      </c>
      <c r="D30" s="164">
        <f t="shared" si="24"/>
        <v>24681000</v>
      </c>
      <c r="E30" s="164">
        <f t="shared" si="24"/>
        <v>21677000</v>
      </c>
      <c r="F30" s="164">
        <f t="shared" si="24"/>
        <v>13837000</v>
      </c>
      <c r="G30" s="164">
        <f t="shared" si="24"/>
        <v>7926000</v>
      </c>
      <c r="H30" s="164">
        <f t="shared" si="24"/>
        <v>75000</v>
      </c>
      <c r="I30" s="164">
        <f t="shared" si="24"/>
        <v>11367380.75</v>
      </c>
      <c r="J30" s="164">
        <f t="shared" si="24"/>
        <v>5790762.962</v>
      </c>
      <c r="K30" s="164">
        <f t="shared" si="24"/>
        <v>10203609.37</v>
      </c>
      <c r="L30" s="164">
        <f t="shared" si="24"/>
        <v>5181868.618</v>
      </c>
      <c r="M30" s="164">
        <f t="shared" si="24"/>
        <v>12008143.46</v>
      </c>
      <c r="N30" s="165"/>
      <c r="O30" s="166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ht="15.75" customHeight="1">
      <c r="A31" s="1"/>
      <c r="B31" s="138" t="s">
        <v>65</v>
      </c>
      <c r="C31" s="167" t="s">
        <v>66</v>
      </c>
      <c r="D31" s="167" t="s">
        <v>66</v>
      </c>
      <c r="E31" s="168">
        <f t="shared" ref="E31:M31" si="25">(E30-D30)/D30</f>
        <v>-0.1217130586</v>
      </c>
      <c r="F31" s="168">
        <f t="shared" si="25"/>
        <v>-0.3616736633</v>
      </c>
      <c r="G31" s="168">
        <f t="shared" si="25"/>
        <v>-0.4271879743</v>
      </c>
      <c r="H31" s="168">
        <f t="shared" si="25"/>
        <v>-0.9905374716</v>
      </c>
      <c r="I31" s="168">
        <f t="shared" si="25"/>
        <v>150.5650767</v>
      </c>
      <c r="J31" s="168">
        <f t="shared" si="25"/>
        <v>-0.490580716</v>
      </c>
      <c r="K31" s="168">
        <f t="shared" si="25"/>
        <v>0.7620492222</v>
      </c>
      <c r="L31" s="168">
        <f t="shared" si="25"/>
        <v>-0.4921533716</v>
      </c>
      <c r="M31" s="168">
        <f t="shared" si="25"/>
        <v>1.317338464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69" t="s">
        <v>94</v>
      </c>
      <c r="C32" s="170" t="s">
        <v>66</v>
      </c>
      <c r="D32" s="170" t="s">
        <v>66</v>
      </c>
      <c r="E32" s="170" t="s">
        <v>66</v>
      </c>
      <c r="F32" s="170" t="s">
        <v>66</v>
      </c>
      <c r="G32" s="170" t="s">
        <v>66</v>
      </c>
      <c r="H32" s="170" t="s">
        <v>66</v>
      </c>
      <c r="I32" s="170">
        <f>I30/((1+WACC)^1)</f>
        <v>10540409.75</v>
      </c>
      <c r="J32" s="170">
        <f>J30/((1+WACC)^2)</f>
        <v>4978860.543</v>
      </c>
      <c r="K32" s="170">
        <f>K30/((1+WACC)^3)</f>
        <v>8134766.38</v>
      </c>
      <c r="L32" s="170">
        <f>L30/((1+WACC)^4)</f>
        <v>3830670.045</v>
      </c>
      <c r="M32" s="170">
        <f>M30/((1+WACC)^5)</f>
        <v>8231164.91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57"/>
      <c r="C33" s="171"/>
      <c r="D33" s="171"/>
      <c r="E33" s="171"/>
      <c r="F33" s="171"/>
      <c r="G33" s="171"/>
      <c r="H33" s="171"/>
      <c r="I33" s="172"/>
      <c r="J33" s="172"/>
      <c r="K33" s="172"/>
      <c r="L33" s="172"/>
      <c r="M33" s="17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73" t="s">
        <v>95</v>
      </c>
      <c r="C34" s="174">
        <f>I30+J32+K32+L32+M32</f>
        <v>36542842.63</v>
      </c>
      <c r="D34" s="175"/>
      <c r="E34" s="175"/>
      <c r="F34" s="175"/>
      <c r="G34" s="175"/>
      <c r="H34" s="175"/>
      <c r="I34" s="176"/>
      <c r="J34" s="176"/>
      <c r="K34" s="176"/>
      <c r="L34" s="176"/>
      <c r="M34" s="17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77"/>
      <c r="C35" s="175"/>
      <c r="D35" s="175"/>
      <c r="E35" s="175"/>
      <c r="F35" s="175"/>
      <c r="G35" s="175"/>
      <c r="H35" s="175"/>
      <c r="I35" s="176"/>
      <c r="J35" s="176"/>
      <c r="K35" s="176"/>
      <c r="L35" s="176"/>
      <c r="M35" s="17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78"/>
      <c r="C36" s="175"/>
      <c r="D36" s="175"/>
      <c r="E36" s="175"/>
      <c r="F36" s="175"/>
      <c r="G36" s="175"/>
      <c r="H36" s="175"/>
      <c r="I36" s="176"/>
      <c r="J36" s="176"/>
      <c r="K36" s="176"/>
      <c r="L36" s="176"/>
      <c r="M36" s="17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1"/>
      <c r="B37" s="163" t="s">
        <v>96</v>
      </c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1"/>
      <c r="B38" s="156" t="s">
        <v>42</v>
      </c>
      <c r="C38" s="148">
        <v>311000.0</v>
      </c>
      <c r="D38" s="148">
        <v>453000.0</v>
      </c>
      <c r="E38" s="148">
        <v>601000.0</v>
      </c>
      <c r="F38" s="148">
        <v>766000.0</v>
      </c>
      <c r="G38" s="148">
        <v>830000.0</v>
      </c>
      <c r="H38" s="148">
        <v>1158000.0</v>
      </c>
      <c r="I38" s="118" t="s">
        <v>66</v>
      </c>
      <c r="J38" s="118" t="s">
        <v>66</v>
      </c>
      <c r="K38" s="118" t="s">
        <v>66</v>
      </c>
      <c r="L38" s="118" t="s">
        <v>66</v>
      </c>
      <c r="M38" s="118" t="s">
        <v>66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1"/>
      <c r="B39" s="156" t="s">
        <v>97</v>
      </c>
      <c r="C39" s="148">
        <f t="shared" ref="C39:H39" si="26">C20-C38</f>
        <v>44644000</v>
      </c>
      <c r="D39" s="148">
        <f t="shared" si="26"/>
        <v>25949000</v>
      </c>
      <c r="E39" s="148">
        <f t="shared" si="26"/>
        <v>18674000</v>
      </c>
      <c r="F39" s="148">
        <f t="shared" si="26"/>
        <v>30953000</v>
      </c>
      <c r="G39" s="148">
        <f t="shared" si="26"/>
        <v>20056000</v>
      </c>
      <c r="H39" s="148">
        <f t="shared" si="26"/>
        <v>-28883000</v>
      </c>
      <c r="I39" s="118" t="s">
        <v>66</v>
      </c>
      <c r="J39" s="118" t="s">
        <v>66</v>
      </c>
      <c r="K39" s="118" t="s">
        <v>66</v>
      </c>
      <c r="L39" s="118" t="s">
        <v>66</v>
      </c>
      <c r="M39" s="118" t="s">
        <v>66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"/>
      <c r="B40" s="156" t="s">
        <v>98</v>
      </c>
      <c r="C40" s="148">
        <f>42623000</f>
        <v>42623000</v>
      </c>
      <c r="D40" s="148">
        <v>4.1416E7</v>
      </c>
      <c r="E40" s="148">
        <v>4.7134E7</v>
      </c>
      <c r="F40" s="148">
        <v>4.7973E7</v>
      </c>
      <c r="G40" s="148">
        <v>5.0052E7</v>
      </c>
      <c r="H40" s="148">
        <v>4.4893E7</v>
      </c>
      <c r="I40" s="148">
        <f>H40*(1+9.1%)</f>
        <v>48978263</v>
      </c>
      <c r="J40" s="148">
        <f>I40*(1-3.8%)</f>
        <v>47117089.01</v>
      </c>
      <c r="K40" s="148">
        <f>J40*(1+10.1%)</f>
        <v>51875915</v>
      </c>
      <c r="L40" s="148">
        <f>K40*(1-3.8%)</f>
        <v>49904630.23</v>
      </c>
      <c r="M40" s="148">
        <f>L40*(1+11.1%)</f>
        <v>55444044.18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1"/>
      <c r="B41" s="138" t="s">
        <v>65</v>
      </c>
      <c r="C41" s="118" t="s">
        <v>66</v>
      </c>
      <c r="D41" s="118">
        <f t="shared" ref="D41:M41" si="27">(D40-C40)/C40</f>
        <v>-0.02831804425</v>
      </c>
      <c r="E41" s="118">
        <f t="shared" si="27"/>
        <v>0.1380625845</v>
      </c>
      <c r="F41" s="118">
        <f t="shared" si="27"/>
        <v>0.017800314</v>
      </c>
      <c r="G41" s="118">
        <f t="shared" si="27"/>
        <v>0.04333687699</v>
      </c>
      <c r="H41" s="118">
        <f t="shared" si="27"/>
        <v>-0.1030728043</v>
      </c>
      <c r="I41" s="118">
        <f t="shared" si="27"/>
        <v>0.091</v>
      </c>
      <c r="J41" s="118">
        <f t="shared" si="27"/>
        <v>-0.038</v>
      </c>
      <c r="K41" s="118">
        <f t="shared" si="27"/>
        <v>0.101</v>
      </c>
      <c r="L41" s="118">
        <f t="shared" si="27"/>
        <v>-0.038</v>
      </c>
      <c r="M41" s="118">
        <f t="shared" si="27"/>
        <v>0.111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0" customHeight="1">
      <c r="A42" s="1"/>
      <c r="B42" s="156" t="s">
        <v>99</v>
      </c>
      <c r="C42" s="148">
        <f>53976000</f>
        <v>53976000</v>
      </c>
      <c r="D42" s="148">
        <v>4.7638E7</v>
      </c>
      <c r="E42" s="148">
        <v>5.7771E7</v>
      </c>
      <c r="F42" s="148">
        <v>5.7438E7</v>
      </c>
      <c r="G42" s="148">
        <v>6.3989E7</v>
      </c>
      <c r="H42" s="148">
        <v>5.6363E7</v>
      </c>
      <c r="I42" s="148">
        <f>H42*(1+12.3%)</f>
        <v>63295649</v>
      </c>
      <c r="J42" s="148">
        <f>I42*(1-8.1%)</f>
        <v>58168701.43</v>
      </c>
      <c r="K42" s="148">
        <f>J42*(1+13.3%)</f>
        <v>65905138.72</v>
      </c>
      <c r="L42" s="148">
        <f>K42*(1-8.1%)</f>
        <v>60566822.48</v>
      </c>
      <c r="M42" s="148">
        <f>L42*(1+14.3%)</f>
        <v>69227878.1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0" customHeight="1">
      <c r="A43" s="1"/>
      <c r="B43" s="138" t="s">
        <v>65</v>
      </c>
      <c r="C43" s="118" t="s">
        <v>66</v>
      </c>
      <c r="D43" s="118">
        <f t="shared" ref="D43:M43" si="28">(D42-C42)/C42</f>
        <v>-0.1174225582</v>
      </c>
      <c r="E43" s="118">
        <f t="shared" si="28"/>
        <v>0.2127083421</v>
      </c>
      <c r="F43" s="118">
        <f t="shared" si="28"/>
        <v>-0.005764137716</v>
      </c>
      <c r="G43" s="118">
        <f t="shared" si="28"/>
        <v>0.1140534141</v>
      </c>
      <c r="H43" s="118">
        <f t="shared" si="28"/>
        <v>-0.1191767335</v>
      </c>
      <c r="I43" s="118">
        <f t="shared" si="28"/>
        <v>0.123</v>
      </c>
      <c r="J43" s="118">
        <f t="shared" si="28"/>
        <v>-0.081</v>
      </c>
      <c r="K43" s="118">
        <f t="shared" si="28"/>
        <v>0.133</v>
      </c>
      <c r="L43" s="118">
        <f t="shared" si="28"/>
        <v>-0.081</v>
      </c>
      <c r="M43" s="118">
        <f t="shared" si="28"/>
        <v>0.143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1"/>
      <c r="B44" s="156" t="s">
        <v>100</v>
      </c>
      <c r="C44" s="148">
        <f t="shared" ref="C44:M44" si="29">C40-C42</f>
        <v>-11353000</v>
      </c>
      <c r="D44" s="148">
        <f t="shared" si="29"/>
        <v>-6222000</v>
      </c>
      <c r="E44" s="148">
        <f t="shared" si="29"/>
        <v>-10637000</v>
      </c>
      <c r="F44" s="148">
        <f t="shared" si="29"/>
        <v>-9465000</v>
      </c>
      <c r="G44" s="148">
        <f t="shared" si="29"/>
        <v>-13937000</v>
      </c>
      <c r="H44" s="148">
        <f t="shared" si="29"/>
        <v>-11470000</v>
      </c>
      <c r="I44" s="148">
        <f t="shared" si="29"/>
        <v>-14317386</v>
      </c>
      <c r="J44" s="148">
        <f t="shared" si="29"/>
        <v>-11051612.43</v>
      </c>
      <c r="K44" s="148">
        <f t="shared" si="29"/>
        <v>-14029223.73</v>
      </c>
      <c r="L44" s="148">
        <f t="shared" si="29"/>
        <v>-10662192.26</v>
      </c>
      <c r="M44" s="148">
        <f t="shared" si="29"/>
        <v>-13783833.92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1"/>
      <c r="B45" s="156" t="s">
        <v>101</v>
      </c>
      <c r="C45" s="118">
        <f>C25/C39</f>
        <v>0.1212928949</v>
      </c>
      <c r="D45" s="118" t="s">
        <v>66</v>
      </c>
      <c r="E45" s="118" t="s">
        <v>66</v>
      </c>
      <c r="F45" s="118">
        <f t="shared" ref="F45:H45" si="30">F25/F39</f>
        <v>0.3079507641</v>
      </c>
      <c r="G45" s="118">
        <f t="shared" si="30"/>
        <v>0.2633625848</v>
      </c>
      <c r="H45" s="118">
        <f t="shared" si="30"/>
        <v>0.1949935948</v>
      </c>
      <c r="I45" s="118">
        <f>TaxRate</f>
        <v>0.22</v>
      </c>
      <c r="J45" s="118">
        <f>TaxRate</f>
        <v>0.22</v>
      </c>
      <c r="K45" s="118">
        <f>TaxRate</f>
        <v>0.22</v>
      </c>
      <c r="L45" s="118">
        <f>TaxRate</f>
        <v>0.22</v>
      </c>
      <c r="M45" s="118">
        <f>TaxRate</f>
        <v>0.22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1"/>
      <c r="B46" s="156" t="s">
        <v>102</v>
      </c>
      <c r="C46" s="148">
        <v>2.51605E8</v>
      </c>
      <c r="D46" s="148">
        <v>2.44224E8</v>
      </c>
      <c r="E46" s="148">
        <v>2.5263E8</v>
      </c>
      <c r="F46" s="148">
        <v>2.47101E8</v>
      </c>
      <c r="G46" s="148">
        <v>2.53018E8</v>
      </c>
      <c r="H46" s="148">
        <v>2.27553E8</v>
      </c>
      <c r="I46" s="148">
        <f>H46*(1+3%)</f>
        <v>234379590</v>
      </c>
      <c r="J46" s="148">
        <f>I46*(1-2%)</f>
        <v>229691998.2</v>
      </c>
      <c r="K46" s="148">
        <f>J46*(1+2.5%)</f>
        <v>235434298.2</v>
      </c>
      <c r="L46" s="148">
        <f>K46*(1-2.5%)</f>
        <v>229548440.7</v>
      </c>
      <c r="M46" s="148">
        <f>L46*(1+2.9%)</f>
        <v>236205345.5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38" t="s">
        <v>65</v>
      </c>
      <c r="C47" s="118" t="s">
        <v>66</v>
      </c>
      <c r="D47" s="118">
        <f t="shared" ref="D47:M47" si="31">(D46-C46)/C46</f>
        <v>-0.02933566503</v>
      </c>
      <c r="E47" s="118">
        <f t="shared" si="31"/>
        <v>0.0344192217</v>
      </c>
      <c r="F47" s="118">
        <f t="shared" si="31"/>
        <v>-0.02188576179</v>
      </c>
      <c r="G47" s="118">
        <f t="shared" si="31"/>
        <v>0.02394567404</v>
      </c>
      <c r="H47" s="118">
        <f t="shared" si="31"/>
        <v>-0.1006450134</v>
      </c>
      <c r="I47" s="118">
        <f t="shared" si="31"/>
        <v>0.03</v>
      </c>
      <c r="J47" s="118">
        <f t="shared" si="31"/>
        <v>-0.02</v>
      </c>
      <c r="K47" s="118">
        <f t="shared" si="31"/>
        <v>0.025</v>
      </c>
      <c r="L47" s="118">
        <f t="shared" si="31"/>
        <v>-0.025</v>
      </c>
      <c r="M47" s="118">
        <f t="shared" si="31"/>
        <v>0.029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79" t="s">
        <v>103</v>
      </c>
      <c r="C48" s="148">
        <f t="shared" ref="C48:M48" si="32">C46-C18</f>
        <v>233557000</v>
      </c>
      <c r="D48" s="148">
        <f t="shared" si="32"/>
        <v>221916000</v>
      </c>
      <c r="E48" s="148">
        <f t="shared" si="32"/>
        <v>232737000</v>
      </c>
      <c r="F48" s="148">
        <f t="shared" si="32"/>
        <v>228356000</v>
      </c>
      <c r="G48" s="148">
        <f t="shared" si="32"/>
        <v>234020000</v>
      </c>
      <c r="H48" s="148">
        <f t="shared" si="32"/>
        <v>181544000</v>
      </c>
      <c r="I48" s="148">
        <f t="shared" si="32"/>
        <v>196878855.6</v>
      </c>
      <c r="J48" s="148">
        <f t="shared" si="32"/>
        <v>202588342.4</v>
      </c>
      <c r="K48" s="148">
        <f t="shared" si="32"/>
        <v>217541291.5</v>
      </c>
      <c r="L48" s="148">
        <f t="shared" si="32"/>
        <v>212102759.2</v>
      </c>
      <c r="M48" s="148">
        <f t="shared" si="32"/>
        <v>218253739.2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4F27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.86"/>
    <col customWidth="1" min="2" max="2" width="29.43"/>
    <col customWidth="1" min="3" max="3" width="17.43"/>
    <col customWidth="1" min="4" max="4" width="24.43"/>
    <col customWidth="1" min="5" max="5" width="7.43"/>
    <col customWidth="1" min="6" max="6" width="1.86"/>
    <col customWidth="1" min="7" max="7" width="9.57"/>
    <col customWidth="1" min="8" max="8" width="5.86"/>
    <col customWidth="1" min="9" max="11" width="8.43"/>
    <col customWidth="1" min="12" max="13" width="9.14"/>
    <col customWidth="1" min="14" max="14" width="5.57"/>
    <col customWidth="1" min="15" max="15" width="9.57"/>
    <col customWidth="1" min="16" max="16" width="5.86"/>
    <col customWidth="1" min="17" max="19" width="8.43"/>
    <col customWidth="1" min="20" max="21" width="9.14"/>
    <col customWidth="1" min="22" max="26" width="15.14"/>
  </cols>
  <sheetData>
    <row r="1" outlineLevel="1">
      <c r="A1" s="129"/>
      <c r="B1" s="130" t="s">
        <v>104</v>
      </c>
      <c r="C1" s="129"/>
      <c r="D1" s="129"/>
      <c r="E1" s="146"/>
      <c r="F1" s="180"/>
      <c r="G1" s="130" t="s">
        <v>105</v>
      </c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</row>
    <row r="2" outlineLevel="1">
      <c r="A2" s="129"/>
      <c r="B2" s="129"/>
      <c r="C2" s="129"/>
      <c r="D2" s="129"/>
      <c r="E2" s="146"/>
      <c r="F2" s="180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ht="15.75" customHeight="1">
      <c r="A3" s="129"/>
      <c r="B3" s="181" t="s">
        <v>106</v>
      </c>
      <c r="C3" s="182"/>
      <c r="D3" s="129"/>
      <c r="E3" s="129"/>
      <c r="F3" s="183"/>
      <c r="G3" s="184" t="s">
        <v>107</v>
      </c>
      <c r="H3" s="185"/>
      <c r="I3" s="185"/>
      <c r="J3" s="185"/>
      <c r="K3" s="185"/>
      <c r="L3" s="185"/>
      <c r="M3" s="186"/>
      <c r="N3" s="87"/>
      <c r="O3" s="184" t="s">
        <v>108</v>
      </c>
      <c r="P3" s="185"/>
      <c r="Q3" s="185"/>
      <c r="R3" s="185"/>
      <c r="S3" s="185"/>
      <c r="T3" s="185"/>
      <c r="U3" s="186"/>
      <c r="V3" s="129"/>
      <c r="W3" s="129"/>
      <c r="X3" s="129"/>
      <c r="Y3" s="129"/>
      <c r="Z3" s="129"/>
    </row>
    <row r="4">
      <c r="A4" s="129"/>
      <c r="B4" s="187" t="s">
        <v>101</v>
      </c>
      <c r="C4" s="188">
        <f>0.22</f>
        <v>0.22</v>
      </c>
      <c r="D4" s="129"/>
      <c r="E4" s="129"/>
      <c r="F4" s="183"/>
      <c r="G4" s="87"/>
      <c r="H4" s="87"/>
      <c r="I4" s="189" t="s">
        <v>109</v>
      </c>
      <c r="N4" s="87"/>
      <c r="O4" s="87"/>
      <c r="P4" s="87"/>
      <c r="Q4" s="189" t="str">
        <f>I4</f>
        <v>Terminal Growth Rate</v>
      </c>
      <c r="V4" s="129"/>
      <c r="W4" s="129"/>
      <c r="X4" s="129"/>
      <c r="Y4" s="129"/>
      <c r="Z4" s="129"/>
    </row>
    <row r="5" ht="15.0" customHeight="1">
      <c r="A5" s="129"/>
      <c r="B5" s="190" t="s">
        <v>110</v>
      </c>
      <c r="C5" s="191">
        <f>1.527%</f>
        <v>0.01527</v>
      </c>
      <c r="D5" s="129"/>
      <c r="E5" s="129"/>
      <c r="F5" s="183"/>
      <c r="G5" s="87"/>
      <c r="H5" s="192">
        <f>C28</f>
        <v>64.85048382</v>
      </c>
      <c r="I5" s="193">
        <v>0.046</v>
      </c>
      <c r="J5" s="193">
        <v>0.048</v>
      </c>
      <c r="K5" s="193">
        <v>0.05</v>
      </c>
      <c r="L5" s="193">
        <v>0.052000000000000005</v>
      </c>
      <c r="M5" s="193">
        <v>0.054000000000000006</v>
      </c>
      <c r="N5" s="87"/>
      <c r="O5" s="87"/>
      <c r="P5" s="192">
        <f>C30</f>
        <v>0.06712032663</v>
      </c>
      <c r="Q5" s="193">
        <v>0.046</v>
      </c>
      <c r="R5" s="193">
        <v>0.048</v>
      </c>
      <c r="S5" s="193">
        <v>0.05</v>
      </c>
      <c r="T5" s="193">
        <v>0.052000000000000005</v>
      </c>
      <c r="U5" s="193">
        <v>0.054000000000000006</v>
      </c>
      <c r="V5" s="129"/>
      <c r="W5" s="129"/>
      <c r="X5" s="129"/>
      <c r="Y5" s="129"/>
      <c r="Z5" s="129"/>
    </row>
    <row r="6" ht="15.0" customHeight="1">
      <c r="A6" s="129"/>
      <c r="B6" s="190" t="s">
        <v>22</v>
      </c>
      <c r="C6" s="194">
        <f>'Beta and Market Risk Premium'!B63</f>
        <v>1.223600835</v>
      </c>
      <c r="D6" s="129"/>
      <c r="E6" s="129"/>
      <c r="F6" s="183"/>
      <c r="G6" s="195" t="s">
        <v>22</v>
      </c>
      <c r="H6" s="196">
        <v>1.0236</v>
      </c>
      <c r="I6" s="197">
        <v>89.09682147387042</v>
      </c>
      <c r="J6" s="197">
        <v>98.70761939839699</v>
      </c>
      <c r="K6" s="198">
        <v>110.42822942855634</v>
      </c>
      <c r="L6" s="197">
        <v>125.03904486311009</v>
      </c>
      <c r="M6" s="197">
        <v>143.7594634913323</v>
      </c>
      <c r="N6" s="87"/>
      <c r="O6" s="195" t="str">
        <f>G6</f>
        <v>Beta</v>
      </c>
      <c r="P6" s="196">
        <v>1.0235999999999998</v>
      </c>
      <c r="Q6" s="199">
        <v>0.4660959122918127</v>
      </c>
      <c r="R6" s="199">
        <v>0.6242424243437987</v>
      </c>
      <c r="S6" s="200">
        <v>0.8171060772836789</v>
      </c>
      <c r="T6" s="199">
        <v>1.0575283104172324</v>
      </c>
      <c r="U6" s="199">
        <v>1.365574419955239</v>
      </c>
      <c r="V6" s="129"/>
      <c r="W6" s="129"/>
      <c r="X6" s="129"/>
      <c r="Y6" s="129"/>
      <c r="Z6" s="129"/>
    </row>
    <row r="7">
      <c r="A7" s="129"/>
      <c r="B7" s="190" t="s">
        <v>111</v>
      </c>
      <c r="C7" s="191">
        <f>'Beta and Market Risk Premium'!E69</f>
        <v>0.06451756143</v>
      </c>
      <c r="D7" s="129"/>
      <c r="E7" s="129"/>
      <c r="F7" s="183"/>
      <c r="H7" s="196">
        <v>1.1236</v>
      </c>
      <c r="I7" s="197">
        <v>69.35354779725873</v>
      </c>
      <c r="J7" s="201">
        <v>75.4693210906087</v>
      </c>
      <c r="K7" s="202">
        <v>82.63325139606782</v>
      </c>
      <c r="L7" s="201">
        <v>91.1400525250542</v>
      </c>
      <c r="M7" s="197">
        <v>101.40635215572706</v>
      </c>
      <c r="N7" s="87"/>
      <c r="P7" s="196">
        <v>1.1236</v>
      </c>
      <c r="Q7" s="199">
        <v>0.14121863436301374</v>
      </c>
      <c r="R7" s="203">
        <v>0.24185421347302016</v>
      </c>
      <c r="S7" s="204">
        <v>0.35973730697773365</v>
      </c>
      <c r="T7" s="203">
        <v>0.49971745616345853</v>
      </c>
      <c r="U7" s="199">
        <v>0.6686503055503084</v>
      </c>
      <c r="V7" s="129"/>
      <c r="W7" s="129"/>
      <c r="X7" s="129"/>
      <c r="Y7" s="129"/>
      <c r="Z7" s="129"/>
    </row>
    <row r="8">
      <c r="A8" s="129"/>
      <c r="B8" s="190" t="s">
        <v>112</v>
      </c>
      <c r="C8" s="191">
        <f>Multiples!H5/(Multiples!H5+Multiples!H6+Multiples!H7)</f>
        <v>0.7932731246</v>
      </c>
      <c r="D8" s="129"/>
      <c r="E8" s="129"/>
      <c r="F8" s="183"/>
      <c r="H8" s="196">
        <v>1.2236</v>
      </c>
      <c r="I8" s="205">
        <v>55.849563307540755</v>
      </c>
      <c r="J8" s="206">
        <v>60.05455311371841</v>
      </c>
      <c r="K8" s="207">
        <v>64.85060550795293</v>
      </c>
      <c r="L8" s="206">
        <v>70.37176270424203</v>
      </c>
      <c r="M8" s="208">
        <v>76.79591248022243</v>
      </c>
      <c r="N8" s="87"/>
      <c r="P8" s="196">
        <v>1.2236</v>
      </c>
      <c r="Q8" s="209">
        <v>-0.08099059973220879</v>
      </c>
      <c r="R8" s="210">
        <v>-0.011797128359340658</v>
      </c>
      <c r="S8" s="211">
        <v>0.06712232908041438</v>
      </c>
      <c r="T8" s="210">
        <v>0.15797344882517272</v>
      </c>
      <c r="U8" s="212">
        <v>0.2636833896593398</v>
      </c>
      <c r="V8" s="129"/>
      <c r="W8" s="129"/>
      <c r="X8" s="129"/>
      <c r="Y8" s="129"/>
      <c r="Z8" s="129"/>
    </row>
    <row r="9">
      <c r="A9" s="129"/>
      <c r="B9" s="190" t="s">
        <v>113</v>
      </c>
      <c r="C9" s="191">
        <f>(Multiples!H6+Multiples!H7)/(Multiples!H5+Multiples!H6+Multiples!H7)</f>
        <v>0.2067268754</v>
      </c>
      <c r="D9" s="129"/>
      <c r="E9" s="129"/>
      <c r="F9" s="183"/>
      <c r="H9" s="196">
        <v>1.3236</v>
      </c>
      <c r="I9" s="197">
        <v>46.035063225481316</v>
      </c>
      <c r="J9" s="201">
        <v>49.086416241247754</v>
      </c>
      <c r="K9" s="202">
        <v>52.50129432834924</v>
      </c>
      <c r="L9" s="201">
        <v>56.348775537332884</v>
      </c>
      <c r="M9" s="197">
        <v>60.7166233433875</v>
      </c>
      <c r="N9" s="87"/>
      <c r="P9" s="196">
        <v>1.3236</v>
      </c>
      <c r="Q9" s="199">
        <v>-0.24248904842507102</v>
      </c>
      <c r="R9" s="203">
        <v>-0.19227877033241836</v>
      </c>
      <c r="S9" s="204">
        <v>-0.13608665571312595</v>
      </c>
      <c r="T9" s="203">
        <v>-0.0727760192639374</v>
      </c>
      <c r="U9" s="199">
        <v>-9.02705401136572E-4</v>
      </c>
      <c r="V9" s="129"/>
      <c r="W9" s="129"/>
      <c r="X9" s="129"/>
      <c r="Y9" s="129"/>
      <c r="Z9" s="129"/>
    </row>
    <row r="10">
      <c r="A10" s="129"/>
      <c r="B10" s="213" t="s">
        <v>114</v>
      </c>
      <c r="C10" s="214">
        <v>0.0078</v>
      </c>
      <c r="D10" s="129"/>
      <c r="E10" s="129"/>
      <c r="F10" s="183"/>
      <c r="H10" s="196">
        <v>1.4236</v>
      </c>
      <c r="I10" s="197">
        <v>38.58292135180096</v>
      </c>
      <c r="J10" s="197">
        <v>40.88687911829649</v>
      </c>
      <c r="K10" s="215">
        <v>43.429014127916695</v>
      </c>
      <c r="L10" s="197">
        <v>46.24827269417932</v>
      </c>
      <c r="M10" s="197">
        <v>49.39258187708367</v>
      </c>
      <c r="N10" s="87"/>
      <c r="P10" s="196">
        <v>1.4236000000000002</v>
      </c>
      <c r="Q10" s="199">
        <v>-0.3651146882412529</v>
      </c>
      <c r="R10" s="199">
        <v>-0.32720286369268947</v>
      </c>
      <c r="S10" s="216">
        <v>-0.28537181198462036</v>
      </c>
      <c r="T10" s="199">
        <v>-0.23898066815572971</v>
      </c>
      <c r="U10" s="199">
        <v>-0.18724078828370128</v>
      </c>
      <c r="V10" s="129"/>
      <c r="W10" s="129"/>
      <c r="X10" s="129"/>
      <c r="Y10" s="129"/>
      <c r="Z10" s="129"/>
    </row>
    <row r="11">
      <c r="A11" s="129"/>
      <c r="B11" s="190" t="s">
        <v>115</v>
      </c>
      <c r="C11" s="191">
        <f>C5+C10</f>
        <v>0.02307</v>
      </c>
      <c r="D11" s="129"/>
      <c r="E11" s="129"/>
      <c r="F11" s="183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129"/>
      <c r="W11" s="129"/>
      <c r="X11" s="129"/>
      <c r="Y11" s="129"/>
      <c r="Z11" s="129"/>
    </row>
    <row r="12">
      <c r="A12" s="129"/>
      <c r="B12" s="190" t="s">
        <v>116</v>
      </c>
      <c r="C12" s="191">
        <f>C5+(C6*C7)</f>
        <v>0.09421374203</v>
      </c>
      <c r="D12" s="129"/>
      <c r="E12" s="129"/>
      <c r="F12" s="183"/>
      <c r="G12" s="184" t="str">
        <f>+G3</f>
        <v>Value per Share</v>
      </c>
      <c r="H12" s="185"/>
      <c r="I12" s="185"/>
      <c r="J12" s="185"/>
      <c r="K12" s="185"/>
      <c r="L12" s="185"/>
      <c r="M12" s="186"/>
      <c r="N12" s="87"/>
      <c r="O12" s="184" t="s">
        <v>108</v>
      </c>
      <c r="P12" s="185"/>
      <c r="Q12" s="185"/>
      <c r="R12" s="185"/>
      <c r="S12" s="185"/>
      <c r="T12" s="185"/>
      <c r="U12" s="186"/>
      <c r="V12" s="129"/>
      <c r="W12" s="129"/>
      <c r="X12" s="129"/>
      <c r="Y12" s="129"/>
      <c r="Z12" s="129"/>
    </row>
    <row r="13" ht="15.75" customHeight="1">
      <c r="A13" s="129"/>
      <c r="B13" s="217" t="s">
        <v>117</v>
      </c>
      <c r="C13" s="218">
        <f>C8*C12+(C9*C11)*(1-C4)</f>
        <v>0.07845719695</v>
      </c>
      <c r="D13" s="129"/>
      <c r="E13" s="129"/>
      <c r="F13" s="183"/>
      <c r="G13" s="87"/>
      <c r="H13" s="87"/>
      <c r="I13" s="189" t="str">
        <f>I4</f>
        <v>Terminal Growth Rate</v>
      </c>
      <c r="N13" s="87"/>
      <c r="O13" s="87"/>
      <c r="P13" s="87"/>
      <c r="Q13" s="189" t="str">
        <f>I13</f>
        <v>Terminal Growth Rate</v>
      </c>
      <c r="V13" s="129"/>
      <c r="W13" s="129"/>
      <c r="X13" s="129"/>
      <c r="Y13" s="129"/>
      <c r="Z13" s="129"/>
    </row>
    <row r="14">
      <c r="A14" s="129"/>
      <c r="B14" s="14"/>
      <c r="C14" s="219"/>
      <c r="D14" s="129"/>
      <c r="E14" s="129"/>
      <c r="F14" s="183"/>
      <c r="G14" s="87"/>
      <c r="H14" s="192">
        <f>C28</f>
        <v>64.85048382</v>
      </c>
      <c r="I14" s="193">
        <v>0.046</v>
      </c>
      <c r="J14" s="193">
        <v>0.048</v>
      </c>
      <c r="K14" s="193">
        <v>0.05</v>
      </c>
      <c r="L14" s="193">
        <v>0.052000000000000005</v>
      </c>
      <c r="M14" s="193">
        <v>0.054000000000000006</v>
      </c>
      <c r="N14" s="87"/>
      <c r="O14" s="87"/>
      <c r="P14" s="192">
        <f>C30</f>
        <v>0.06712032663</v>
      </c>
      <c r="Q14" s="193">
        <v>0.046</v>
      </c>
      <c r="R14" s="193">
        <v>0.048</v>
      </c>
      <c r="S14" s="193">
        <v>0.05</v>
      </c>
      <c r="T14" s="193">
        <v>0.052000000000000005</v>
      </c>
      <c r="U14" s="193">
        <v>0.054000000000000006</v>
      </c>
      <c r="V14" s="129"/>
      <c r="W14" s="129"/>
      <c r="X14" s="129"/>
      <c r="Y14" s="129"/>
      <c r="Z14" s="129"/>
    </row>
    <row r="15" ht="15.75" customHeight="1">
      <c r="A15" s="129"/>
      <c r="B15" s="14"/>
      <c r="C15" s="219"/>
      <c r="D15" s="129"/>
      <c r="E15" s="129"/>
      <c r="F15" s="183"/>
      <c r="G15" s="195" t="s">
        <v>117</v>
      </c>
      <c r="H15" s="220">
        <v>0.06845719694992256</v>
      </c>
      <c r="I15" s="197">
        <v>87.98785352384742</v>
      </c>
      <c r="J15" s="197">
        <v>97.37959442929073</v>
      </c>
      <c r="K15" s="198">
        <v>108.80669117580231</v>
      </c>
      <c r="L15" s="197">
        <v>123.01119814138903</v>
      </c>
      <c r="M15" s="197">
        <v>141.14579114365043</v>
      </c>
      <c r="N15" s="87"/>
      <c r="O15" s="195" t="str">
        <f>G15</f>
        <v>WACC</v>
      </c>
      <c r="P15" s="220">
        <v>0.06845719694992256</v>
      </c>
      <c r="Q15" s="199">
        <v>0.44784774864807964</v>
      </c>
      <c r="R15" s="199">
        <v>0.6023896584827906</v>
      </c>
      <c r="S15" s="200">
        <v>0.7904235249247815</v>
      </c>
      <c r="T15" s="199">
        <v>1.024159917019023</v>
      </c>
      <c r="U15" s="199">
        <v>1.3225662151549034</v>
      </c>
      <c r="V15" s="129"/>
      <c r="W15" s="129"/>
      <c r="X15" s="129"/>
      <c r="Y15" s="129"/>
      <c r="Z15" s="129"/>
    </row>
    <row r="16" ht="13.5" customHeight="1">
      <c r="A16" s="129"/>
      <c r="B16" s="14"/>
      <c r="C16" s="219"/>
      <c r="D16" s="129"/>
      <c r="E16" s="129"/>
      <c r="F16" s="183"/>
      <c r="H16" s="220">
        <v>0.07345719694992256</v>
      </c>
      <c r="I16" s="197">
        <v>68.98518799895854</v>
      </c>
      <c r="J16" s="201">
        <v>75.04376430996976</v>
      </c>
      <c r="K16" s="202">
        <v>82.1354693999984</v>
      </c>
      <c r="L16" s="201">
        <v>90.5491934110594</v>
      </c>
      <c r="M16" s="197">
        <v>100.69260624270754</v>
      </c>
      <c r="N16" s="87"/>
      <c r="P16" s="220">
        <v>0.07345719694992256</v>
      </c>
      <c r="Q16" s="199">
        <v>0.13515724198552093</v>
      </c>
      <c r="R16" s="203">
        <v>0.2348516397984275</v>
      </c>
      <c r="S16" s="204">
        <v>0.35154626112921394</v>
      </c>
      <c r="T16" s="203">
        <v>0.48999481827988167</v>
      </c>
      <c r="U16" s="199">
        <v>0.656905554747949</v>
      </c>
      <c r="V16" s="129"/>
      <c r="W16" s="129"/>
      <c r="X16" s="129"/>
      <c r="Y16" s="129"/>
      <c r="Z16" s="129"/>
    </row>
    <row r="17" ht="15.75" customHeight="1">
      <c r="A17" s="129"/>
      <c r="B17" s="129"/>
      <c r="C17" s="146"/>
      <c r="D17" s="129"/>
      <c r="E17" s="129"/>
      <c r="F17" s="183"/>
      <c r="H17" s="220">
        <v>0.07845719694992256</v>
      </c>
      <c r="I17" s="205">
        <v>55.849468404574296</v>
      </c>
      <c r="J17" s="206">
        <v>60.05444611036558</v>
      </c>
      <c r="K17" s="207">
        <v>64.85048381594403</v>
      </c>
      <c r="L17" s="206">
        <v>70.37162293187316</v>
      </c>
      <c r="M17" s="208">
        <v>76.7957500929546</v>
      </c>
      <c r="N17" s="87"/>
      <c r="P17" s="220">
        <v>0.07845719694992256</v>
      </c>
      <c r="Q17" s="209">
        <v>-0.08099216136873955</v>
      </c>
      <c r="R17" s="210">
        <v>-0.011798889108777022</v>
      </c>
      <c r="S17" s="211">
        <v>0.0671203266278706</v>
      </c>
      <c r="T17" s="210">
        <v>0.15797114885874008</v>
      </c>
      <c r="U17" s="212">
        <v>0.26368071756278666</v>
      </c>
      <c r="V17" s="129"/>
      <c r="W17" s="129"/>
      <c r="X17" s="129"/>
      <c r="Y17" s="129"/>
      <c r="Z17" s="129"/>
    </row>
    <row r="18" ht="13.5" customHeight="1">
      <c r="A18" s="129"/>
      <c r="B18" s="181" t="s">
        <v>118</v>
      </c>
      <c r="C18" s="182"/>
      <c r="D18" s="129"/>
      <c r="E18" s="129"/>
      <c r="F18" s="183"/>
      <c r="H18" s="220">
        <v>0.08345719694992257</v>
      </c>
      <c r="I18" s="197">
        <v>46.23095634954236</v>
      </c>
      <c r="J18" s="201">
        <v>49.30344001578337</v>
      </c>
      <c r="K18" s="202">
        <v>52.743256745919695</v>
      </c>
      <c r="L18" s="201">
        <v>56.620469946645834</v>
      </c>
      <c r="M18" s="197">
        <v>61.02417087902106</v>
      </c>
      <c r="N18" s="87"/>
      <c r="P18" s="220">
        <v>0.08345719694992257</v>
      </c>
      <c r="Q18" s="199">
        <v>-0.23926561010616088</v>
      </c>
      <c r="R18" s="203">
        <v>-0.18870762533023533</v>
      </c>
      <c r="S18" s="204">
        <v>-0.13210514318035482</v>
      </c>
      <c r="T18" s="203">
        <v>-0.06830526423253513</v>
      </c>
      <c r="U18" s="199">
        <v>0.004158015928411807</v>
      </c>
      <c r="V18" s="129"/>
      <c r="W18" s="129"/>
      <c r="X18" s="129"/>
      <c r="Y18" s="129"/>
      <c r="Z18" s="129"/>
    </row>
    <row r="19" ht="12.75" customHeight="1">
      <c r="A19" s="129"/>
      <c r="B19" s="221" t="s">
        <v>109</v>
      </c>
      <c r="C19" s="222">
        <v>0.05</v>
      </c>
      <c r="D19" s="129"/>
      <c r="E19" s="129"/>
      <c r="F19" s="183"/>
      <c r="H19" s="220">
        <v>0.08845719694992257</v>
      </c>
      <c r="I19" s="197">
        <v>38.88679528047121</v>
      </c>
      <c r="J19" s="197">
        <v>41.219091792640256</v>
      </c>
      <c r="K19" s="215">
        <v>43.79397452503811</v>
      </c>
      <c r="L19" s="197">
        <v>46.651367482885796</v>
      </c>
      <c r="M19" s="197">
        <v>49.84046391179646</v>
      </c>
      <c r="N19" s="87"/>
      <c r="P19" s="220">
        <v>0.08845719694992257</v>
      </c>
      <c r="Q19" s="199">
        <v>-0.3601144164323842</v>
      </c>
      <c r="R19" s="199">
        <v>-0.32173627536989646</v>
      </c>
      <c r="S19" s="216">
        <v>-0.27936635704787904</v>
      </c>
      <c r="T19" s="199">
        <v>-0.23234770850337993</v>
      </c>
      <c r="U19" s="199">
        <v>-0.1798708506201665</v>
      </c>
      <c r="V19" s="129"/>
      <c r="W19" s="129"/>
      <c r="X19" s="129"/>
      <c r="Y19" s="129"/>
      <c r="Z19" s="129"/>
    </row>
    <row r="20">
      <c r="A20" s="129"/>
      <c r="B20" s="223" t="s">
        <v>119</v>
      </c>
      <c r="C20" s="224">
        <f>FCF!M30*(1+TER.GROWTH.RATE)/(WACC-TER.GROWTH.RATE)</f>
        <v>443070716.3</v>
      </c>
      <c r="D20" s="129"/>
      <c r="E20" s="129"/>
      <c r="F20" s="183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129"/>
      <c r="W20" s="129"/>
      <c r="X20" s="129"/>
      <c r="Y20" s="129"/>
      <c r="Z20" s="129"/>
    </row>
    <row r="21" ht="15.75" customHeight="1">
      <c r="A21" s="129"/>
      <c r="B21" s="223" t="s">
        <v>120</v>
      </c>
      <c r="C21" s="224">
        <f>Term.Value/((1+WACC)^5)</f>
        <v>303709573.8</v>
      </c>
      <c r="D21" s="129"/>
      <c r="E21" s="129"/>
      <c r="F21" s="183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129"/>
      <c r="W21" s="129"/>
      <c r="X21" s="129"/>
      <c r="Y21" s="129"/>
      <c r="Z21" s="129"/>
    </row>
    <row r="22" ht="15.75" customHeight="1">
      <c r="A22" s="129"/>
      <c r="B22" s="225" t="s">
        <v>121</v>
      </c>
      <c r="C22" s="226">
        <f>FCF!C34</f>
        <v>36542842.63</v>
      </c>
      <c r="D22" s="129"/>
      <c r="E22" s="129"/>
      <c r="F22" s="183"/>
      <c r="G22" s="184" t="str">
        <f>G3</f>
        <v>Value per Share</v>
      </c>
      <c r="H22" s="185"/>
      <c r="I22" s="185"/>
      <c r="J22" s="185"/>
      <c r="K22" s="185"/>
      <c r="L22" s="185"/>
      <c r="M22" s="186"/>
      <c r="N22" s="87"/>
      <c r="O22" s="184" t="s">
        <v>108</v>
      </c>
      <c r="P22" s="185"/>
      <c r="Q22" s="185"/>
      <c r="R22" s="185"/>
      <c r="S22" s="185"/>
      <c r="T22" s="185"/>
      <c r="U22" s="186"/>
      <c r="V22" s="129"/>
      <c r="W22" s="129"/>
      <c r="X22" s="129"/>
      <c r="Y22" s="129"/>
      <c r="Z22" s="129"/>
    </row>
    <row r="23" ht="15.75" customHeight="1">
      <c r="A23" s="129"/>
      <c r="B23" s="223" t="s">
        <v>122</v>
      </c>
      <c r="C23" s="224">
        <f>PV.Term.Value+Sum.PV.FCF</f>
        <v>340252416.4</v>
      </c>
      <c r="D23" s="129"/>
      <c r="E23" s="87"/>
      <c r="F23" s="183"/>
      <c r="G23" s="87"/>
      <c r="H23" s="87"/>
      <c r="I23" s="189" t="str">
        <f>I4</f>
        <v>Terminal Growth Rate</v>
      </c>
      <c r="N23" s="87"/>
      <c r="O23" s="87"/>
      <c r="P23" s="87"/>
      <c r="Q23" s="189" t="str">
        <f>I23</f>
        <v>Terminal Growth Rate</v>
      </c>
      <c r="V23" s="129"/>
      <c r="W23" s="129"/>
      <c r="X23" s="129"/>
      <c r="Y23" s="129"/>
      <c r="Z23" s="129"/>
    </row>
    <row r="24" ht="15.75" customHeight="1">
      <c r="A24" s="129"/>
      <c r="B24" s="223" t="s">
        <v>123</v>
      </c>
      <c r="C24" s="224">
        <f>(Multiples!H6+Multiples!H7)*1000</f>
        <v>67640000</v>
      </c>
      <c r="D24" s="129"/>
      <c r="E24" s="129"/>
      <c r="F24" s="183"/>
      <c r="G24" s="87"/>
      <c r="H24" s="192">
        <f>C28</f>
        <v>64.85048382</v>
      </c>
      <c r="I24" s="193">
        <v>0.046</v>
      </c>
      <c r="J24" s="193">
        <v>0.048</v>
      </c>
      <c r="K24" s="193">
        <v>0.05</v>
      </c>
      <c r="L24" s="193">
        <v>0.052000000000000005</v>
      </c>
      <c r="M24" s="193">
        <v>0.054000000000000006</v>
      </c>
      <c r="N24" s="87"/>
      <c r="O24" s="87"/>
      <c r="P24" s="192">
        <f>C30</f>
        <v>0.06712032663</v>
      </c>
      <c r="Q24" s="193">
        <v>0.046</v>
      </c>
      <c r="R24" s="193">
        <v>0.048</v>
      </c>
      <c r="S24" s="193">
        <v>0.05</v>
      </c>
      <c r="T24" s="193">
        <v>0.052000000000000005</v>
      </c>
      <c r="U24" s="193">
        <v>0.054000000000000006</v>
      </c>
      <c r="V24" s="129"/>
      <c r="W24" s="129"/>
      <c r="X24" s="129"/>
      <c r="Y24" s="129"/>
      <c r="Z24" s="129"/>
    </row>
    <row r="25" ht="13.5" customHeight="1">
      <c r="A25" s="129"/>
      <c r="B25" s="213" t="s">
        <v>124</v>
      </c>
      <c r="C25" s="224">
        <f>Multiples!H8*1000</f>
        <v>4364000</v>
      </c>
      <c r="D25" s="129"/>
      <c r="E25" s="129"/>
      <c r="F25" s="183"/>
      <c r="G25" s="227" t="str">
        <f>B4</f>
        <v>Tax Rate</v>
      </c>
      <c r="H25" s="228">
        <v>0.18000000000000002</v>
      </c>
      <c r="I25" s="197">
        <v>59.614792865264924</v>
      </c>
      <c r="J25" s="197">
        <v>64.02429729990595</v>
      </c>
      <c r="K25" s="198">
        <v>69.04948309410985</v>
      </c>
      <c r="L25" s="197">
        <v>74.82897577613836</v>
      </c>
      <c r="M25" s="197">
        <v>81.54639461909663</v>
      </c>
      <c r="N25" s="87"/>
      <c r="O25" s="227" t="str">
        <f>B4</f>
        <v>Tax Rate</v>
      </c>
      <c r="P25" s="228">
        <v>0.18000000000000002</v>
      </c>
      <c r="Q25" s="199">
        <v>-0.019033421326707378</v>
      </c>
      <c r="R25" s="199">
        <v>0.05352535596655161</v>
      </c>
      <c r="S25" s="200">
        <v>0.13621522334358094</v>
      </c>
      <c r="T25" s="199">
        <v>0.23131727587558304</v>
      </c>
      <c r="U25" s="199">
        <v>0.3418529846011893</v>
      </c>
      <c r="V25" s="129"/>
      <c r="W25" s="129"/>
      <c r="X25" s="129"/>
      <c r="Y25" s="129"/>
      <c r="Z25" s="129"/>
    </row>
    <row r="26" ht="15.75" customHeight="1">
      <c r="A26" s="129"/>
      <c r="B26" s="223" t="s">
        <v>125</v>
      </c>
      <c r="C26" s="224">
        <f>FV-Debt+C25</f>
        <v>276976416.4</v>
      </c>
      <c r="D26" s="129"/>
      <c r="E26" s="129"/>
      <c r="F26" s="183"/>
      <c r="H26" s="228">
        <v>0.2</v>
      </c>
      <c r="I26" s="197">
        <v>57.7380493289746</v>
      </c>
      <c r="J26" s="201">
        <v>62.04599430829845</v>
      </c>
      <c r="K26" s="202">
        <v>66.95744970512537</v>
      </c>
      <c r="L26" s="201">
        <v>72.60878879864079</v>
      </c>
      <c r="M26" s="197">
        <v>79.1808195547733</v>
      </c>
      <c r="N26" s="87"/>
      <c r="P26" s="228">
        <v>0.2</v>
      </c>
      <c r="Q26" s="199">
        <v>-0.04991539872454587</v>
      </c>
      <c r="R26" s="203">
        <v>0.02097220893738383</v>
      </c>
      <c r="S26" s="204">
        <v>0.10179063277760192</v>
      </c>
      <c r="T26" s="203">
        <v>0.19478390691373626</v>
      </c>
      <c r="U26" s="199">
        <v>0.302927242081396</v>
      </c>
      <c r="V26" s="129"/>
      <c r="W26" s="129"/>
      <c r="X26" s="129"/>
      <c r="Y26" s="129"/>
      <c r="Z26" s="129"/>
    </row>
    <row r="27" ht="15.75" customHeight="1">
      <c r="A27" s="129"/>
      <c r="B27" s="223" t="s">
        <v>126</v>
      </c>
      <c r="C27" s="229">
        <f>Multiples!H22*1000</f>
        <v>4271000</v>
      </c>
      <c r="D27" s="129"/>
      <c r="E27" s="87"/>
      <c r="F27" s="183"/>
      <c r="H27" s="228">
        <v>0.22</v>
      </c>
      <c r="I27" s="205">
        <v>55.849468404574296</v>
      </c>
      <c r="J27" s="206">
        <v>60.05444611036558</v>
      </c>
      <c r="K27" s="207">
        <v>64.85048381594403</v>
      </c>
      <c r="L27" s="206">
        <v>70.37162293187316</v>
      </c>
      <c r="M27" s="208">
        <v>76.7957500929546</v>
      </c>
      <c r="N27" s="87"/>
      <c r="P27" s="228">
        <v>0.22</v>
      </c>
      <c r="Q27" s="209">
        <v>-0.08099216136873955</v>
      </c>
      <c r="R27" s="210">
        <v>-0.011798889108777022</v>
      </c>
      <c r="S27" s="211">
        <v>0.0671203266278706</v>
      </c>
      <c r="T27" s="210">
        <v>0.15797114885874008</v>
      </c>
      <c r="U27" s="212">
        <v>0.26368071756278666</v>
      </c>
      <c r="V27" s="129"/>
      <c r="W27" s="129"/>
      <c r="X27" s="129"/>
      <c r="Y27" s="129"/>
      <c r="Z27" s="129"/>
    </row>
    <row r="28" ht="15.75" customHeight="1">
      <c r="A28" s="129"/>
      <c r="B28" s="230" t="s">
        <v>127</v>
      </c>
      <c r="C28" s="231">
        <f>MKT.CAP/Shares</f>
        <v>64.85048382</v>
      </c>
      <c r="D28" s="129"/>
      <c r="E28" s="87"/>
      <c r="F28" s="183"/>
      <c r="H28" s="228">
        <v>0.24</v>
      </c>
      <c r="I28" s="197">
        <v>53.94894519690203</v>
      </c>
      <c r="J28" s="201">
        <v>58.049527636282605</v>
      </c>
      <c r="K28" s="202">
        <v>62.72843451703206</v>
      </c>
      <c r="L28" s="201">
        <v>68.11729360791914</v>
      </c>
      <c r="M28" s="197">
        <v>74.3909569707</v>
      </c>
      <c r="N28" s="87"/>
      <c r="P28" s="228">
        <v>0.24</v>
      </c>
      <c r="Q28" s="199">
        <v>-0.11226543531826183</v>
      </c>
      <c r="R28" s="203">
        <v>-0.04478999620672697</v>
      </c>
      <c r="S28" s="204">
        <v>0.032201821664941566</v>
      </c>
      <c r="T28" s="203">
        <v>0.12087596462954919</v>
      </c>
      <c r="U28" s="199">
        <v>0.2241096385038226</v>
      </c>
      <c r="V28" s="129"/>
      <c r="W28" s="129"/>
      <c r="X28" s="129"/>
      <c r="Y28" s="129"/>
      <c r="Z28" s="129"/>
    </row>
    <row r="29" ht="15.75" customHeight="1">
      <c r="A29" s="129"/>
      <c r="B29" s="232" t="s">
        <v>128</v>
      </c>
      <c r="C29" s="233">
        <f>Multiples!J42</f>
        <v>60.77148209</v>
      </c>
      <c r="D29" s="129"/>
      <c r="E29" s="87"/>
      <c r="F29" s="183"/>
      <c r="H29" s="228">
        <v>0.26</v>
      </c>
      <c r="I29" s="197">
        <v>52.036373570357895</v>
      </c>
      <c r="J29" s="197">
        <v>56.03111223950168</v>
      </c>
      <c r="K29" s="215">
        <v>60.591148861793634</v>
      </c>
      <c r="L29" s="197">
        <v>65.84561357778769</v>
      </c>
      <c r="M29" s="197">
        <v>71.96620732029808</v>
      </c>
      <c r="N29" s="87"/>
      <c r="P29" s="228">
        <v>0.26</v>
      </c>
      <c r="Q29" s="199">
        <v>-0.1437369670435994</v>
      </c>
      <c r="R29" s="199">
        <v>-0.07800319633637698</v>
      </c>
      <c r="S29" s="216">
        <v>-0.0029673988606631063</v>
      </c>
      <c r="T29" s="199">
        <v>0.08349527302780224</v>
      </c>
      <c r="U29" s="199">
        <v>0.1842101730461485</v>
      </c>
      <c r="V29" s="129"/>
      <c r="W29" s="129"/>
      <c r="X29" s="129"/>
      <c r="Y29" s="129"/>
      <c r="Z29" s="129"/>
    </row>
    <row r="30" ht="15.75" customHeight="1">
      <c r="A30" s="129"/>
      <c r="B30" s="234" t="str">
        <f>IF(C30&gt;0,"Undervalued","Overvalued")</f>
        <v>Undervalued</v>
      </c>
      <c r="C30" s="235">
        <f>(C28/C29)-1</f>
        <v>0.06712032663</v>
      </c>
      <c r="D30" s="129"/>
      <c r="E30" s="87"/>
      <c r="F30" s="183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129"/>
      <c r="W30" s="129"/>
      <c r="X30" s="129"/>
      <c r="Y30" s="129"/>
      <c r="Z30" s="129"/>
    </row>
    <row r="31" ht="15.75" customHeight="1">
      <c r="A31" s="129"/>
      <c r="B31" s="129"/>
      <c r="C31" s="129"/>
      <c r="D31" s="129"/>
      <c r="E31" s="236"/>
      <c r="F31" s="183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</row>
    <row r="32" ht="15.75" customHeight="1">
      <c r="A32" s="129"/>
      <c r="B32" s="129"/>
      <c r="C32" s="129"/>
      <c r="D32" s="129"/>
      <c r="E32" s="87"/>
      <c r="F32" s="183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</row>
    <row r="33" ht="15.75" customHeight="1">
      <c r="A33" s="129"/>
      <c r="B33" s="130" t="s">
        <v>129</v>
      </c>
      <c r="C33" s="129"/>
      <c r="D33" s="129"/>
      <c r="E33" s="87"/>
      <c r="F33" s="183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</row>
    <row r="34" ht="13.5" customHeight="1">
      <c r="A34" s="129"/>
      <c r="B34" s="129"/>
      <c r="C34" s="129"/>
      <c r="D34" s="129"/>
      <c r="E34" s="87"/>
      <c r="F34" s="183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</row>
    <row r="35" ht="15.75" customHeight="1">
      <c r="A35" s="129"/>
      <c r="B35" s="237" t="s">
        <v>129</v>
      </c>
      <c r="C35" s="238" t="s">
        <v>130</v>
      </c>
      <c r="D35" s="239" t="s">
        <v>49</v>
      </c>
      <c r="E35" s="87"/>
      <c r="F35" s="183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</row>
    <row r="36" ht="15.75" customHeight="1">
      <c r="A36" s="129"/>
      <c r="B36" s="240" t="s">
        <v>131</v>
      </c>
      <c r="C36" s="236">
        <f>C28</f>
        <v>64.85048382</v>
      </c>
      <c r="D36" s="241">
        <v>0.75</v>
      </c>
      <c r="E36" s="87"/>
      <c r="F36" s="183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</row>
    <row r="37" ht="15.75" customHeight="1">
      <c r="A37" s="129"/>
      <c r="B37" s="242" t="s">
        <v>132</v>
      </c>
      <c r="C37" s="243">
        <f>Multiples!J41</f>
        <v>70.8669894</v>
      </c>
      <c r="D37" s="244">
        <f>1-D36</f>
        <v>0.25</v>
      </c>
      <c r="E37" s="87"/>
      <c r="F37" s="183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</row>
    <row r="38" ht="15.75" customHeight="1">
      <c r="A38" s="129"/>
      <c r="B38" s="245" t="s">
        <v>48</v>
      </c>
      <c r="C38" s="246">
        <f>SUMPRODUCT(C36:C37,D36:D37)</f>
        <v>66.35461021</v>
      </c>
      <c r="D38" s="129"/>
      <c r="E38" s="87"/>
      <c r="F38" s="183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</row>
    <row r="39" ht="15.75" customHeight="1">
      <c r="A39" s="129"/>
      <c r="B39" s="245" t="s">
        <v>128</v>
      </c>
      <c r="C39" s="246">
        <f>C29</f>
        <v>60.77148209</v>
      </c>
      <c r="D39" s="129"/>
      <c r="E39" s="87"/>
      <c r="F39" s="183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</row>
    <row r="40" ht="15.75" customHeight="1">
      <c r="A40" s="129"/>
      <c r="B40" s="247" t="str">
        <f>IF(C40&gt;0,"Undervalued","Overvalued")</f>
        <v>Undervalued</v>
      </c>
      <c r="C40" s="248">
        <f>(C38/C39)-1</f>
        <v>0.09187085672</v>
      </c>
      <c r="D40" s="129"/>
      <c r="E40" s="87"/>
      <c r="F40" s="183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</row>
    <row r="41" ht="15.75" customHeight="1">
      <c r="A41" s="129"/>
      <c r="B41" s="129"/>
      <c r="C41" s="129"/>
      <c r="D41" s="129"/>
      <c r="E41" s="129"/>
      <c r="F41" s="183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</row>
    <row r="42" ht="15.0" customHeight="1">
      <c r="A42" s="129"/>
      <c r="B42" s="129"/>
      <c r="C42" s="129"/>
      <c r="D42" s="129"/>
      <c r="E42" s="129"/>
      <c r="F42" s="183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</row>
    <row r="43" ht="15.0" customHeight="1">
      <c r="A43" s="129"/>
      <c r="B43" s="129"/>
      <c r="C43" s="129"/>
      <c r="D43" s="129"/>
      <c r="E43" s="129"/>
      <c r="F43" s="183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</row>
    <row r="44" ht="15.75" customHeight="1">
      <c r="A44" s="129"/>
      <c r="B44" s="129"/>
      <c r="C44" s="129"/>
      <c r="D44" s="129"/>
      <c r="E44" s="129"/>
      <c r="F44" s="180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</row>
    <row r="45" ht="15.75" customHeight="1">
      <c r="A45" s="129"/>
      <c r="B45" s="129"/>
      <c r="C45" s="129"/>
      <c r="D45" s="129"/>
      <c r="E45" s="129"/>
      <c r="F45" s="180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</row>
    <row r="46" ht="15.75" customHeight="1">
      <c r="A46" s="129"/>
      <c r="B46" s="129"/>
      <c r="C46" s="129"/>
      <c r="D46" s="129"/>
      <c r="E46" s="129"/>
      <c r="F46" s="180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</row>
    <row r="47" ht="15.75" customHeight="1">
      <c r="A47" s="129"/>
      <c r="B47" s="129"/>
      <c r="C47" s="129"/>
      <c r="D47" s="129"/>
      <c r="E47" s="129"/>
      <c r="F47" s="180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</row>
    <row r="48" ht="15.75" customHeight="1">
      <c r="A48" s="129"/>
      <c r="B48" s="129"/>
      <c r="C48" s="129"/>
      <c r="D48" s="129"/>
      <c r="E48" s="129"/>
      <c r="F48" s="180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</row>
    <row r="49" ht="15.75" customHeight="1">
      <c r="A49" s="129"/>
      <c r="B49" s="129"/>
      <c r="C49" s="129"/>
      <c r="D49" s="129"/>
      <c r="E49" s="129"/>
      <c r="F49" s="180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</row>
    <row r="50" ht="15.75" customHeight="1">
      <c r="A50" s="129"/>
      <c r="B50" s="129"/>
      <c r="C50" s="129"/>
      <c r="D50" s="129"/>
      <c r="E50" s="129"/>
      <c r="F50" s="180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</row>
    <row r="51" ht="15.75" customHeight="1">
      <c r="A51" s="129"/>
      <c r="B51" s="129"/>
      <c r="C51" s="129"/>
      <c r="D51" s="129"/>
      <c r="E51" s="129"/>
      <c r="F51" s="180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</row>
    <row r="52" ht="15.75" customHeight="1">
      <c r="A52" s="129"/>
      <c r="B52" s="129"/>
      <c r="C52" s="129"/>
      <c r="D52" s="129"/>
      <c r="E52" s="129"/>
      <c r="F52" s="180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</row>
    <row r="53" ht="12.75" customHeight="1">
      <c r="A53" s="129"/>
      <c r="B53" s="129"/>
      <c r="C53" s="129"/>
      <c r="D53" s="129"/>
      <c r="E53" s="129"/>
      <c r="F53" s="180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</row>
    <row r="54" ht="15.75" customHeight="1">
      <c r="A54" s="129"/>
      <c r="B54" s="129"/>
      <c r="C54" s="129"/>
      <c r="D54" s="129"/>
      <c r="E54" s="129"/>
      <c r="F54" s="180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</row>
    <row r="55" ht="15.75" customHeight="1">
      <c r="A55" s="129"/>
      <c r="B55" s="129"/>
      <c r="C55" s="129"/>
      <c r="D55" s="249"/>
      <c r="E55" s="129"/>
      <c r="F55" s="180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</row>
    <row r="56" ht="15.75" customHeight="1">
      <c r="A56" s="129"/>
      <c r="B56" s="131"/>
      <c r="C56" s="129"/>
      <c r="D56" s="249"/>
      <c r="E56" s="129"/>
      <c r="F56" s="180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</row>
    <row r="57" ht="15.75" customHeight="1">
      <c r="A57" s="129"/>
      <c r="B57" s="129"/>
      <c r="C57" s="250"/>
      <c r="D57" s="250"/>
      <c r="E57" s="129"/>
      <c r="F57" s="180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</row>
    <row r="58" ht="15.75" customHeight="1">
      <c r="A58" s="129"/>
      <c r="B58" s="129"/>
      <c r="C58" s="250"/>
      <c r="D58" s="87"/>
      <c r="E58" s="129"/>
      <c r="F58" s="180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</row>
    <row r="59" ht="15.75" customHeight="1">
      <c r="A59" s="129"/>
      <c r="B59" s="129"/>
      <c r="C59" s="250"/>
      <c r="D59" s="87"/>
      <c r="E59" s="129"/>
      <c r="F59" s="180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</row>
    <row r="60" ht="15.75" customHeight="1">
      <c r="A60" s="129"/>
      <c r="B60" s="87"/>
      <c r="C60" s="251"/>
      <c r="D60" s="87"/>
      <c r="E60" s="129"/>
      <c r="F60" s="180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</row>
    <row r="61" ht="15.75" customHeight="1">
      <c r="A61" s="129"/>
      <c r="B61" s="129"/>
      <c r="C61" s="129"/>
      <c r="D61" s="87"/>
      <c r="E61" s="129"/>
      <c r="F61" s="180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</row>
    <row r="62" ht="15.75" customHeight="1">
      <c r="A62" s="129"/>
      <c r="B62" s="129"/>
      <c r="C62" s="252"/>
      <c r="D62" s="87"/>
      <c r="E62" s="129"/>
      <c r="F62" s="180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</row>
    <row r="63" ht="15.75" customHeight="1">
      <c r="A63" s="129"/>
      <c r="B63" s="87"/>
      <c r="C63" s="251"/>
      <c r="D63" s="87"/>
      <c r="E63" s="129"/>
      <c r="F63" s="180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</row>
    <row r="64" ht="15.75" customHeight="1">
      <c r="A64" s="129"/>
      <c r="B64" s="87"/>
      <c r="C64" s="251"/>
      <c r="D64" s="129"/>
      <c r="E64" s="129"/>
      <c r="F64" s="180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</row>
    <row r="65" ht="15.75" customHeight="1">
      <c r="A65" s="129"/>
      <c r="B65" s="87"/>
      <c r="C65" s="252"/>
      <c r="D65" s="129"/>
      <c r="E65" s="129"/>
      <c r="F65" s="180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</row>
    <row r="66" ht="15.75" customHeight="1">
      <c r="A66" s="129"/>
      <c r="B66" s="129"/>
      <c r="C66" s="129"/>
      <c r="D66" s="129"/>
      <c r="E66" s="129"/>
      <c r="F66" s="180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</row>
    <row r="67" ht="15.75" customHeight="1">
      <c r="A67" s="129"/>
      <c r="B67" s="131"/>
      <c r="C67" s="129"/>
      <c r="D67" s="129"/>
      <c r="E67" s="129"/>
      <c r="F67" s="180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</row>
    <row r="68" ht="15.75" customHeight="1">
      <c r="A68" s="129"/>
      <c r="B68" s="129"/>
      <c r="C68" s="250"/>
      <c r="D68" s="129"/>
      <c r="E68" s="129"/>
      <c r="F68" s="180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</row>
    <row r="69" ht="15.75" customHeight="1">
      <c r="A69" s="129"/>
      <c r="B69" s="129"/>
      <c r="C69" s="250"/>
      <c r="D69" s="129"/>
      <c r="E69" s="129"/>
      <c r="F69" s="180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</row>
    <row r="70" ht="15.75" customHeight="1">
      <c r="A70" s="129"/>
      <c r="B70" s="129"/>
      <c r="C70" s="250"/>
      <c r="D70" s="129"/>
      <c r="E70" s="129"/>
      <c r="F70" s="180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</row>
    <row r="71" ht="15.75" customHeight="1">
      <c r="A71" s="129"/>
      <c r="B71" s="129"/>
      <c r="C71" s="253"/>
      <c r="D71" s="129"/>
      <c r="E71" s="129"/>
      <c r="F71" s="180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</row>
    <row r="72" ht="15.75" customHeight="1">
      <c r="A72" s="129"/>
      <c r="B72" s="129"/>
      <c r="C72" s="250"/>
      <c r="D72" s="129"/>
      <c r="E72" s="129"/>
      <c r="F72" s="180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</row>
    <row r="73" ht="15.75" customHeight="1">
      <c r="A73" s="129"/>
      <c r="B73" s="129"/>
      <c r="C73" s="254"/>
      <c r="D73" s="129"/>
      <c r="E73" s="129"/>
      <c r="F73" s="180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</row>
    <row r="74" ht="15.75" customHeight="1">
      <c r="A74" s="129"/>
      <c r="B74" s="129"/>
      <c r="C74" s="129"/>
      <c r="D74" s="129"/>
      <c r="E74" s="129"/>
      <c r="F74" s="180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</row>
    <row r="75" ht="15.75" customHeight="1">
      <c r="A75" s="129"/>
      <c r="B75" s="129"/>
      <c r="C75" s="129"/>
      <c r="D75" s="129"/>
      <c r="E75" s="129"/>
      <c r="F75" s="180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</row>
    <row r="76" ht="15.75" customHeight="1">
      <c r="A76" s="129"/>
      <c r="B76" s="129"/>
      <c r="C76" s="129"/>
      <c r="D76" s="129"/>
      <c r="E76" s="129"/>
      <c r="F76" s="180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</row>
    <row r="77" ht="15.75" customHeight="1">
      <c r="A77" s="129"/>
      <c r="B77" s="129"/>
      <c r="C77" s="129"/>
      <c r="D77" s="129"/>
      <c r="E77" s="129"/>
      <c r="F77" s="180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</row>
    <row r="78" ht="15.75" customHeight="1">
      <c r="A78" s="129"/>
      <c r="B78" s="129"/>
      <c r="C78" s="129"/>
      <c r="D78" s="129"/>
      <c r="E78" s="129"/>
      <c r="F78" s="180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</row>
    <row r="79" ht="15.75" customHeight="1">
      <c r="A79" s="129"/>
      <c r="B79" s="129"/>
      <c r="C79" s="129"/>
      <c r="D79" s="129"/>
      <c r="E79" s="129"/>
      <c r="F79" s="180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</row>
    <row r="80" ht="15.75" customHeight="1">
      <c r="A80" s="129"/>
      <c r="B80" s="129"/>
      <c r="C80" s="129"/>
      <c r="D80" s="129"/>
      <c r="E80" s="129"/>
      <c r="F80" s="180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</row>
    <row r="81" ht="15.75" customHeight="1">
      <c r="A81" s="129"/>
      <c r="B81" s="129"/>
      <c r="C81" s="129"/>
      <c r="D81" s="129"/>
      <c r="E81" s="129"/>
      <c r="F81" s="180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</row>
    <row r="82" ht="15.75" customHeight="1">
      <c r="A82" s="129"/>
      <c r="B82" s="129"/>
      <c r="C82" s="129"/>
      <c r="D82" s="129"/>
      <c r="E82" s="129"/>
      <c r="F82" s="180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</row>
    <row r="83" ht="15.75" customHeight="1">
      <c r="A83" s="129"/>
      <c r="B83" s="129"/>
      <c r="C83" s="129"/>
      <c r="D83" s="129"/>
      <c r="E83" s="129"/>
      <c r="F83" s="180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</row>
    <row r="84" ht="15.75" customHeight="1">
      <c r="A84" s="129"/>
      <c r="B84" s="129"/>
      <c r="C84" s="129"/>
      <c r="D84" s="129"/>
      <c r="E84" s="129"/>
      <c r="F84" s="180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</row>
    <row r="85" ht="15.75" customHeight="1">
      <c r="A85" s="129"/>
      <c r="B85" s="129"/>
      <c r="C85" s="129"/>
      <c r="D85" s="129"/>
      <c r="E85" s="129"/>
      <c r="F85" s="180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</row>
    <row r="86" ht="15.75" customHeight="1">
      <c r="A86" s="129"/>
      <c r="B86" s="129"/>
      <c r="C86" s="129"/>
      <c r="D86" s="129"/>
      <c r="E86" s="129"/>
      <c r="F86" s="180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</row>
    <row r="87" ht="15.75" customHeight="1">
      <c r="A87" s="129"/>
      <c r="B87" s="129"/>
      <c r="C87" s="129"/>
      <c r="D87" s="129"/>
      <c r="E87" s="129"/>
      <c r="F87" s="180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</row>
    <row r="88" ht="15.75" customHeight="1">
      <c r="A88" s="129"/>
      <c r="B88" s="129"/>
      <c r="C88" s="129"/>
      <c r="D88" s="129"/>
      <c r="E88" s="129"/>
      <c r="F88" s="180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</row>
    <row r="89" ht="15.75" customHeight="1">
      <c r="A89" s="129"/>
      <c r="B89" s="129"/>
      <c r="C89" s="129"/>
      <c r="D89" s="129"/>
      <c r="E89" s="129"/>
      <c r="F89" s="180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</row>
    <row r="90" ht="15.75" customHeight="1">
      <c r="A90" s="129"/>
      <c r="B90" s="129"/>
      <c r="C90" s="129"/>
      <c r="D90" s="129"/>
      <c r="E90" s="129"/>
      <c r="F90" s="180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</row>
    <row r="91" ht="15.75" customHeight="1">
      <c r="A91" s="129"/>
      <c r="B91" s="129"/>
      <c r="C91" s="129"/>
      <c r="D91" s="129"/>
      <c r="E91" s="129"/>
      <c r="F91" s="180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</row>
    <row r="92" ht="15.75" customHeight="1">
      <c r="A92" s="129"/>
      <c r="B92" s="129"/>
      <c r="C92" s="129"/>
      <c r="D92" s="129"/>
      <c r="E92" s="129"/>
      <c r="F92" s="180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</row>
    <row r="93" ht="15.75" customHeight="1">
      <c r="A93" s="129"/>
      <c r="B93" s="129"/>
      <c r="C93" s="129"/>
      <c r="D93" s="129"/>
      <c r="E93" s="129"/>
      <c r="F93" s="180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</row>
    <row r="94" ht="15.75" customHeight="1">
      <c r="A94" s="129"/>
      <c r="B94" s="129"/>
      <c r="C94" s="129"/>
      <c r="D94" s="129"/>
      <c r="E94" s="129"/>
      <c r="F94" s="180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</row>
    <row r="95" ht="15.75" customHeight="1">
      <c r="A95" s="129"/>
      <c r="B95" s="129"/>
      <c r="C95" s="129"/>
      <c r="D95" s="129"/>
      <c r="E95" s="129"/>
      <c r="F95" s="180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</row>
    <row r="96" ht="15.75" customHeight="1">
      <c r="A96" s="129"/>
      <c r="B96" s="129"/>
      <c r="C96" s="129"/>
      <c r="D96" s="129"/>
      <c r="E96" s="129"/>
      <c r="F96" s="180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</row>
    <row r="97" ht="15.75" customHeight="1">
      <c r="A97" s="129"/>
      <c r="B97" s="129"/>
      <c r="C97" s="129"/>
      <c r="D97" s="129"/>
      <c r="E97" s="129"/>
      <c r="F97" s="180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</row>
    <row r="98" ht="15.75" customHeight="1">
      <c r="A98" s="129"/>
      <c r="B98" s="129"/>
      <c r="C98" s="129"/>
      <c r="D98" s="129"/>
      <c r="E98" s="129"/>
      <c r="F98" s="180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</row>
    <row r="99" ht="15.75" customHeight="1">
      <c r="A99" s="129"/>
      <c r="B99" s="129"/>
      <c r="C99" s="129"/>
      <c r="D99" s="129"/>
      <c r="E99" s="129"/>
      <c r="F99" s="180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</row>
    <row r="100" ht="15.75" customHeight="1">
      <c r="A100" s="129"/>
      <c r="B100" s="129"/>
      <c r="C100" s="129"/>
      <c r="D100" s="129"/>
      <c r="E100" s="129"/>
      <c r="F100" s="180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</row>
    <row r="101" ht="15.75" customHeight="1">
      <c r="A101" s="129"/>
      <c r="B101" s="129"/>
      <c r="C101" s="129"/>
      <c r="D101" s="129"/>
      <c r="E101" s="129"/>
      <c r="F101" s="180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</row>
    <row r="102" ht="15.75" customHeight="1">
      <c r="A102" s="129"/>
      <c r="B102" s="129"/>
      <c r="C102" s="129"/>
      <c r="D102" s="129"/>
      <c r="E102" s="129"/>
      <c r="F102" s="180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</row>
    <row r="103" ht="15.75" customHeight="1">
      <c r="A103" s="129"/>
      <c r="B103" s="129"/>
      <c r="C103" s="129"/>
      <c r="D103" s="129"/>
      <c r="E103" s="129"/>
      <c r="F103" s="180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</row>
    <row r="104" ht="15.75" customHeight="1">
      <c r="A104" s="129"/>
      <c r="B104" s="129"/>
      <c r="C104" s="129"/>
      <c r="D104" s="129"/>
      <c r="E104" s="129"/>
      <c r="F104" s="180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</row>
    <row r="105" ht="15.75" customHeight="1">
      <c r="A105" s="129"/>
      <c r="B105" s="129"/>
      <c r="C105" s="129"/>
      <c r="D105" s="129"/>
      <c r="E105" s="129"/>
      <c r="F105" s="180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</row>
    <row r="106" ht="15.75" customHeight="1">
      <c r="A106" s="129"/>
      <c r="B106" s="129"/>
      <c r="C106" s="129"/>
      <c r="D106" s="129"/>
      <c r="E106" s="129"/>
      <c r="F106" s="180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</row>
    <row r="107" ht="15.75" customHeight="1">
      <c r="A107" s="129"/>
      <c r="B107" s="129"/>
      <c r="C107" s="129"/>
      <c r="D107" s="129"/>
      <c r="E107" s="129"/>
      <c r="F107" s="180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</row>
    <row r="108" ht="15.75" customHeight="1">
      <c r="A108" s="129"/>
      <c r="B108" s="129"/>
      <c r="C108" s="129"/>
      <c r="D108" s="129"/>
      <c r="E108" s="129"/>
      <c r="F108" s="180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</row>
    <row r="109" ht="15.75" customHeight="1">
      <c r="A109" s="129"/>
      <c r="B109" s="129"/>
      <c r="C109" s="129"/>
      <c r="D109" s="129"/>
      <c r="E109" s="129"/>
      <c r="F109" s="180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</row>
    <row r="110" ht="15.75" customHeight="1">
      <c r="A110" s="129"/>
      <c r="B110" s="129"/>
      <c r="C110" s="129"/>
      <c r="D110" s="129"/>
      <c r="E110" s="129"/>
      <c r="F110" s="180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</row>
    <row r="111" ht="15.75" customHeight="1">
      <c r="A111" s="129"/>
      <c r="B111" s="129"/>
      <c r="C111" s="129"/>
      <c r="D111" s="129"/>
      <c r="E111" s="129"/>
      <c r="F111" s="180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</row>
    <row r="112" ht="15.75" customHeight="1">
      <c r="A112" s="129"/>
      <c r="B112" s="129"/>
      <c r="C112" s="129"/>
      <c r="D112" s="129"/>
      <c r="E112" s="129"/>
      <c r="F112" s="180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</row>
    <row r="113" ht="15.75" customHeight="1">
      <c r="A113" s="129"/>
      <c r="B113" s="129"/>
      <c r="C113" s="129"/>
      <c r="D113" s="129"/>
      <c r="E113" s="129"/>
      <c r="F113" s="180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</row>
    <row r="114" ht="15.75" customHeight="1">
      <c r="A114" s="129"/>
      <c r="B114" s="129"/>
      <c r="C114" s="129"/>
      <c r="D114" s="129"/>
      <c r="E114" s="129"/>
      <c r="F114" s="180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</row>
    <row r="115" ht="15.75" customHeight="1">
      <c r="A115" s="129"/>
      <c r="B115" s="129"/>
      <c r="C115" s="129"/>
      <c r="D115" s="129"/>
      <c r="E115" s="129"/>
      <c r="F115" s="180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</row>
    <row r="116" ht="15.75" customHeight="1">
      <c r="A116" s="129"/>
      <c r="B116" s="129"/>
      <c r="C116" s="129"/>
      <c r="D116" s="129"/>
      <c r="E116" s="129"/>
      <c r="F116" s="180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</row>
    <row r="117" ht="15.75" customHeight="1">
      <c r="A117" s="129"/>
      <c r="B117" s="129"/>
      <c r="C117" s="129"/>
      <c r="D117" s="129"/>
      <c r="E117" s="129"/>
      <c r="F117" s="180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</row>
    <row r="118" ht="15.75" customHeight="1">
      <c r="A118" s="129"/>
      <c r="B118" s="129"/>
      <c r="C118" s="129"/>
      <c r="D118" s="129"/>
      <c r="E118" s="129"/>
      <c r="F118" s="180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</row>
    <row r="119" ht="15.75" customHeight="1">
      <c r="A119" s="129"/>
      <c r="B119" s="129"/>
      <c r="C119" s="129"/>
      <c r="D119" s="129"/>
      <c r="E119" s="129"/>
      <c r="F119" s="180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</row>
    <row r="120" ht="15.75" customHeight="1">
      <c r="A120" s="129"/>
      <c r="B120" s="129"/>
      <c r="C120" s="129"/>
      <c r="D120" s="129"/>
      <c r="E120" s="129"/>
      <c r="F120" s="180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</row>
    <row r="121" ht="15.75" customHeight="1">
      <c r="A121" s="129"/>
      <c r="B121" s="129"/>
      <c r="C121" s="129"/>
      <c r="D121" s="129"/>
      <c r="E121" s="129"/>
      <c r="F121" s="180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</row>
    <row r="122" ht="15.75" customHeight="1">
      <c r="A122" s="129"/>
      <c r="B122" s="129"/>
      <c r="C122" s="129"/>
      <c r="D122" s="129"/>
      <c r="E122" s="129"/>
      <c r="F122" s="180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</row>
    <row r="123" ht="15.75" customHeight="1">
      <c r="A123" s="129"/>
      <c r="B123" s="129"/>
      <c r="C123" s="129"/>
      <c r="D123" s="129"/>
      <c r="E123" s="129"/>
      <c r="F123" s="180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</row>
    <row r="124" ht="15.75" customHeight="1">
      <c r="A124" s="129"/>
      <c r="B124" s="129"/>
      <c r="C124" s="129"/>
      <c r="D124" s="129"/>
      <c r="E124" s="129"/>
      <c r="F124" s="180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</row>
    <row r="125" ht="15.75" customHeight="1">
      <c r="A125" s="129"/>
      <c r="B125" s="129"/>
      <c r="C125" s="129"/>
      <c r="D125" s="129"/>
      <c r="E125" s="129"/>
      <c r="F125" s="180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</row>
    <row r="126" ht="15.75" customHeight="1">
      <c r="A126" s="129"/>
      <c r="B126" s="129"/>
      <c r="C126" s="129"/>
      <c r="D126" s="129"/>
      <c r="E126" s="129"/>
      <c r="F126" s="180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</row>
    <row r="127" ht="15.75" customHeight="1">
      <c r="A127" s="129"/>
      <c r="B127" s="129"/>
      <c r="C127" s="129"/>
      <c r="D127" s="129"/>
      <c r="E127" s="129"/>
      <c r="F127" s="180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</row>
    <row r="128" ht="15.75" customHeight="1">
      <c r="A128" s="129"/>
      <c r="B128" s="129"/>
      <c r="C128" s="129"/>
      <c r="D128" s="129"/>
      <c r="E128" s="129"/>
      <c r="F128" s="180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</row>
    <row r="129" ht="15.75" customHeight="1">
      <c r="A129" s="129"/>
      <c r="B129" s="129"/>
      <c r="C129" s="129"/>
      <c r="D129" s="129"/>
      <c r="E129" s="129"/>
      <c r="F129" s="180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</row>
    <row r="130" ht="15.75" customHeight="1">
      <c r="A130" s="129"/>
      <c r="B130" s="129"/>
      <c r="C130" s="129"/>
      <c r="D130" s="129"/>
      <c r="E130" s="129"/>
      <c r="F130" s="180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</row>
    <row r="131" ht="15.75" customHeight="1">
      <c r="A131" s="129"/>
      <c r="B131" s="129"/>
      <c r="C131" s="129"/>
      <c r="D131" s="129"/>
      <c r="E131" s="129"/>
      <c r="F131" s="180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</row>
    <row r="132" ht="15.75" customHeight="1">
      <c r="A132" s="129"/>
      <c r="B132" s="129"/>
      <c r="C132" s="129"/>
      <c r="D132" s="129"/>
      <c r="E132" s="129"/>
      <c r="F132" s="180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</row>
    <row r="133" ht="15.75" customHeight="1">
      <c r="A133" s="129"/>
      <c r="B133" s="129"/>
      <c r="C133" s="129"/>
      <c r="D133" s="129"/>
      <c r="E133" s="129"/>
      <c r="F133" s="180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</row>
    <row r="134" ht="15.75" customHeight="1">
      <c r="A134" s="129"/>
      <c r="B134" s="129"/>
      <c r="C134" s="129"/>
      <c r="D134" s="129"/>
      <c r="E134" s="129"/>
      <c r="F134" s="180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</row>
    <row r="135" ht="15.75" customHeight="1">
      <c r="A135" s="129"/>
      <c r="B135" s="129"/>
      <c r="C135" s="129"/>
      <c r="D135" s="129"/>
      <c r="E135" s="129"/>
      <c r="F135" s="180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</row>
    <row r="136" ht="15.75" customHeight="1">
      <c r="A136" s="129"/>
      <c r="B136" s="129"/>
      <c r="C136" s="129"/>
      <c r="D136" s="129"/>
      <c r="E136" s="129"/>
      <c r="F136" s="180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</row>
    <row r="137" ht="15.75" customHeight="1">
      <c r="A137" s="129"/>
      <c r="B137" s="129"/>
      <c r="C137" s="129"/>
      <c r="D137" s="129"/>
      <c r="E137" s="129"/>
      <c r="F137" s="180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</row>
    <row r="138" ht="15.75" customHeight="1">
      <c r="A138" s="129"/>
      <c r="B138" s="129"/>
      <c r="C138" s="129"/>
      <c r="D138" s="129"/>
      <c r="E138" s="129"/>
      <c r="F138" s="180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</row>
    <row r="139" ht="15.75" customHeight="1">
      <c r="A139" s="129"/>
      <c r="B139" s="129"/>
      <c r="C139" s="129"/>
      <c r="D139" s="129"/>
      <c r="E139" s="129"/>
      <c r="F139" s="180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</row>
    <row r="140" ht="15.75" customHeight="1">
      <c r="A140" s="129"/>
      <c r="B140" s="129"/>
      <c r="C140" s="129"/>
      <c r="D140" s="129"/>
      <c r="E140" s="129"/>
      <c r="F140" s="180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</row>
    <row r="141" ht="15.75" customHeight="1">
      <c r="A141" s="129"/>
      <c r="B141" s="129"/>
      <c r="C141" s="129"/>
      <c r="D141" s="129"/>
      <c r="E141" s="129"/>
      <c r="F141" s="180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</row>
    <row r="142" ht="15.75" customHeight="1">
      <c r="A142" s="129"/>
      <c r="B142" s="129"/>
      <c r="C142" s="129"/>
      <c r="D142" s="129"/>
      <c r="E142" s="129"/>
      <c r="F142" s="180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</row>
    <row r="143" ht="15.75" customHeight="1">
      <c r="A143" s="129"/>
      <c r="B143" s="129"/>
      <c r="C143" s="129"/>
      <c r="D143" s="129"/>
      <c r="E143" s="129"/>
      <c r="F143" s="180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</row>
    <row r="144" ht="15.75" customHeight="1">
      <c r="A144" s="129"/>
      <c r="B144" s="129"/>
      <c r="C144" s="129"/>
      <c r="D144" s="129"/>
      <c r="E144" s="129"/>
      <c r="F144" s="180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</row>
    <row r="145" ht="15.75" customHeight="1">
      <c r="A145" s="129"/>
      <c r="B145" s="129"/>
      <c r="C145" s="129"/>
      <c r="D145" s="129"/>
      <c r="E145" s="129"/>
      <c r="F145" s="180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</row>
    <row r="146" ht="15.75" customHeight="1">
      <c r="A146" s="129"/>
      <c r="B146" s="129"/>
      <c r="C146" s="129"/>
      <c r="D146" s="129"/>
      <c r="E146" s="129"/>
      <c r="F146" s="180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</row>
    <row r="147" ht="15.75" customHeight="1">
      <c r="A147" s="129"/>
      <c r="B147" s="129"/>
      <c r="C147" s="129"/>
      <c r="D147" s="129"/>
      <c r="E147" s="129"/>
      <c r="F147" s="180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</row>
    <row r="148" ht="15.75" customHeight="1">
      <c r="A148" s="129"/>
      <c r="B148" s="129"/>
      <c r="C148" s="129"/>
      <c r="D148" s="129"/>
      <c r="E148" s="129"/>
      <c r="F148" s="180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</row>
    <row r="149" ht="15.75" customHeight="1">
      <c r="A149" s="129"/>
      <c r="B149" s="129"/>
      <c r="C149" s="129"/>
      <c r="D149" s="129"/>
      <c r="E149" s="129"/>
      <c r="F149" s="180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</row>
    <row r="150" ht="15.75" customHeight="1">
      <c r="A150" s="129"/>
      <c r="B150" s="129"/>
      <c r="C150" s="129"/>
      <c r="D150" s="129"/>
      <c r="E150" s="129"/>
      <c r="F150" s="180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</row>
    <row r="151" ht="15.75" customHeight="1">
      <c r="A151" s="129"/>
      <c r="B151" s="129"/>
      <c r="C151" s="129"/>
      <c r="D151" s="129"/>
      <c r="E151" s="129"/>
      <c r="F151" s="180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</row>
    <row r="152" ht="15.75" customHeight="1">
      <c r="A152" s="129"/>
      <c r="B152" s="129"/>
      <c r="C152" s="129"/>
      <c r="D152" s="129"/>
      <c r="E152" s="129"/>
      <c r="F152" s="180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</row>
    <row r="153" ht="15.75" customHeight="1">
      <c r="A153" s="129"/>
      <c r="B153" s="129"/>
      <c r="C153" s="129"/>
      <c r="D153" s="129"/>
      <c r="E153" s="129"/>
      <c r="F153" s="180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</row>
    <row r="154" ht="15.75" customHeight="1">
      <c r="A154" s="129"/>
      <c r="B154" s="129"/>
      <c r="C154" s="129"/>
      <c r="D154" s="129"/>
      <c r="E154" s="129"/>
      <c r="F154" s="180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</row>
    <row r="155" ht="15.75" customHeight="1">
      <c r="A155" s="129"/>
      <c r="B155" s="129"/>
      <c r="C155" s="129"/>
      <c r="D155" s="129"/>
      <c r="E155" s="129"/>
      <c r="F155" s="180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</row>
    <row r="156" ht="15.75" customHeight="1">
      <c r="A156" s="129"/>
      <c r="B156" s="129"/>
      <c r="C156" s="129"/>
      <c r="D156" s="129"/>
      <c r="E156" s="129"/>
      <c r="F156" s="180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</row>
    <row r="157" ht="15.75" customHeight="1">
      <c r="A157" s="129"/>
      <c r="B157" s="129"/>
      <c r="C157" s="129"/>
      <c r="D157" s="129"/>
      <c r="E157" s="129"/>
      <c r="F157" s="180"/>
      <c r="G157" s="129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</row>
    <row r="158" ht="15.75" customHeight="1">
      <c r="A158" s="129"/>
      <c r="B158" s="129"/>
      <c r="C158" s="129"/>
      <c r="D158" s="129"/>
      <c r="E158" s="129"/>
      <c r="F158" s="180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</row>
    <row r="159" ht="15.75" customHeight="1">
      <c r="A159" s="129"/>
      <c r="B159" s="129"/>
      <c r="C159" s="129"/>
      <c r="D159" s="129"/>
      <c r="E159" s="129"/>
      <c r="F159" s="180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</row>
    <row r="160" ht="15.75" customHeight="1">
      <c r="A160" s="129"/>
      <c r="B160" s="129"/>
      <c r="C160" s="129"/>
      <c r="D160" s="129"/>
      <c r="E160" s="129"/>
      <c r="F160" s="180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</row>
    <row r="161" ht="15.75" customHeight="1">
      <c r="A161" s="129"/>
      <c r="B161" s="129"/>
      <c r="C161" s="129"/>
      <c r="D161" s="129"/>
      <c r="E161" s="129"/>
      <c r="F161" s="180"/>
      <c r="G161" s="129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</row>
    <row r="162" ht="15.75" customHeight="1">
      <c r="A162" s="129"/>
      <c r="B162" s="129"/>
      <c r="C162" s="129"/>
      <c r="D162" s="129"/>
      <c r="E162" s="129"/>
      <c r="F162" s="180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</row>
    <row r="163" ht="15.75" customHeight="1">
      <c r="A163" s="129"/>
      <c r="B163" s="129"/>
      <c r="C163" s="129"/>
      <c r="D163" s="129"/>
      <c r="E163" s="129"/>
      <c r="F163" s="180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</row>
    <row r="164" ht="15.75" customHeight="1">
      <c r="A164" s="129"/>
      <c r="B164" s="129"/>
      <c r="C164" s="129"/>
      <c r="D164" s="129"/>
      <c r="E164" s="129"/>
      <c r="F164" s="180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</row>
    <row r="165" ht="15.75" customHeight="1">
      <c r="A165" s="129"/>
      <c r="B165" s="129"/>
      <c r="C165" s="129"/>
      <c r="D165" s="129"/>
      <c r="E165" s="129"/>
      <c r="F165" s="180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</row>
    <row r="166" ht="15.75" customHeight="1">
      <c r="A166" s="129"/>
      <c r="B166" s="129"/>
      <c r="C166" s="129"/>
      <c r="D166" s="129"/>
      <c r="E166" s="129"/>
      <c r="F166" s="180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</row>
    <row r="167" ht="15.75" customHeight="1">
      <c r="A167" s="129"/>
      <c r="B167" s="129"/>
      <c r="C167" s="129"/>
      <c r="D167" s="129"/>
      <c r="E167" s="129"/>
      <c r="F167" s="180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</row>
    <row r="168" ht="15.75" customHeight="1">
      <c r="A168" s="129"/>
      <c r="B168" s="129"/>
      <c r="C168" s="129"/>
      <c r="D168" s="129"/>
      <c r="E168" s="129"/>
      <c r="F168" s="180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</row>
    <row r="169" ht="15.75" customHeight="1">
      <c r="A169" s="129"/>
      <c r="B169" s="129"/>
      <c r="C169" s="129"/>
      <c r="D169" s="129"/>
      <c r="E169" s="129"/>
      <c r="F169" s="180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</row>
    <row r="170" ht="15.75" customHeight="1">
      <c r="A170" s="129"/>
      <c r="B170" s="129"/>
      <c r="C170" s="129"/>
      <c r="D170" s="129"/>
      <c r="E170" s="129"/>
      <c r="F170" s="180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</row>
    <row r="171" ht="15.75" customHeight="1">
      <c r="A171" s="129"/>
      <c r="B171" s="129"/>
      <c r="C171" s="129"/>
      <c r="D171" s="129"/>
      <c r="E171" s="129"/>
      <c r="F171" s="180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</row>
    <row r="172" ht="15.75" customHeight="1">
      <c r="A172" s="129"/>
      <c r="B172" s="129"/>
      <c r="C172" s="129"/>
      <c r="D172" s="129"/>
      <c r="E172" s="129"/>
      <c r="F172" s="180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</row>
    <row r="173" ht="15.75" customHeight="1">
      <c r="A173" s="129"/>
      <c r="B173" s="129"/>
      <c r="C173" s="129"/>
      <c r="D173" s="129"/>
      <c r="E173" s="129"/>
      <c r="F173" s="180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</row>
    <row r="174" ht="15.75" customHeight="1">
      <c r="A174" s="129"/>
      <c r="B174" s="129"/>
      <c r="C174" s="129"/>
      <c r="D174" s="129"/>
      <c r="E174" s="129"/>
      <c r="F174" s="180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</row>
    <row r="175" ht="15.75" customHeight="1">
      <c r="A175" s="129"/>
      <c r="B175" s="129"/>
      <c r="C175" s="129"/>
      <c r="D175" s="129"/>
      <c r="E175" s="129"/>
      <c r="F175" s="180"/>
      <c r="G175" s="129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</row>
    <row r="176" ht="15.75" customHeight="1">
      <c r="A176" s="129"/>
      <c r="B176" s="129"/>
      <c r="C176" s="129"/>
      <c r="D176" s="129"/>
      <c r="E176" s="129"/>
      <c r="F176" s="180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</row>
    <row r="177" ht="15.75" customHeight="1">
      <c r="A177" s="129"/>
      <c r="B177" s="129"/>
      <c r="C177" s="129"/>
      <c r="D177" s="129"/>
      <c r="E177" s="129"/>
      <c r="F177" s="180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</row>
    <row r="178" ht="15.75" customHeight="1">
      <c r="A178" s="129"/>
      <c r="B178" s="129"/>
      <c r="C178" s="129"/>
      <c r="D178" s="129"/>
      <c r="E178" s="129"/>
      <c r="F178" s="180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</row>
    <row r="179" ht="15.75" customHeight="1">
      <c r="A179" s="129"/>
      <c r="B179" s="129"/>
      <c r="C179" s="129"/>
      <c r="D179" s="129"/>
      <c r="E179" s="129"/>
      <c r="F179" s="180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</row>
    <row r="180" ht="15.75" customHeight="1">
      <c r="A180" s="129"/>
      <c r="B180" s="129"/>
      <c r="C180" s="129"/>
      <c r="D180" s="129"/>
      <c r="E180" s="129"/>
      <c r="F180" s="180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</row>
    <row r="181" ht="15.75" customHeight="1">
      <c r="A181" s="129"/>
      <c r="B181" s="129"/>
      <c r="C181" s="129"/>
      <c r="D181" s="129"/>
      <c r="E181" s="129"/>
      <c r="F181" s="180"/>
      <c r="G181" s="129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</row>
    <row r="182" ht="15.75" customHeight="1">
      <c r="A182" s="129"/>
      <c r="B182" s="129"/>
      <c r="C182" s="129"/>
      <c r="D182" s="129"/>
      <c r="E182" s="129"/>
      <c r="F182" s="180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</row>
    <row r="183" ht="15.75" customHeight="1">
      <c r="A183" s="129"/>
      <c r="B183" s="129"/>
      <c r="C183" s="129"/>
      <c r="D183" s="129"/>
      <c r="E183" s="129"/>
      <c r="F183" s="180"/>
      <c r="G183" s="129"/>
      <c r="H183" s="129"/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</row>
    <row r="184" ht="15.75" customHeight="1">
      <c r="A184" s="129"/>
      <c r="B184" s="129"/>
      <c r="C184" s="129"/>
      <c r="D184" s="129"/>
      <c r="E184" s="129"/>
      <c r="F184" s="180"/>
      <c r="G184" s="129"/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</row>
    <row r="185" ht="15.75" customHeight="1">
      <c r="A185" s="129"/>
      <c r="B185" s="129"/>
      <c r="C185" s="129"/>
      <c r="D185" s="129"/>
      <c r="E185" s="129"/>
      <c r="F185" s="180"/>
      <c r="G185" s="129"/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</row>
    <row r="186" ht="15.75" customHeight="1">
      <c r="A186" s="129"/>
      <c r="B186" s="129"/>
      <c r="C186" s="129"/>
      <c r="D186" s="129"/>
      <c r="E186" s="129"/>
      <c r="F186" s="180"/>
      <c r="G186" s="129"/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</row>
    <row r="187" ht="15.75" customHeight="1">
      <c r="A187" s="129"/>
      <c r="B187" s="129"/>
      <c r="C187" s="129"/>
      <c r="D187" s="129"/>
      <c r="E187" s="129"/>
      <c r="F187" s="180"/>
      <c r="G187" s="129"/>
      <c r="H187" s="129"/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</row>
    <row r="188" ht="15.75" customHeight="1">
      <c r="A188" s="129"/>
      <c r="B188" s="129"/>
      <c r="C188" s="129"/>
      <c r="D188" s="129"/>
      <c r="E188" s="129"/>
      <c r="F188" s="180"/>
      <c r="G188" s="129"/>
      <c r="H188" s="129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</row>
    <row r="189" ht="15.75" customHeight="1">
      <c r="A189" s="129"/>
      <c r="B189" s="129"/>
      <c r="C189" s="129"/>
      <c r="D189" s="129"/>
      <c r="E189" s="129"/>
      <c r="F189" s="180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</row>
    <row r="190" ht="15.75" customHeight="1">
      <c r="A190" s="129"/>
      <c r="B190" s="129"/>
      <c r="C190" s="129"/>
      <c r="D190" s="129"/>
      <c r="E190" s="129"/>
      <c r="F190" s="180"/>
      <c r="G190" s="129"/>
      <c r="H190" s="129"/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</row>
    <row r="191" ht="15.75" customHeight="1">
      <c r="A191" s="129"/>
      <c r="B191" s="129"/>
      <c r="C191" s="129"/>
      <c r="D191" s="129"/>
      <c r="E191" s="129"/>
      <c r="F191" s="180"/>
      <c r="G191" s="129"/>
      <c r="H191" s="129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</row>
    <row r="192" ht="15.75" customHeight="1">
      <c r="A192" s="129"/>
      <c r="B192" s="129"/>
      <c r="C192" s="129"/>
      <c r="D192" s="129"/>
      <c r="E192" s="129"/>
      <c r="F192" s="180"/>
      <c r="G192" s="129"/>
      <c r="H192" s="129"/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</row>
    <row r="193" ht="15.75" customHeight="1">
      <c r="A193" s="129"/>
      <c r="B193" s="129"/>
      <c r="C193" s="129"/>
      <c r="D193" s="129"/>
      <c r="E193" s="129"/>
      <c r="F193" s="180"/>
      <c r="G193" s="129"/>
      <c r="H193" s="129"/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</row>
    <row r="194" ht="15.75" customHeight="1">
      <c r="A194" s="129"/>
      <c r="B194" s="129"/>
      <c r="C194" s="129"/>
      <c r="D194" s="129"/>
      <c r="E194" s="129"/>
      <c r="F194" s="180"/>
      <c r="G194" s="129"/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</row>
    <row r="195" ht="15.75" customHeight="1">
      <c r="A195" s="129"/>
      <c r="B195" s="129"/>
      <c r="C195" s="129"/>
      <c r="D195" s="129"/>
      <c r="E195" s="129"/>
      <c r="F195" s="180"/>
      <c r="G195" s="129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</row>
    <row r="196" ht="15.75" customHeight="1">
      <c r="A196" s="129"/>
      <c r="B196" s="129"/>
      <c r="C196" s="129"/>
      <c r="D196" s="129"/>
      <c r="E196" s="129"/>
      <c r="F196" s="180"/>
      <c r="G196" s="129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</row>
    <row r="197" ht="15.75" customHeight="1">
      <c r="A197" s="129"/>
      <c r="B197" s="129"/>
      <c r="C197" s="129"/>
      <c r="D197" s="129"/>
      <c r="E197" s="129"/>
      <c r="F197" s="180"/>
      <c r="G197" s="129"/>
      <c r="H197" s="129"/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</row>
    <row r="198" ht="15.75" customHeight="1">
      <c r="A198" s="129"/>
      <c r="B198" s="129"/>
      <c r="C198" s="129"/>
      <c r="D198" s="129"/>
      <c r="E198" s="129"/>
      <c r="F198" s="180"/>
      <c r="G198" s="129"/>
      <c r="H198" s="129"/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</row>
    <row r="199" ht="15.75" customHeight="1">
      <c r="A199" s="129"/>
      <c r="B199" s="129"/>
      <c r="C199" s="129"/>
      <c r="D199" s="129"/>
      <c r="E199" s="129"/>
      <c r="F199" s="180"/>
      <c r="G199" s="129"/>
      <c r="H199" s="129"/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</row>
    <row r="200" ht="15.75" customHeight="1">
      <c r="A200" s="129"/>
      <c r="B200" s="129"/>
      <c r="C200" s="129"/>
      <c r="D200" s="129"/>
      <c r="E200" s="129"/>
      <c r="F200" s="180"/>
      <c r="G200" s="129"/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</row>
    <row r="201" ht="15.75" customHeight="1">
      <c r="A201" s="129"/>
      <c r="B201" s="129"/>
      <c r="C201" s="129"/>
      <c r="D201" s="129"/>
      <c r="E201" s="129"/>
      <c r="F201" s="180"/>
      <c r="G201" s="129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</row>
    <row r="202" ht="15.75" customHeight="1">
      <c r="A202" s="129"/>
      <c r="B202" s="129"/>
      <c r="C202" s="129"/>
      <c r="D202" s="129"/>
      <c r="E202" s="129"/>
      <c r="F202" s="180"/>
      <c r="G202" s="129"/>
      <c r="H202" s="129"/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</row>
    <row r="203" ht="15.75" customHeight="1">
      <c r="A203" s="129"/>
      <c r="B203" s="129"/>
      <c r="C203" s="129"/>
      <c r="D203" s="129"/>
      <c r="E203" s="129"/>
      <c r="F203" s="180"/>
      <c r="G203" s="129"/>
      <c r="H203" s="129"/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</row>
    <row r="204" ht="15.75" customHeight="1">
      <c r="A204" s="129"/>
      <c r="B204" s="129"/>
      <c r="C204" s="129"/>
      <c r="D204" s="129"/>
      <c r="E204" s="129"/>
      <c r="F204" s="180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</row>
    <row r="205" ht="15.75" customHeight="1">
      <c r="A205" s="129"/>
      <c r="B205" s="129"/>
      <c r="C205" s="129"/>
      <c r="D205" s="129"/>
      <c r="E205" s="129"/>
      <c r="F205" s="180"/>
      <c r="G205" s="129"/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</row>
    <row r="206" ht="15.75" customHeight="1">
      <c r="A206" s="129"/>
      <c r="B206" s="129"/>
      <c r="C206" s="129"/>
      <c r="D206" s="129"/>
      <c r="E206" s="129"/>
      <c r="F206" s="180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</row>
    <row r="207" ht="15.75" customHeight="1">
      <c r="A207" s="129"/>
      <c r="B207" s="129"/>
      <c r="C207" s="129"/>
      <c r="D207" s="129"/>
      <c r="E207" s="129"/>
      <c r="F207" s="180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</row>
    <row r="208" ht="15.75" customHeight="1">
      <c r="A208" s="129"/>
      <c r="B208" s="129"/>
      <c r="C208" s="129"/>
      <c r="D208" s="129"/>
      <c r="E208" s="129"/>
      <c r="F208" s="180"/>
      <c r="G208" s="129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</row>
    <row r="209" ht="15.75" customHeight="1">
      <c r="A209" s="129"/>
      <c r="B209" s="129"/>
      <c r="C209" s="129"/>
      <c r="D209" s="129"/>
      <c r="E209" s="129"/>
      <c r="F209" s="180"/>
      <c r="G209" s="129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</row>
    <row r="210" ht="15.75" customHeight="1">
      <c r="A210" s="129"/>
      <c r="B210" s="129"/>
      <c r="C210" s="129"/>
      <c r="D210" s="129"/>
      <c r="E210" s="129"/>
      <c r="F210" s="180"/>
      <c r="G210" s="129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</row>
    <row r="211" ht="15.75" customHeight="1">
      <c r="A211" s="129"/>
      <c r="B211" s="129"/>
      <c r="C211" s="129"/>
      <c r="D211" s="129"/>
      <c r="E211" s="129"/>
      <c r="F211" s="180"/>
      <c r="G211" s="129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</row>
    <row r="212" ht="15.75" customHeight="1">
      <c r="A212" s="129"/>
      <c r="B212" s="129"/>
      <c r="C212" s="129"/>
      <c r="D212" s="129"/>
      <c r="E212" s="129"/>
      <c r="F212" s="180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</row>
    <row r="213" ht="15.75" customHeight="1">
      <c r="A213" s="129"/>
      <c r="B213" s="129"/>
      <c r="C213" s="129"/>
      <c r="D213" s="129"/>
      <c r="E213" s="129"/>
      <c r="F213" s="180"/>
      <c r="G213" s="129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</row>
    <row r="214" ht="15.75" customHeight="1">
      <c r="A214" s="129"/>
      <c r="B214" s="129"/>
      <c r="C214" s="129"/>
      <c r="D214" s="129"/>
      <c r="E214" s="129"/>
      <c r="F214" s="180"/>
      <c r="G214" s="129"/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</row>
    <row r="215" ht="15.75" customHeight="1">
      <c r="A215" s="129"/>
      <c r="B215" s="129"/>
      <c r="C215" s="129"/>
      <c r="D215" s="129"/>
      <c r="E215" s="129"/>
      <c r="F215" s="180"/>
      <c r="G215" s="129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</row>
    <row r="216" ht="15.75" customHeight="1">
      <c r="A216" s="129"/>
      <c r="B216" s="129"/>
      <c r="C216" s="129"/>
      <c r="D216" s="129"/>
      <c r="E216" s="129"/>
      <c r="F216" s="180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</row>
    <row r="217" ht="15.75" customHeight="1">
      <c r="A217" s="129"/>
      <c r="B217" s="129"/>
      <c r="C217" s="129"/>
      <c r="D217" s="129"/>
      <c r="E217" s="129"/>
      <c r="F217" s="180"/>
      <c r="G217" s="129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</row>
    <row r="218" ht="15.75" customHeight="1">
      <c r="A218" s="129"/>
      <c r="B218" s="129"/>
      <c r="C218" s="129"/>
      <c r="D218" s="129"/>
      <c r="E218" s="129"/>
      <c r="F218" s="180"/>
      <c r="G218" s="129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</row>
    <row r="219" ht="15.75" customHeight="1">
      <c r="A219" s="129"/>
      <c r="B219" s="129"/>
      <c r="C219" s="129"/>
      <c r="D219" s="129"/>
      <c r="E219" s="129"/>
      <c r="F219" s="180"/>
      <c r="G219" s="129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</row>
    <row r="220" ht="15.75" customHeight="1">
      <c r="A220" s="129"/>
      <c r="B220" s="129"/>
      <c r="C220" s="129"/>
      <c r="D220" s="129"/>
      <c r="E220" s="129"/>
      <c r="F220" s="180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</row>
    <row r="221" ht="15.75" customHeight="1">
      <c r="A221" s="129"/>
      <c r="B221" s="129"/>
      <c r="C221" s="129"/>
      <c r="D221" s="129"/>
      <c r="E221" s="129"/>
      <c r="F221" s="180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</row>
    <row r="222" ht="15.75" customHeight="1">
      <c r="A222" s="129"/>
      <c r="B222" s="129"/>
      <c r="C222" s="129"/>
      <c r="D222" s="129"/>
      <c r="E222" s="129"/>
      <c r="F222" s="180"/>
      <c r="G222" s="129"/>
      <c r="H222" s="129"/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</row>
    <row r="223" ht="15.75" customHeight="1">
      <c r="A223" s="129"/>
      <c r="B223" s="129"/>
      <c r="C223" s="129"/>
      <c r="D223" s="129"/>
      <c r="E223" s="129"/>
      <c r="F223" s="180"/>
      <c r="G223" s="129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</row>
    <row r="224" ht="15.75" customHeight="1">
      <c r="A224" s="129"/>
      <c r="B224" s="129"/>
      <c r="C224" s="129"/>
      <c r="D224" s="129"/>
      <c r="E224" s="129"/>
      <c r="F224" s="180"/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</row>
    <row r="225" ht="15.75" customHeight="1">
      <c r="A225" s="129"/>
      <c r="B225" s="129"/>
      <c r="C225" s="129"/>
      <c r="D225" s="129"/>
      <c r="E225" s="129"/>
      <c r="F225" s="180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</row>
    <row r="226" ht="15.75" customHeight="1">
      <c r="A226" s="129"/>
      <c r="B226" s="129"/>
      <c r="C226" s="129"/>
      <c r="D226" s="129"/>
      <c r="E226" s="129"/>
      <c r="F226" s="180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</row>
    <row r="227" ht="15.75" customHeight="1">
      <c r="A227" s="129"/>
      <c r="B227" s="129"/>
      <c r="C227" s="129"/>
      <c r="D227" s="129"/>
      <c r="E227" s="129"/>
      <c r="F227" s="180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</row>
    <row r="228" ht="15.75" customHeight="1">
      <c r="A228" s="129"/>
      <c r="B228" s="129"/>
      <c r="C228" s="129"/>
      <c r="D228" s="129"/>
      <c r="E228" s="129"/>
      <c r="F228" s="180"/>
      <c r="G228" s="129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</row>
    <row r="229" ht="15.75" customHeight="1">
      <c r="A229" s="129"/>
      <c r="B229" s="129"/>
      <c r="C229" s="129"/>
      <c r="D229" s="129"/>
      <c r="E229" s="129"/>
      <c r="F229" s="180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</row>
    <row r="230" ht="15.75" customHeight="1">
      <c r="A230" s="129"/>
      <c r="B230" s="129"/>
      <c r="C230" s="129"/>
      <c r="D230" s="129"/>
      <c r="E230" s="129"/>
      <c r="F230" s="180"/>
      <c r="G230" s="129"/>
      <c r="H230" s="129"/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</row>
    <row r="231" ht="15.75" customHeight="1">
      <c r="A231" s="129"/>
      <c r="B231" s="129"/>
      <c r="C231" s="129"/>
      <c r="D231" s="129"/>
      <c r="E231" s="129"/>
      <c r="F231" s="180"/>
      <c r="G231" s="129"/>
      <c r="H231" s="129"/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</row>
    <row r="232" ht="15.75" customHeight="1">
      <c r="A232" s="129"/>
      <c r="B232" s="129"/>
      <c r="C232" s="129"/>
      <c r="D232" s="129"/>
      <c r="E232" s="129"/>
      <c r="F232" s="180"/>
      <c r="G232" s="129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</row>
    <row r="233" ht="15.75" customHeight="1">
      <c r="A233" s="129"/>
      <c r="B233" s="129"/>
      <c r="C233" s="129"/>
      <c r="D233" s="129"/>
      <c r="E233" s="129"/>
      <c r="F233" s="180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</row>
    <row r="234" ht="15.75" customHeight="1">
      <c r="A234" s="129"/>
      <c r="B234" s="129"/>
      <c r="C234" s="129"/>
      <c r="D234" s="129"/>
      <c r="E234" s="129"/>
      <c r="F234" s="180"/>
      <c r="G234" s="129"/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</row>
    <row r="235" ht="15.75" customHeight="1">
      <c r="A235" s="129"/>
      <c r="B235" s="129"/>
      <c r="C235" s="129"/>
      <c r="D235" s="129"/>
      <c r="E235" s="129"/>
      <c r="F235" s="180"/>
      <c r="G235" s="129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</row>
    <row r="236" ht="15.75" customHeight="1">
      <c r="A236" s="129"/>
      <c r="B236" s="129"/>
      <c r="C236" s="129"/>
      <c r="D236" s="129"/>
      <c r="E236" s="129"/>
      <c r="F236" s="180"/>
      <c r="G236" s="129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</row>
    <row r="237" ht="15.75" customHeight="1">
      <c r="A237" s="129"/>
      <c r="B237" s="129"/>
      <c r="C237" s="129"/>
      <c r="D237" s="129"/>
      <c r="E237" s="129"/>
      <c r="F237" s="180"/>
      <c r="G237" s="129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</row>
    <row r="238" ht="15.75" customHeight="1">
      <c r="A238" s="129"/>
      <c r="B238" s="129"/>
      <c r="C238" s="129"/>
      <c r="D238" s="129"/>
      <c r="E238" s="129"/>
      <c r="F238" s="180"/>
      <c r="G238" s="129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</row>
    <row r="239" ht="15.75" customHeight="1">
      <c r="A239" s="129"/>
      <c r="B239" s="129"/>
      <c r="C239" s="129"/>
      <c r="D239" s="129"/>
      <c r="E239" s="129"/>
      <c r="F239" s="180"/>
      <c r="G239" s="129"/>
      <c r="H239" s="129"/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</row>
    <row r="240" ht="15.75" customHeight="1">
      <c r="A240" s="129"/>
      <c r="B240" s="129"/>
      <c r="C240" s="129"/>
      <c r="D240" s="129"/>
      <c r="E240" s="129"/>
      <c r="F240" s="180"/>
      <c r="G240" s="129"/>
      <c r="H240" s="129"/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G3:M3"/>
    <mergeCell ref="O3:U3"/>
    <mergeCell ref="I4:M4"/>
    <mergeCell ref="Q4:U4"/>
    <mergeCell ref="G6:G10"/>
    <mergeCell ref="O6:O10"/>
    <mergeCell ref="O12:U12"/>
    <mergeCell ref="Q13:U13"/>
    <mergeCell ref="G15:G19"/>
    <mergeCell ref="G25:G29"/>
    <mergeCell ref="G12:M12"/>
    <mergeCell ref="I13:M13"/>
    <mergeCell ref="O15:O19"/>
    <mergeCell ref="G22:M22"/>
    <mergeCell ref="O22:U22"/>
    <mergeCell ref="I23:M23"/>
    <mergeCell ref="Q23:U23"/>
    <mergeCell ref="O25:O29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4F27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9.29"/>
    <col customWidth="1" min="3" max="3" width="14.0"/>
    <col customWidth="1" min="4" max="4" width="14.14"/>
    <col customWidth="1" min="5" max="5" width="19.14"/>
    <col customWidth="1" min="6" max="6" width="10.57"/>
    <col customWidth="1" min="7" max="7" width="10.29"/>
    <col customWidth="1" min="8" max="8" width="19.43"/>
    <col customWidth="1" min="9" max="9" width="23.43"/>
    <col customWidth="1" min="10" max="10" width="28.0"/>
    <col customWidth="1" min="11" max="11" width="27.29"/>
    <col customWidth="1" min="12" max="12" width="21.71"/>
    <col customWidth="1" min="13" max="13" width="23.71"/>
    <col customWidth="1" min="14" max="14" width="26.57"/>
  </cols>
  <sheetData>
    <row r="1" ht="14.25" customHeight="1">
      <c r="A1" s="182" t="s">
        <v>133</v>
      </c>
      <c r="B1" s="182" t="s">
        <v>134</v>
      </c>
      <c r="C1" s="182" t="s">
        <v>133</v>
      </c>
      <c r="D1" s="182" t="s">
        <v>135</v>
      </c>
      <c r="E1" s="182" t="s">
        <v>136</v>
      </c>
      <c r="F1" s="182" t="s">
        <v>137</v>
      </c>
      <c r="G1" s="182" t="s">
        <v>133</v>
      </c>
      <c r="H1" s="182" t="s">
        <v>138</v>
      </c>
      <c r="I1" s="182" t="s">
        <v>139</v>
      </c>
      <c r="J1" s="182" t="s">
        <v>140</v>
      </c>
      <c r="K1" s="182" t="s">
        <v>141</v>
      </c>
    </row>
    <row r="2" ht="14.25" customHeight="1">
      <c r="A2" s="255">
        <v>43070.0</v>
      </c>
      <c r="B2" s="256">
        <v>69.787743</v>
      </c>
      <c r="C2" s="257"/>
      <c r="D2" s="256"/>
      <c r="E2" s="256">
        <f>B2+D4</f>
        <v>70.557743</v>
      </c>
      <c r="F2" s="258"/>
      <c r="G2" s="257">
        <v>43070.0</v>
      </c>
      <c r="H2" s="259"/>
      <c r="I2" s="259"/>
      <c r="J2" s="259"/>
      <c r="K2" s="259"/>
    </row>
    <row r="3" ht="14.25" customHeight="1">
      <c r="A3" s="255">
        <v>43101.0</v>
      </c>
      <c r="B3" s="256">
        <v>72.841591</v>
      </c>
      <c r="C3" s="257"/>
      <c r="D3" s="256"/>
      <c r="E3" s="256">
        <v>72.841591</v>
      </c>
      <c r="F3" s="258">
        <f t="shared" ref="F3:F41" si="1">(E3-E2)/E2</f>
        <v>0.03236849569</v>
      </c>
      <c r="G3" s="257">
        <v>43101.0</v>
      </c>
      <c r="H3" s="259">
        <v>0.056900000000000006</v>
      </c>
      <c r="I3" s="259">
        <v>0.027200000000000002</v>
      </c>
      <c r="J3" s="259">
        <f t="shared" ref="J3:J39" si="2">H3-I3</f>
        <v>0.0297</v>
      </c>
      <c r="K3" s="259">
        <f t="shared" ref="K3:K41" si="3">F3-I3</f>
        <v>0.005168495687</v>
      </c>
    </row>
    <row r="4" ht="14.25" customHeight="1">
      <c r="A4" s="255">
        <v>43132.0</v>
      </c>
      <c r="B4" s="256">
        <v>63.196121</v>
      </c>
      <c r="C4" s="257" t="s">
        <v>142</v>
      </c>
      <c r="D4" s="256">
        <v>0.77</v>
      </c>
      <c r="E4" s="256">
        <v>63.196121</v>
      </c>
      <c r="F4" s="258">
        <f t="shared" si="1"/>
        <v>-0.1324170693</v>
      </c>
      <c r="G4" s="257">
        <v>43132.0</v>
      </c>
      <c r="H4" s="259">
        <v>-0.0354</v>
      </c>
      <c r="I4" s="259">
        <v>0.028679999999999997</v>
      </c>
      <c r="J4" s="259">
        <f t="shared" si="2"/>
        <v>-0.06408</v>
      </c>
      <c r="K4" s="259">
        <f t="shared" si="3"/>
        <v>-0.1610970693</v>
      </c>
    </row>
    <row r="5" ht="14.25" customHeight="1">
      <c r="A5" s="255">
        <v>43160.0</v>
      </c>
      <c r="B5" s="256">
        <v>62.88987</v>
      </c>
      <c r="C5" s="255">
        <v>43140.0</v>
      </c>
      <c r="D5" s="256">
        <v>0.77</v>
      </c>
      <c r="E5" s="256">
        <f>B5+D5</f>
        <v>63.65987</v>
      </c>
      <c r="F5" s="258">
        <f t="shared" si="1"/>
        <v>0.00733825103</v>
      </c>
      <c r="G5" s="257">
        <v>43160.0</v>
      </c>
      <c r="H5" s="259">
        <v>-0.0223</v>
      </c>
      <c r="I5" s="259">
        <v>0.02741</v>
      </c>
      <c r="J5" s="259">
        <f t="shared" si="2"/>
        <v>-0.04971</v>
      </c>
      <c r="K5" s="259">
        <f t="shared" si="3"/>
        <v>-0.02007174897</v>
      </c>
    </row>
    <row r="6" ht="14.25" customHeight="1">
      <c r="A6" s="255">
        <v>43191.0</v>
      </c>
      <c r="B6" s="256">
        <v>65.536613</v>
      </c>
      <c r="C6" s="255">
        <v>43231.0</v>
      </c>
      <c r="D6" s="256">
        <v>0.82</v>
      </c>
      <c r="E6" s="256">
        <v>65.536613</v>
      </c>
      <c r="F6" s="258">
        <f t="shared" si="1"/>
        <v>0.02948078593</v>
      </c>
      <c r="G6" s="257">
        <v>43191.0</v>
      </c>
      <c r="H6" s="259">
        <v>0.0043</v>
      </c>
      <c r="I6" s="259">
        <v>0.02936</v>
      </c>
      <c r="J6" s="259">
        <f t="shared" si="2"/>
        <v>-0.02506</v>
      </c>
      <c r="K6" s="259">
        <f t="shared" si="3"/>
        <v>0.0001207859331</v>
      </c>
    </row>
    <row r="7" ht="14.25" customHeight="1">
      <c r="A7" s="255">
        <v>43221.0</v>
      </c>
      <c r="B7" s="256">
        <v>68.478378</v>
      </c>
      <c r="C7" s="255">
        <v>43322.0</v>
      </c>
      <c r="D7" s="256">
        <v>0.82</v>
      </c>
      <c r="E7" s="256">
        <v>68.478378</v>
      </c>
      <c r="F7" s="258">
        <f t="shared" si="1"/>
        <v>0.04488735175</v>
      </c>
      <c r="G7" s="257">
        <v>43221.0</v>
      </c>
      <c r="H7" s="259">
        <v>0.0279</v>
      </c>
      <c r="I7" s="259">
        <v>0.028220000000000002</v>
      </c>
      <c r="J7" s="259">
        <f t="shared" si="2"/>
        <v>-0.00032</v>
      </c>
      <c r="K7" s="259">
        <f t="shared" si="3"/>
        <v>0.01666735175</v>
      </c>
    </row>
    <row r="8" ht="14.25" customHeight="1">
      <c r="A8" s="255">
        <v>43252.0</v>
      </c>
      <c r="B8" s="256">
        <v>70.441162</v>
      </c>
      <c r="C8" s="255">
        <v>43413.0</v>
      </c>
      <c r="D8" s="256">
        <v>0.82</v>
      </c>
      <c r="E8" s="256">
        <f>B8+D6</f>
        <v>71.261162</v>
      </c>
      <c r="F8" s="258">
        <f t="shared" si="1"/>
        <v>0.04063741113</v>
      </c>
      <c r="G8" s="257">
        <v>43252.0</v>
      </c>
      <c r="H8" s="259">
        <v>0.0062</v>
      </c>
      <c r="I8" s="259">
        <v>0.02849</v>
      </c>
      <c r="J8" s="259">
        <f t="shared" si="2"/>
        <v>-0.02229</v>
      </c>
      <c r="K8" s="259">
        <f t="shared" si="3"/>
        <v>0.01214741113</v>
      </c>
    </row>
    <row r="9" ht="14.25" customHeight="1">
      <c r="A9" s="255">
        <v>43282.0</v>
      </c>
      <c r="B9" s="256">
        <v>69.402374</v>
      </c>
      <c r="C9" s="255">
        <v>43504.0</v>
      </c>
      <c r="D9" s="256">
        <v>0.82</v>
      </c>
      <c r="E9" s="256">
        <v>69.402374</v>
      </c>
      <c r="F9" s="258">
        <f t="shared" si="1"/>
        <v>-0.0260841663</v>
      </c>
      <c r="G9" s="257">
        <v>43282.0</v>
      </c>
      <c r="H9" s="259">
        <v>0.0335</v>
      </c>
      <c r="I9" s="259">
        <v>0.02964</v>
      </c>
      <c r="J9" s="259">
        <f t="shared" si="2"/>
        <v>0.00386</v>
      </c>
      <c r="K9" s="259">
        <f t="shared" si="3"/>
        <v>-0.0557241663</v>
      </c>
    </row>
    <row r="10" ht="14.25" customHeight="1">
      <c r="A10" s="255">
        <v>43313.0</v>
      </c>
      <c r="B10" s="256">
        <v>68.261429</v>
      </c>
      <c r="C10" s="255">
        <v>43595.0</v>
      </c>
      <c r="D10" s="256">
        <v>0.87</v>
      </c>
      <c r="E10" s="256">
        <v>68.261429</v>
      </c>
      <c r="F10" s="258">
        <f t="shared" si="1"/>
        <v>-0.01643956733</v>
      </c>
      <c r="G10" s="257">
        <v>43313.0</v>
      </c>
      <c r="H10" s="259">
        <v>0.036000000000000004</v>
      </c>
      <c r="I10" s="259">
        <v>0.028530000000000003</v>
      </c>
      <c r="J10" s="259">
        <f t="shared" si="2"/>
        <v>0.00747</v>
      </c>
      <c r="K10" s="259">
        <f t="shared" si="3"/>
        <v>-0.04496956733</v>
      </c>
    </row>
    <row r="11" ht="14.25" customHeight="1">
      <c r="A11" s="255">
        <v>43344.0</v>
      </c>
      <c r="B11" s="256">
        <v>73.13768</v>
      </c>
      <c r="C11" s="255">
        <v>43689.0</v>
      </c>
      <c r="D11" s="256">
        <v>0.87</v>
      </c>
      <c r="E11" s="256">
        <f>B11+D7</f>
        <v>73.95768</v>
      </c>
      <c r="F11" s="258">
        <f t="shared" si="1"/>
        <v>0.08344757916</v>
      </c>
      <c r="G11" s="257">
        <v>43344.0</v>
      </c>
      <c r="H11" s="259">
        <v>0.0021</v>
      </c>
      <c r="I11" s="259">
        <v>0.03056</v>
      </c>
      <c r="J11" s="259">
        <f t="shared" si="2"/>
        <v>-0.02846</v>
      </c>
      <c r="K11" s="259">
        <f t="shared" si="3"/>
        <v>0.05288757916</v>
      </c>
    </row>
    <row r="12" ht="14.25" customHeight="1">
      <c r="A12" s="255">
        <v>43374.0</v>
      </c>
      <c r="B12" s="256">
        <v>68.543976</v>
      </c>
      <c r="C12" s="255">
        <v>43777.0</v>
      </c>
      <c r="D12" s="256">
        <v>0.87</v>
      </c>
      <c r="E12" s="256">
        <v>68.543976</v>
      </c>
      <c r="F12" s="258">
        <f t="shared" si="1"/>
        <v>-0.07320002466</v>
      </c>
      <c r="G12" s="257">
        <v>43374.0</v>
      </c>
      <c r="H12" s="259">
        <v>-0.0749</v>
      </c>
      <c r="I12" s="259">
        <v>0.03159</v>
      </c>
      <c r="J12" s="259">
        <f t="shared" si="2"/>
        <v>-0.10649</v>
      </c>
      <c r="K12" s="259">
        <f t="shared" si="3"/>
        <v>-0.1047900247</v>
      </c>
    </row>
    <row r="13" ht="14.25" customHeight="1">
      <c r="A13" s="255">
        <v>43405.0</v>
      </c>
      <c r="B13" s="256">
        <v>68.389137</v>
      </c>
      <c r="C13" s="255">
        <v>43871.0</v>
      </c>
      <c r="D13" s="256">
        <v>0.87</v>
      </c>
      <c r="E13" s="256">
        <v>68.389137</v>
      </c>
      <c r="F13" s="258">
        <f t="shared" si="1"/>
        <v>-0.00225897313</v>
      </c>
      <c r="G13" s="257">
        <v>43405.0</v>
      </c>
      <c r="H13" s="259">
        <v>0.018699999999999998</v>
      </c>
      <c r="I13" s="259">
        <v>0.03013</v>
      </c>
      <c r="J13" s="259">
        <f t="shared" si="2"/>
        <v>-0.01143</v>
      </c>
      <c r="K13" s="259">
        <f t="shared" si="3"/>
        <v>-0.03238897313</v>
      </c>
    </row>
    <row r="14" ht="14.25" customHeight="1">
      <c r="A14" s="255">
        <v>43435.0</v>
      </c>
      <c r="B14" s="256">
        <v>59.254467</v>
      </c>
      <c r="C14" s="255">
        <v>43963.0</v>
      </c>
      <c r="D14" s="256">
        <v>0.87</v>
      </c>
      <c r="E14" s="256">
        <f>B14+D8</f>
        <v>60.074467</v>
      </c>
      <c r="F14" s="258">
        <f t="shared" si="1"/>
        <v>-0.1215788116</v>
      </c>
      <c r="G14" s="257">
        <v>43435.0</v>
      </c>
      <c r="H14" s="259">
        <v>-0.09360000000000002</v>
      </c>
      <c r="I14" s="259">
        <v>0.02686</v>
      </c>
      <c r="J14" s="259">
        <f t="shared" si="2"/>
        <v>-0.12046</v>
      </c>
      <c r="K14" s="259">
        <f t="shared" si="3"/>
        <v>-0.1484388116</v>
      </c>
    </row>
    <row r="15" ht="14.25" customHeight="1">
      <c r="A15" s="255">
        <v>43466.0</v>
      </c>
      <c r="B15" s="256">
        <v>63.677479</v>
      </c>
      <c r="C15" s="255">
        <v>44055.0</v>
      </c>
      <c r="D15" s="256">
        <v>0.87</v>
      </c>
      <c r="E15" s="256">
        <v>63.677479</v>
      </c>
      <c r="F15" s="258">
        <f t="shared" si="1"/>
        <v>0.05997576308</v>
      </c>
      <c r="G15" s="257">
        <v>43466.0</v>
      </c>
      <c r="H15" s="259">
        <v>0.08620000000000001</v>
      </c>
      <c r="I15" s="259">
        <v>0.02635</v>
      </c>
      <c r="J15" s="259">
        <f t="shared" si="2"/>
        <v>0.05985</v>
      </c>
      <c r="K15" s="259">
        <f t="shared" si="3"/>
        <v>0.03362576308</v>
      </c>
    </row>
    <row r="16" ht="14.25" customHeight="1">
      <c r="A16" s="255">
        <v>43497.0</v>
      </c>
      <c r="B16" s="256">
        <v>68.674004</v>
      </c>
      <c r="C16" s="255">
        <v>44145.0</v>
      </c>
      <c r="D16" s="256">
        <v>0.87</v>
      </c>
      <c r="E16" s="256">
        <v>68.674004</v>
      </c>
      <c r="F16" s="258">
        <f t="shared" si="1"/>
        <v>0.07846612458</v>
      </c>
      <c r="G16" s="257">
        <v>43497.0</v>
      </c>
      <c r="H16" s="259">
        <v>0.0358</v>
      </c>
      <c r="I16" s="259">
        <v>0.02711</v>
      </c>
      <c r="J16" s="259">
        <f t="shared" si="2"/>
        <v>0.00869</v>
      </c>
      <c r="K16" s="259">
        <f t="shared" si="3"/>
        <v>0.05135612458</v>
      </c>
    </row>
    <row r="17" ht="14.25" customHeight="1">
      <c r="A17" s="255">
        <v>43525.0</v>
      </c>
      <c r="B17" s="256">
        <v>70.99157</v>
      </c>
      <c r="C17" s="255">
        <v>44236.0</v>
      </c>
      <c r="D17" s="256">
        <v>0.87</v>
      </c>
      <c r="E17" s="256">
        <f>B17+D9</f>
        <v>71.81157</v>
      </c>
      <c r="F17" s="258">
        <f t="shared" si="1"/>
        <v>0.04568782679</v>
      </c>
      <c r="G17" s="257">
        <v>43525.0</v>
      </c>
      <c r="H17" s="259">
        <v>0.0129</v>
      </c>
      <c r="I17" s="259">
        <v>0.02414</v>
      </c>
      <c r="J17" s="259">
        <f t="shared" si="2"/>
        <v>-0.01124</v>
      </c>
      <c r="K17" s="259">
        <f t="shared" si="3"/>
        <v>0.02154782679</v>
      </c>
    </row>
    <row r="18" ht="14.25" customHeight="1">
      <c r="A18" s="255">
        <v>43556.0</v>
      </c>
      <c r="B18" s="256">
        <v>70.534691</v>
      </c>
      <c r="C18" s="260"/>
      <c r="D18" s="260"/>
      <c r="E18" s="256">
        <v>70.534691</v>
      </c>
      <c r="F18" s="258">
        <f t="shared" si="1"/>
        <v>-0.01778096482</v>
      </c>
      <c r="G18" s="257">
        <v>43556.0</v>
      </c>
      <c r="H18" s="259">
        <v>0.0417</v>
      </c>
      <c r="I18" s="259">
        <v>0.025089999999999998</v>
      </c>
      <c r="J18" s="259">
        <f t="shared" si="2"/>
        <v>0.01661</v>
      </c>
      <c r="K18" s="259">
        <f t="shared" si="3"/>
        <v>-0.04287096482</v>
      </c>
    </row>
    <row r="19" ht="14.25" customHeight="1">
      <c r="A19" s="255">
        <v>43586.0</v>
      </c>
      <c r="B19" s="256">
        <v>62.179127</v>
      </c>
      <c r="C19" s="260"/>
      <c r="D19" s="260"/>
      <c r="E19" s="256">
        <v>62.179127</v>
      </c>
      <c r="F19" s="258">
        <f t="shared" si="1"/>
        <v>-0.1184603474</v>
      </c>
      <c r="G19" s="257">
        <v>43586.0</v>
      </c>
      <c r="H19" s="259">
        <v>-0.0673</v>
      </c>
      <c r="I19" s="259">
        <v>0.021419999999999998</v>
      </c>
      <c r="J19" s="259">
        <f t="shared" si="2"/>
        <v>-0.08872</v>
      </c>
      <c r="K19" s="259">
        <f t="shared" si="3"/>
        <v>-0.1398803474</v>
      </c>
    </row>
    <row r="20" ht="14.25" customHeight="1">
      <c r="A20" s="255">
        <v>43617.0</v>
      </c>
      <c r="B20" s="256">
        <v>68.09951</v>
      </c>
      <c r="C20" s="260"/>
      <c r="D20" s="260"/>
      <c r="E20" s="256">
        <f>B20+D10</f>
        <v>68.96951</v>
      </c>
      <c r="F20" s="258">
        <f t="shared" si="1"/>
        <v>0.1092067922</v>
      </c>
      <c r="G20" s="257">
        <v>43617.0</v>
      </c>
      <c r="H20" s="259">
        <v>0.0711</v>
      </c>
      <c r="I20" s="259">
        <v>0.02</v>
      </c>
      <c r="J20" s="259">
        <f t="shared" si="2"/>
        <v>0.0511</v>
      </c>
      <c r="K20" s="259">
        <f t="shared" si="3"/>
        <v>0.08920679218</v>
      </c>
    </row>
    <row r="21" ht="14.25" customHeight="1">
      <c r="A21" s="255">
        <v>43647.0</v>
      </c>
      <c r="B21" s="256">
        <v>66.082207</v>
      </c>
      <c r="C21" s="260"/>
      <c r="D21" s="260"/>
      <c r="E21" s="256">
        <v>66.082207</v>
      </c>
      <c r="F21" s="258">
        <f t="shared" si="1"/>
        <v>-0.04186346981</v>
      </c>
      <c r="G21" s="257">
        <v>43647.0</v>
      </c>
      <c r="H21" s="259">
        <v>0.0138</v>
      </c>
      <c r="I21" s="259">
        <v>0.02021</v>
      </c>
      <c r="J21" s="259">
        <f t="shared" si="2"/>
        <v>-0.00641</v>
      </c>
      <c r="K21" s="259">
        <f t="shared" si="3"/>
        <v>-0.06207346981</v>
      </c>
    </row>
    <row r="22" ht="14.25" customHeight="1">
      <c r="A22" s="255">
        <v>43678.0</v>
      </c>
      <c r="B22" s="256">
        <v>60.85677</v>
      </c>
      <c r="C22" s="260"/>
      <c r="D22" s="260"/>
      <c r="E22" s="256">
        <v>60.85677</v>
      </c>
      <c r="F22" s="258">
        <f t="shared" si="1"/>
        <v>-0.07907479543</v>
      </c>
      <c r="G22" s="257">
        <v>43678.0</v>
      </c>
      <c r="H22" s="259">
        <v>-0.0242</v>
      </c>
      <c r="I22" s="259">
        <v>0.01506</v>
      </c>
      <c r="J22" s="259">
        <f t="shared" si="2"/>
        <v>-0.03926</v>
      </c>
      <c r="K22" s="259">
        <f t="shared" si="3"/>
        <v>-0.09413479543</v>
      </c>
    </row>
    <row r="23" ht="14.25" customHeight="1">
      <c r="A23" s="255">
        <v>43709.0</v>
      </c>
      <c r="B23" s="256">
        <v>63.529888</v>
      </c>
      <c r="C23" s="260"/>
      <c r="D23" s="260"/>
      <c r="E23" s="256">
        <f>B23+D11</f>
        <v>64.399888</v>
      </c>
      <c r="F23" s="258">
        <f t="shared" si="1"/>
        <v>0.05822060553</v>
      </c>
      <c r="G23" s="257">
        <v>43709.0</v>
      </c>
      <c r="H23" s="259">
        <v>0.0161</v>
      </c>
      <c r="I23" s="259">
        <v>0.01675</v>
      </c>
      <c r="J23" s="259">
        <f t="shared" si="2"/>
        <v>-0.00065</v>
      </c>
      <c r="K23" s="259">
        <f t="shared" si="3"/>
        <v>0.04147060553</v>
      </c>
    </row>
    <row r="24" ht="14.25" customHeight="1">
      <c r="A24" s="255">
        <v>43739.0</v>
      </c>
      <c r="B24" s="256">
        <v>60.794708</v>
      </c>
      <c r="C24" s="260"/>
      <c r="D24" s="260"/>
      <c r="E24" s="256">
        <v>60.794708</v>
      </c>
      <c r="F24" s="258">
        <f t="shared" si="1"/>
        <v>-0.05598115326</v>
      </c>
      <c r="G24" s="257">
        <v>43739.0</v>
      </c>
      <c r="H24" s="259">
        <v>0.022099999999999998</v>
      </c>
      <c r="I24" s="259">
        <v>0.01691</v>
      </c>
      <c r="J24" s="259">
        <f t="shared" si="2"/>
        <v>0.00519</v>
      </c>
      <c r="K24" s="259">
        <f t="shared" si="3"/>
        <v>-0.07289115326</v>
      </c>
    </row>
    <row r="25" ht="14.25" customHeight="1">
      <c r="A25" s="255">
        <v>43770.0</v>
      </c>
      <c r="B25" s="256">
        <v>61.298557</v>
      </c>
      <c r="C25" s="260"/>
      <c r="D25" s="260"/>
      <c r="E25" s="256">
        <v>61.298557</v>
      </c>
      <c r="F25" s="258">
        <f t="shared" si="1"/>
        <v>0.00828771149</v>
      </c>
      <c r="G25" s="257">
        <v>43770.0</v>
      </c>
      <c r="H25" s="259">
        <v>0.039900000000000005</v>
      </c>
      <c r="I25" s="259">
        <v>0.01776</v>
      </c>
      <c r="J25" s="259">
        <f t="shared" si="2"/>
        <v>0.02214</v>
      </c>
      <c r="K25" s="259">
        <f t="shared" si="3"/>
        <v>-0.00947228851</v>
      </c>
    </row>
    <row r="26" ht="14.25" customHeight="1">
      <c r="A26" s="255">
        <v>43800.0</v>
      </c>
      <c r="B26" s="256">
        <v>63.540272</v>
      </c>
      <c r="C26" s="260"/>
      <c r="D26" s="260"/>
      <c r="E26" s="256">
        <f>B26+D12</f>
        <v>64.410272</v>
      </c>
      <c r="F26" s="258">
        <f t="shared" si="1"/>
        <v>0.05076326674</v>
      </c>
      <c r="G26" s="257">
        <v>43800.0</v>
      </c>
      <c r="H26" s="259">
        <v>0.0291</v>
      </c>
      <c r="I26" s="259">
        <v>0.01919</v>
      </c>
      <c r="J26" s="259">
        <f t="shared" si="2"/>
        <v>0.00991</v>
      </c>
      <c r="K26" s="259">
        <f t="shared" si="3"/>
        <v>0.03157326674</v>
      </c>
    </row>
    <row r="27" ht="14.25" customHeight="1">
      <c r="A27" s="255">
        <v>43831.0</v>
      </c>
      <c r="B27" s="256">
        <v>56.565224</v>
      </c>
      <c r="C27" s="260"/>
      <c r="D27" s="260"/>
      <c r="E27" s="256">
        <v>56.565224</v>
      </c>
      <c r="F27" s="258">
        <f t="shared" si="1"/>
        <v>-0.1217980884</v>
      </c>
      <c r="G27" s="257">
        <v>43831.0</v>
      </c>
      <c r="H27" s="259">
        <v>2.0000000000000004E-4</v>
      </c>
      <c r="I27" s="259">
        <v>0.0152</v>
      </c>
      <c r="J27" s="259">
        <f t="shared" si="2"/>
        <v>-0.015</v>
      </c>
      <c r="K27" s="259">
        <f t="shared" si="3"/>
        <v>-0.1369980884</v>
      </c>
    </row>
    <row r="28" ht="14.25" customHeight="1">
      <c r="A28" s="255">
        <v>43862.0</v>
      </c>
      <c r="B28" s="256">
        <v>46.840229</v>
      </c>
      <c r="C28" s="260"/>
      <c r="D28" s="260"/>
      <c r="E28" s="256">
        <v>46.840229</v>
      </c>
      <c r="F28" s="258">
        <f t="shared" si="1"/>
        <v>-0.1719253335</v>
      </c>
      <c r="G28" s="257">
        <v>43862.0</v>
      </c>
      <c r="H28" s="259">
        <v>-0.08010000000000002</v>
      </c>
      <c r="I28" s="259">
        <v>0.01127</v>
      </c>
      <c r="J28" s="259">
        <f t="shared" si="2"/>
        <v>-0.09137</v>
      </c>
      <c r="K28" s="259">
        <f t="shared" si="3"/>
        <v>-0.1831953335</v>
      </c>
    </row>
    <row r="29" ht="14.25" customHeight="1">
      <c r="A29" s="255">
        <v>43891.0</v>
      </c>
      <c r="B29" s="256">
        <v>35.071091</v>
      </c>
      <c r="C29" s="260"/>
      <c r="D29" s="260"/>
      <c r="E29" s="256">
        <f>B29+D13</f>
        <v>35.941091</v>
      </c>
      <c r="F29" s="258">
        <f t="shared" si="1"/>
        <v>-0.2326875473</v>
      </c>
      <c r="G29" s="257">
        <v>43891.0</v>
      </c>
      <c r="H29" s="259">
        <v>-0.13260000000000002</v>
      </c>
      <c r="I29" s="259">
        <v>0.006979999999999999</v>
      </c>
      <c r="J29" s="259">
        <f t="shared" si="2"/>
        <v>-0.13958</v>
      </c>
      <c r="K29" s="259">
        <f t="shared" si="3"/>
        <v>-0.2396675473</v>
      </c>
    </row>
    <row r="30" ht="14.25" customHeight="1">
      <c r="A30" s="255">
        <v>43922.0</v>
      </c>
      <c r="B30" s="256">
        <v>42.922138</v>
      </c>
      <c r="C30" s="260"/>
      <c r="D30" s="260"/>
      <c r="E30" s="256">
        <v>42.922138</v>
      </c>
      <c r="F30" s="258">
        <f t="shared" si="1"/>
        <v>0.1942358122</v>
      </c>
      <c r="G30" s="257">
        <v>43922.0</v>
      </c>
      <c r="H30" s="259">
        <v>0.1365</v>
      </c>
      <c r="I30" s="259">
        <v>0.00622</v>
      </c>
      <c r="J30" s="259">
        <f t="shared" si="2"/>
        <v>0.13028</v>
      </c>
      <c r="K30" s="259">
        <f t="shared" si="3"/>
        <v>0.1880158122</v>
      </c>
    </row>
    <row r="31" ht="14.25" customHeight="1">
      <c r="A31" s="255">
        <v>43952.0</v>
      </c>
      <c r="B31" s="256">
        <v>41.998486</v>
      </c>
      <c r="C31" s="260"/>
      <c r="D31" s="260"/>
      <c r="E31" s="256">
        <v>41.998486</v>
      </c>
      <c r="F31" s="258">
        <f t="shared" si="1"/>
        <v>-0.02151924492</v>
      </c>
      <c r="G31" s="257">
        <v>43952.0</v>
      </c>
      <c r="H31" s="259">
        <v>0.0559</v>
      </c>
      <c r="I31" s="259">
        <v>0.0064800000000000005</v>
      </c>
      <c r="J31" s="259">
        <f t="shared" si="2"/>
        <v>0.04942</v>
      </c>
      <c r="K31" s="259">
        <f t="shared" si="3"/>
        <v>-0.02799924492</v>
      </c>
    </row>
    <row r="32" ht="14.25" customHeight="1">
      <c r="A32" s="255">
        <v>43983.0</v>
      </c>
      <c r="B32" s="256">
        <v>42.106636</v>
      </c>
      <c r="C32" s="260"/>
      <c r="D32" s="260"/>
      <c r="E32" s="256">
        <f>B32+D14</f>
        <v>42.976636</v>
      </c>
      <c r="F32" s="258">
        <f t="shared" si="1"/>
        <v>0.02329012527</v>
      </c>
      <c r="G32" s="257">
        <v>43983.0</v>
      </c>
      <c r="H32" s="259">
        <v>0.024699999999999996</v>
      </c>
      <c r="I32" s="259">
        <v>0.00653</v>
      </c>
      <c r="J32" s="259">
        <f t="shared" si="2"/>
        <v>0.01817</v>
      </c>
      <c r="K32" s="259">
        <f t="shared" si="3"/>
        <v>0.01676012527</v>
      </c>
    </row>
    <row r="33" ht="14.25" customHeight="1">
      <c r="A33" s="255">
        <v>44013.0</v>
      </c>
      <c r="B33" s="256">
        <v>39.620914</v>
      </c>
      <c r="C33" s="260"/>
      <c r="D33" s="260"/>
      <c r="E33" s="256">
        <v>39.620914</v>
      </c>
      <c r="F33" s="258">
        <f t="shared" si="1"/>
        <v>-0.07808247253</v>
      </c>
      <c r="G33" s="257">
        <v>44013.0</v>
      </c>
      <c r="H33" s="259">
        <v>0.05779999999999999</v>
      </c>
      <c r="I33" s="259">
        <v>0.00536</v>
      </c>
      <c r="J33" s="259">
        <f t="shared" si="2"/>
        <v>0.05244</v>
      </c>
      <c r="K33" s="259">
        <f t="shared" si="3"/>
        <v>-0.08344247253</v>
      </c>
    </row>
    <row r="34" ht="14.25" customHeight="1">
      <c r="A34" s="255">
        <v>44044.0</v>
      </c>
      <c r="B34" s="256">
        <v>37.605972</v>
      </c>
      <c r="C34" s="260"/>
      <c r="D34" s="260"/>
      <c r="E34" s="256">
        <v>37.605972</v>
      </c>
      <c r="F34" s="258">
        <f t="shared" si="1"/>
        <v>-0.05085551535</v>
      </c>
      <c r="G34" s="257">
        <v>44044.0</v>
      </c>
      <c r="H34" s="259">
        <v>0.0764</v>
      </c>
      <c r="I34" s="259">
        <v>0.0069299999999999995</v>
      </c>
      <c r="J34" s="259">
        <f t="shared" si="2"/>
        <v>0.06947</v>
      </c>
      <c r="K34" s="259">
        <f t="shared" si="3"/>
        <v>-0.05778551535</v>
      </c>
    </row>
    <row r="35" ht="14.25" customHeight="1">
      <c r="A35" s="255">
        <v>44075.0</v>
      </c>
      <c r="B35" s="256">
        <v>32.961494</v>
      </c>
      <c r="C35" s="260"/>
      <c r="D35" s="260"/>
      <c r="E35" s="256">
        <f>B35+D15</f>
        <v>33.831494</v>
      </c>
      <c r="F35" s="258">
        <f t="shared" si="1"/>
        <v>-0.1003691116</v>
      </c>
      <c r="G35" s="257">
        <v>44075.0</v>
      </c>
      <c r="H35" s="259">
        <v>-0.0362</v>
      </c>
      <c r="I35" s="259">
        <v>0.006770000000000001</v>
      </c>
      <c r="J35" s="259">
        <f t="shared" si="2"/>
        <v>-0.04297</v>
      </c>
      <c r="K35" s="259">
        <f t="shared" si="3"/>
        <v>-0.1071391116</v>
      </c>
    </row>
    <row r="36" ht="14.25" customHeight="1">
      <c r="A36" s="255">
        <v>44105.0</v>
      </c>
      <c r="B36" s="256">
        <v>31.319654</v>
      </c>
      <c r="C36" s="260"/>
      <c r="D36" s="260"/>
      <c r="E36" s="256">
        <v>31.319654</v>
      </c>
      <c r="F36" s="258">
        <f t="shared" si="1"/>
        <v>-0.07424561268</v>
      </c>
      <c r="G36" s="257">
        <v>44105.0</v>
      </c>
      <c r="H36" s="259">
        <v>-0.020900000000000002</v>
      </c>
      <c r="I36" s="259">
        <v>0.0086</v>
      </c>
      <c r="J36" s="259">
        <f t="shared" si="2"/>
        <v>-0.0295</v>
      </c>
      <c r="K36" s="259">
        <f t="shared" si="3"/>
        <v>-0.08284561268</v>
      </c>
    </row>
    <row r="37" ht="14.25" customHeight="1">
      <c r="A37" s="255">
        <v>44136.0</v>
      </c>
      <c r="B37" s="256">
        <v>36.610012</v>
      </c>
      <c r="C37" s="260"/>
      <c r="D37" s="260"/>
      <c r="E37" s="256">
        <v>36.610012</v>
      </c>
      <c r="F37" s="258">
        <f t="shared" si="1"/>
        <v>0.1689149567</v>
      </c>
      <c r="G37" s="257">
        <v>44136.0</v>
      </c>
      <c r="H37" s="259">
        <v>0.12480000000000001</v>
      </c>
      <c r="I37" s="259">
        <v>0.00844</v>
      </c>
      <c r="J37" s="259">
        <f t="shared" si="2"/>
        <v>0.11636</v>
      </c>
      <c r="K37" s="259">
        <f t="shared" si="3"/>
        <v>0.1604749567</v>
      </c>
    </row>
    <row r="38" ht="14.25" customHeight="1">
      <c r="A38" s="255">
        <v>44166.0</v>
      </c>
      <c r="B38" s="256">
        <v>40.531681</v>
      </c>
      <c r="C38" s="260"/>
      <c r="D38" s="260"/>
      <c r="E38" s="256">
        <f>B38+D16</f>
        <v>41.401681</v>
      </c>
      <c r="F38" s="258">
        <f t="shared" si="1"/>
        <v>0.1308841144</v>
      </c>
      <c r="G38" s="257">
        <v>44166.0</v>
      </c>
      <c r="H38" s="259">
        <v>0.0464</v>
      </c>
      <c r="I38" s="259">
        <v>0.009170000000000001</v>
      </c>
      <c r="J38" s="259">
        <f t="shared" si="2"/>
        <v>0.03723</v>
      </c>
      <c r="K38" s="259">
        <f t="shared" si="3"/>
        <v>0.1217141144</v>
      </c>
    </row>
    <row r="39" ht="14.25" customHeight="1">
      <c r="A39" s="255">
        <v>44197.0</v>
      </c>
      <c r="B39" s="256">
        <v>44.091232</v>
      </c>
      <c r="C39" s="260"/>
      <c r="D39" s="260"/>
      <c r="E39" s="256">
        <v>44.091232</v>
      </c>
      <c r="F39" s="258">
        <f t="shared" si="1"/>
        <v>0.06496236228</v>
      </c>
      <c r="G39" s="257">
        <v>44197.0</v>
      </c>
      <c r="H39" s="259">
        <v>-4.0E-4</v>
      </c>
      <c r="I39" s="259">
        <v>0.01093</v>
      </c>
      <c r="J39" s="259">
        <f t="shared" si="2"/>
        <v>-0.01133</v>
      </c>
      <c r="K39" s="259">
        <f t="shared" si="3"/>
        <v>0.05403236228</v>
      </c>
    </row>
    <row r="40" ht="14.25" customHeight="1">
      <c r="A40" s="255">
        <v>44228.0</v>
      </c>
      <c r="B40" s="256">
        <v>53.462093</v>
      </c>
      <c r="C40" s="260"/>
      <c r="D40" s="260"/>
      <c r="E40" s="256">
        <v>53.462093</v>
      </c>
      <c r="F40" s="258">
        <f t="shared" si="1"/>
        <v>0.2125334352</v>
      </c>
      <c r="G40" s="257">
        <v>44228.0</v>
      </c>
      <c r="H40" s="259"/>
      <c r="I40" s="259">
        <v>0.0146</v>
      </c>
      <c r="J40" s="259"/>
      <c r="K40" s="259">
        <f t="shared" si="3"/>
        <v>0.1979334352</v>
      </c>
      <c r="N40" s="260"/>
    </row>
    <row r="41" ht="14.25" customHeight="1">
      <c r="A41" s="255">
        <v>44256.0</v>
      </c>
      <c r="B41" s="256">
        <v>58.709999</v>
      </c>
      <c r="C41" s="260"/>
      <c r="D41" s="260"/>
      <c r="E41" s="256">
        <f>B41+D17</f>
        <v>59.579999</v>
      </c>
      <c r="F41" s="258">
        <f t="shared" si="1"/>
        <v>0.1144344648</v>
      </c>
      <c r="G41" s="257">
        <v>44256.0</v>
      </c>
      <c r="H41" s="259"/>
      <c r="I41" s="259">
        <v>0.0155</v>
      </c>
      <c r="J41" s="259"/>
      <c r="K41" s="259">
        <f t="shared" si="3"/>
        <v>0.09893446481</v>
      </c>
      <c r="N41" s="260"/>
    </row>
    <row r="42" ht="14.25" customHeight="1">
      <c r="A42" s="260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N42" s="260"/>
    </row>
    <row r="43" ht="14.25" customHeight="1">
      <c r="A43" s="260"/>
      <c r="B43" s="260"/>
      <c r="C43" s="260"/>
      <c r="D43" s="260"/>
      <c r="E43" s="260"/>
      <c r="F43" s="260"/>
      <c r="G43" s="260"/>
      <c r="H43" s="260"/>
      <c r="I43" s="260"/>
      <c r="J43" s="260"/>
      <c r="N43" s="260"/>
    </row>
    <row r="44" ht="14.25" customHeight="1">
      <c r="A44" s="260"/>
      <c r="B44" s="260"/>
      <c r="C44" s="260"/>
      <c r="D44" s="260"/>
      <c r="E44" s="260"/>
      <c r="F44" s="260"/>
      <c r="G44" s="260"/>
      <c r="H44" s="260"/>
      <c r="I44" s="260"/>
      <c r="J44" s="260"/>
      <c r="N44" s="260"/>
    </row>
    <row r="45" ht="14.25" customHeight="1">
      <c r="A45" s="260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1"/>
      <c r="M45" s="260"/>
      <c r="N45" s="260"/>
    </row>
    <row r="46" ht="14.25" customHeight="1">
      <c r="A46" s="262" t="s">
        <v>143</v>
      </c>
      <c r="B46" s="263"/>
      <c r="C46" s="260"/>
      <c r="D46" s="260"/>
      <c r="E46" s="260"/>
      <c r="F46" s="260"/>
      <c r="G46" s="260"/>
      <c r="H46" s="260"/>
      <c r="I46" s="260"/>
      <c r="J46" s="260"/>
      <c r="K46" s="260"/>
      <c r="L46" s="260"/>
      <c r="M46" s="260"/>
      <c r="N46" s="260"/>
    </row>
    <row r="47" ht="14.25" customHeight="1">
      <c r="A47" s="260"/>
      <c r="B47" s="260"/>
      <c r="C47" s="260"/>
      <c r="D47" s="260"/>
      <c r="E47" s="260"/>
      <c r="F47" s="260"/>
      <c r="G47" s="260"/>
      <c r="H47" s="260"/>
      <c r="I47" s="260"/>
      <c r="J47" s="260"/>
      <c r="K47" s="260"/>
      <c r="L47" s="260"/>
      <c r="M47" s="260"/>
      <c r="N47" s="260"/>
    </row>
    <row r="48" ht="14.25" customHeight="1">
      <c r="A48" s="262" t="s">
        <v>144</v>
      </c>
      <c r="B48" s="263"/>
      <c r="C48" s="260"/>
      <c r="D48" s="260"/>
      <c r="E48" s="260"/>
      <c r="F48" s="260"/>
      <c r="G48" s="260"/>
      <c r="H48" s="260"/>
      <c r="I48" s="260"/>
      <c r="J48" s="260"/>
      <c r="K48" s="260"/>
      <c r="L48" s="260"/>
      <c r="M48" s="260"/>
      <c r="N48" s="260"/>
    </row>
    <row r="49" ht="14.25" customHeight="1">
      <c r="A49" s="257" t="s">
        <v>145</v>
      </c>
      <c r="B49" s="256">
        <v>0.7692542663324697</v>
      </c>
      <c r="C49" s="260"/>
      <c r="D49" s="260"/>
      <c r="E49" s="260"/>
      <c r="F49" s="260"/>
      <c r="G49" s="260"/>
      <c r="H49" s="260"/>
      <c r="I49" s="260"/>
      <c r="J49" s="260"/>
      <c r="K49" s="260"/>
      <c r="L49" s="260"/>
      <c r="M49" s="260"/>
      <c r="N49" s="260"/>
    </row>
    <row r="50" ht="14.25" customHeight="1">
      <c r="A50" s="257" t="s">
        <v>146</v>
      </c>
      <c r="B50" s="256">
        <v>0.5917521262707063</v>
      </c>
      <c r="C50" s="260"/>
      <c r="D50" s="260"/>
      <c r="E50" s="260"/>
      <c r="F50" s="260"/>
      <c r="G50" s="260"/>
      <c r="H50" s="260"/>
      <c r="I50" s="260"/>
      <c r="J50" s="260"/>
      <c r="K50" s="260"/>
      <c r="L50" s="260"/>
      <c r="M50" s="260"/>
      <c r="N50" s="260"/>
    </row>
    <row r="51" ht="14.25" customHeight="1">
      <c r="A51" s="257" t="s">
        <v>147</v>
      </c>
      <c r="B51" s="256">
        <v>0.5800879013070122</v>
      </c>
      <c r="C51" s="260"/>
      <c r="D51" s="260"/>
      <c r="E51" s="260"/>
      <c r="F51" s="260"/>
      <c r="G51" s="260"/>
      <c r="H51" s="260"/>
      <c r="I51" s="260"/>
      <c r="J51" s="260"/>
      <c r="K51" s="260"/>
      <c r="L51" s="260"/>
      <c r="M51" s="260"/>
      <c r="N51" s="260"/>
    </row>
    <row r="52" ht="14.25" customHeight="1">
      <c r="A52" s="257" t="s">
        <v>148</v>
      </c>
      <c r="B52" s="256">
        <v>0.06051029762311732</v>
      </c>
      <c r="C52" s="260"/>
      <c r="D52" s="260"/>
      <c r="E52" s="260"/>
      <c r="F52" s="260"/>
      <c r="G52" s="260"/>
      <c r="H52" s="260"/>
      <c r="I52" s="260"/>
      <c r="J52" s="260"/>
      <c r="K52" s="260"/>
      <c r="L52" s="260"/>
      <c r="M52" s="260"/>
      <c r="N52" s="260"/>
    </row>
    <row r="53" ht="14.25" customHeight="1">
      <c r="A53" s="257" t="s">
        <v>149</v>
      </c>
      <c r="B53" s="256">
        <v>37.0</v>
      </c>
      <c r="C53" s="260"/>
      <c r="D53" s="260"/>
      <c r="E53" s="260"/>
      <c r="F53" s="260"/>
      <c r="G53" s="260"/>
      <c r="H53" s="260"/>
      <c r="I53" s="260"/>
      <c r="J53" s="260"/>
      <c r="K53" s="260"/>
      <c r="L53" s="260"/>
      <c r="M53" s="260"/>
      <c r="N53" s="260"/>
    </row>
    <row r="54" ht="14.25" customHeight="1">
      <c r="A54" s="260"/>
      <c r="B54" s="260"/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260"/>
      <c r="N54" s="260"/>
    </row>
    <row r="55" ht="14.25" customHeight="1">
      <c r="A55" s="262" t="s">
        <v>150</v>
      </c>
      <c r="B55" s="263"/>
      <c r="C55" s="260"/>
      <c r="D55" s="260"/>
      <c r="E55" s="260"/>
      <c r="F55" s="260"/>
      <c r="G55" s="260"/>
      <c r="H55" s="260"/>
      <c r="I55" s="260"/>
      <c r="J55" s="260"/>
      <c r="K55" s="260"/>
      <c r="L55" s="260"/>
      <c r="M55" s="260"/>
      <c r="N55" s="260"/>
    </row>
    <row r="56" ht="14.25" customHeight="1">
      <c r="A56" s="257"/>
      <c r="B56" s="257" t="s">
        <v>151</v>
      </c>
      <c r="C56" s="257" t="s">
        <v>152</v>
      </c>
      <c r="D56" s="257" t="s">
        <v>153</v>
      </c>
      <c r="E56" s="257" t="s">
        <v>154</v>
      </c>
      <c r="F56" s="257" t="s">
        <v>155</v>
      </c>
      <c r="G56" s="260"/>
      <c r="H56" s="260"/>
      <c r="I56" s="260"/>
      <c r="J56" s="260"/>
      <c r="K56" s="260"/>
      <c r="L56" s="260"/>
      <c r="M56" s="260"/>
      <c r="N56" s="260"/>
    </row>
    <row r="57" ht="14.25" customHeight="1">
      <c r="A57" s="257" t="s">
        <v>156</v>
      </c>
      <c r="B57" s="256">
        <v>1.0</v>
      </c>
      <c r="C57" s="256">
        <v>0.18575585777553133</v>
      </c>
      <c r="D57" s="256">
        <v>0.18575585777553133</v>
      </c>
      <c r="E57" s="256">
        <v>50.732228511760106</v>
      </c>
      <c r="F57" s="256">
        <v>2.6554218543197902E-8</v>
      </c>
      <c r="G57" s="260"/>
      <c r="H57" s="260"/>
      <c r="I57" s="260"/>
      <c r="J57" s="260"/>
      <c r="K57" s="260"/>
      <c r="L57" s="260"/>
      <c r="M57" s="260"/>
      <c r="N57" s="260"/>
    </row>
    <row r="58" ht="14.25" customHeight="1">
      <c r="A58" s="257" t="s">
        <v>157</v>
      </c>
      <c r="B58" s="256">
        <v>35.0</v>
      </c>
      <c r="C58" s="256">
        <v>0.12815236414533832</v>
      </c>
      <c r="D58" s="256">
        <v>0.0036614961184382377</v>
      </c>
      <c r="E58" s="256"/>
      <c r="F58" s="256"/>
      <c r="G58" s="260"/>
      <c r="H58" s="260"/>
      <c r="I58" s="260"/>
      <c r="J58" s="260"/>
      <c r="K58" s="260"/>
      <c r="L58" s="260"/>
      <c r="M58" s="260"/>
      <c r="N58" s="260"/>
    </row>
    <row r="59" ht="14.25" customHeight="1">
      <c r="A59" s="257" t="s">
        <v>158</v>
      </c>
      <c r="B59" s="256">
        <v>36.0</v>
      </c>
      <c r="C59" s="256">
        <v>0.31390822192086965</v>
      </c>
      <c r="D59" s="256"/>
      <c r="E59" s="256"/>
      <c r="F59" s="256"/>
      <c r="G59" s="260"/>
      <c r="H59" s="260"/>
      <c r="I59" s="260"/>
      <c r="J59" s="260"/>
      <c r="K59" s="260"/>
      <c r="L59" s="260"/>
      <c r="M59" s="260"/>
      <c r="N59" s="260"/>
    </row>
    <row r="60" ht="14.25" customHeight="1">
      <c r="A60" s="260"/>
      <c r="B60" s="260"/>
      <c r="C60" s="260"/>
      <c r="D60" s="260"/>
      <c r="E60" s="260"/>
      <c r="F60" s="260"/>
      <c r="G60" s="260"/>
      <c r="H60" s="260"/>
      <c r="I60" s="260"/>
      <c r="J60" s="260"/>
      <c r="K60" s="260"/>
      <c r="L60" s="260"/>
      <c r="M60" s="260"/>
      <c r="N60" s="260"/>
    </row>
    <row r="61" ht="14.25" customHeight="1">
      <c r="A61" s="264"/>
      <c r="B61" s="257" t="s">
        <v>159</v>
      </c>
      <c r="C61" s="257" t="s">
        <v>148</v>
      </c>
      <c r="D61" s="257" t="s">
        <v>160</v>
      </c>
      <c r="E61" s="257" t="s">
        <v>161</v>
      </c>
      <c r="F61" s="257" t="s">
        <v>162</v>
      </c>
      <c r="G61" s="257" t="s">
        <v>163</v>
      </c>
      <c r="H61" s="257" t="s">
        <v>164</v>
      </c>
      <c r="I61" s="257" t="s">
        <v>165</v>
      </c>
      <c r="J61" s="260"/>
      <c r="K61" s="260"/>
      <c r="L61" s="260"/>
      <c r="M61" s="260"/>
      <c r="N61" s="260"/>
    </row>
    <row r="62" ht="14.25" customHeight="1">
      <c r="A62" s="257" t="s">
        <v>166</v>
      </c>
      <c r="B62" s="256">
        <v>-0.020169480230632315</v>
      </c>
      <c r="C62" s="256">
        <v>0.00999846130930503</v>
      </c>
      <c r="D62" s="256">
        <v>-2.01725841673875</v>
      </c>
      <c r="E62" s="256">
        <v>0.05138904839793886</v>
      </c>
      <c r="F62" s="256">
        <v>-0.040467435804956764</v>
      </c>
      <c r="G62" s="256">
        <v>1.2847534369213667E-4</v>
      </c>
      <c r="H62" s="256">
        <v>-0.040467435804956764</v>
      </c>
      <c r="I62" s="256">
        <v>1.2847534369213667E-4</v>
      </c>
      <c r="J62" s="260"/>
      <c r="K62" s="260"/>
      <c r="L62" s="260"/>
      <c r="M62" s="260"/>
      <c r="N62" s="260"/>
    </row>
    <row r="63" ht="14.25" customHeight="1">
      <c r="A63" s="257" t="s">
        <v>167</v>
      </c>
      <c r="B63" s="265">
        <v>1.2236008348047718</v>
      </c>
      <c r="C63" s="256">
        <v>0.17178996635449575</v>
      </c>
      <c r="D63" s="256">
        <v>7.122656001223148</v>
      </c>
      <c r="E63" s="256">
        <v>2.655421854319775E-8</v>
      </c>
      <c r="F63" s="256">
        <v>0.8748486621146501</v>
      </c>
      <c r="G63" s="256">
        <v>1.5723530074948935</v>
      </c>
      <c r="H63" s="256">
        <v>0.8748486621146501</v>
      </c>
      <c r="I63" s="256">
        <v>1.5723530074948935</v>
      </c>
      <c r="J63" s="260"/>
      <c r="K63" s="260"/>
      <c r="L63" s="260"/>
      <c r="M63" s="260"/>
      <c r="N63" s="260"/>
    </row>
    <row r="64" ht="14.25" customHeight="1"/>
    <row r="65" ht="14.25" customHeight="1"/>
    <row r="66" ht="14.25" customHeight="1"/>
    <row r="67" ht="14.25" customHeight="1">
      <c r="A67" s="1"/>
      <c r="B67" s="1"/>
    </row>
    <row r="68" ht="14.25" customHeight="1">
      <c r="A68" s="182" t="s">
        <v>133</v>
      </c>
      <c r="B68" s="182" t="s">
        <v>168</v>
      </c>
      <c r="C68" s="182" t="s">
        <v>169</v>
      </c>
      <c r="D68" s="182" t="s">
        <v>170</v>
      </c>
      <c r="E68" s="266" t="s">
        <v>171</v>
      </c>
    </row>
    <row r="69" ht="14.25" customHeight="1">
      <c r="A69" s="267">
        <v>192607.0</v>
      </c>
      <c r="B69" s="268">
        <v>0.0296</v>
      </c>
      <c r="C69" s="268">
        <f t="shared" ref="C69:C1203" si="4">1+B69</f>
        <v>1.0296</v>
      </c>
      <c r="D69" s="269">
        <f>GEOMEAN(C69:C1203)-1</f>
        <v>0.005376463453</v>
      </c>
      <c r="E69" s="270">
        <f>D69*12</f>
        <v>0.06451756143</v>
      </c>
    </row>
    <row r="70" ht="14.25" customHeight="1">
      <c r="A70" s="267">
        <v>192608.0</v>
      </c>
      <c r="B70" s="268">
        <v>0.0264</v>
      </c>
      <c r="C70" s="268">
        <f t="shared" si="4"/>
        <v>1.0264</v>
      </c>
    </row>
    <row r="71" ht="14.25" customHeight="1">
      <c r="A71" s="267">
        <v>192609.0</v>
      </c>
      <c r="B71" s="268">
        <v>0.0036</v>
      </c>
      <c r="C71" s="268">
        <f t="shared" si="4"/>
        <v>1.0036</v>
      </c>
    </row>
    <row r="72" ht="14.25" customHeight="1">
      <c r="A72" s="267">
        <v>192610.0</v>
      </c>
      <c r="B72" s="268">
        <v>-0.032400000000000005</v>
      </c>
      <c r="C72" s="268">
        <f t="shared" si="4"/>
        <v>0.9676</v>
      </c>
    </row>
    <row r="73" ht="14.25" customHeight="1">
      <c r="A73" s="267">
        <v>192611.0</v>
      </c>
      <c r="B73" s="268">
        <v>0.0253</v>
      </c>
      <c r="C73" s="268">
        <f t="shared" si="4"/>
        <v>1.0253</v>
      </c>
    </row>
    <row r="74" ht="14.25" customHeight="1">
      <c r="A74" s="267">
        <v>192612.0</v>
      </c>
      <c r="B74" s="268">
        <v>0.0262</v>
      </c>
      <c r="C74" s="268">
        <f t="shared" si="4"/>
        <v>1.0262</v>
      </c>
    </row>
    <row r="75" ht="14.25" customHeight="1">
      <c r="A75" s="267">
        <v>192701.0</v>
      </c>
      <c r="B75" s="268">
        <v>-6.0E-4</v>
      </c>
      <c r="C75" s="268">
        <f t="shared" si="4"/>
        <v>0.9994</v>
      </c>
    </row>
    <row r="76" ht="14.25" customHeight="1">
      <c r="A76" s="267">
        <v>192702.0</v>
      </c>
      <c r="B76" s="268">
        <v>0.0418</v>
      </c>
      <c r="C76" s="268">
        <f t="shared" si="4"/>
        <v>1.0418</v>
      </c>
    </row>
    <row r="77" ht="14.25" customHeight="1">
      <c r="A77" s="267">
        <v>192703.0</v>
      </c>
      <c r="B77" s="268">
        <v>0.0013</v>
      </c>
      <c r="C77" s="268">
        <f t="shared" si="4"/>
        <v>1.0013</v>
      </c>
    </row>
    <row r="78" ht="14.25" customHeight="1">
      <c r="A78" s="267">
        <v>192704.0</v>
      </c>
      <c r="B78" s="268">
        <v>0.0046</v>
      </c>
      <c r="C78" s="268">
        <f t="shared" si="4"/>
        <v>1.0046</v>
      </c>
    </row>
    <row r="79" ht="14.25" customHeight="1">
      <c r="A79" s="267">
        <v>192705.0</v>
      </c>
      <c r="B79" s="268">
        <v>0.054400000000000004</v>
      </c>
      <c r="C79" s="268">
        <f t="shared" si="4"/>
        <v>1.0544</v>
      </c>
    </row>
    <row r="80" ht="14.25" customHeight="1">
      <c r="A80" s="267">
        <v>192706.0</v>
      </c>
      <c r="B80" s="268">
        <v>-0.023399999999999997</v>
      </c>
      <c r="C80" s="268">
        <f t="shared" si="4"/>
        <v>0.9766</v>
      </c>
    </row>
    <row r="81" ht="14.25" customHeight="1">
      <c r="A81" s="267">
        <v>192707.0</v>
      </c>
      <c r="B81" s="268">
        <v>0.0726</v>
      </c>
      <c r="C81" s="268">
        <f t="shared" si="4"/>
        <v>1.0726</v>
      </c>
    </row>
    <row r="82" ht="14.25" customHeight="1">
      <c r="A82" s="267">
        <v>192708.0</v>
      </c>
      <c r="B82" s="268">
        <v>0.0197</v>
      </c>
      <c r="C82" s="268">
        <f t="shared" si="4"/>
        <v>1.0197</v>
      </c>
    </row>
    <row r="83" ht="14.25" customHeight="1">
      <c r="A83" s="267">
        <v>192709.0</v>
      </c>
      <c r="B83" s="268">
        <v>0.047599999999999996</v>
      </c>
      <c r="C83" s="268">
        <f t="shared" si="4"/>
        <v>1.0476</v>
      </c>
    </row>
    <row r="84" ht="14.25" customHeight="1">
      <c r="A84" s="267">
        <v>192710.0</v>
      </c>
      <c r="B84" s="268">
        <v>-0.0431</v>
      </c>
      <c r="C84" s="268">
        <f t="shared" si="4"/>
        <v>0.9569</v>
      </c>
    </row>
    <row r="85" ht="14.25" customHeight="1">
      <c r="A85" s="267">
        <v>192711.0</v>
      </c>
      <c r="B85" s="268">
        <v>0.0658</v>
      </c>
      <c r="C85" s="268">
        <f t="shared" si="4"/>
        <v>1.0658</v>
      </c>
    </row>
    <row r="86" ht="14.25" customHeight="1">
      <c r="A86" s="267">
        <v>192712.0</v>
      </c>
      <c r="B86" s="268">
        <v>0.0209</v>
      </c>
      <c r="C86" s="268">
        <f t="shared" si="4"/>
        <v>1.0209</v>
      </c>
    </row>
    <row r="87" ht="14.25" customHeight="1">
      <c r="A87" s="267">
        <v>192801.0</v>
      </c>
      <c r="B87" s="268">
        <v>-0.0068000000000000005</v>
      </c>
      <c r="C87" s="268">
        <f t="shared" si="4"/>
        <v>0.9932</v>
      </c>
    </row>
    <row r="88" ht="14.25" customHeight="1">
      <c r="A88" s="267">
        <v>192802.0</v>
      </c>
      <c r="B88" s="268">
        <v>-0.017</v>
      </c>
      <c r="C88" s="268">
        <f t="shared" si="4"/>
        <v>0.983</v>
      </c>
    </row>
    <row r="89" ht="14.25" customHeight="1">
      <c r="A89" s="267">
        <v>192803.0</v>
      </c>
      <c r="B89" s="268">
        <v>0.08810000000000001</v>
      </c>
      <c r="C89" s="268">
        <f t="shared" si="4"/>
        <v>1.0881</v>
      </c>
    </row>
    <row r="90" ht="14.25" customHeight="1">
      <c r="A90" s="267">
        <v>192804.0</v>
      </c>
      <c r="B90" s="268">
        <v>0.042300000000000004</v>
      </c>
      <c r="C90" s="268">
        <f t="shared" si="4"/>
        <v>1.0423</v>
      </c>
    </row>
    <row r="91" ht="14.25" customHeight="1">
      <c r="A91" s="267">
        <v>192805.0</v>
      </c>
      <c r="B91" s="268">
        <v>0.0152</v>
      </c>
      <c r="C91" s="268">
        <f t="shared" si="4"/>
        <v>1.0152</v>
      </c>
    </row>
    <row r="92" ht="14.25" customHeight="1">
      <c r="A92" s="267">
        <v>192806.0</v>
      </c>
      <c r="B92" s="268">
        <v>-0.048499999999999995</v>
      </c>
      <c r="C92" s="268">
        <f t="shared" si="4"/>
        <v>0.9515</v>
      </c>
    </row>
    <row r="93" ht="14.25" customHeight="1">
      <c r="A93" s="267">
        <v>192807.0</v>
      </c>
      <c r="B93" s="268">
        <v>0.0062</v>
      </c>
      <c r="C93" s="268">
        <f t="shared" si="4"/>
        <v>1.0062</v>
      </c>
    </row>
    <row r="94" ht="14.25" customHeight="1">
      <c r="A94" s="267">
        <v>192808.0</v>
      </c>
      <c r="B94" s="268">
        <v>0.0668</v>
      </c>
      <c r="C94" s="268">
        <f t="shared" si="4"/>
        <v>1.0668</v>
      </c>
    </row>
    <row r="95" ht="14.25" customHeight="1">
      <c r="A95" s="267">
        <v>192809.0</v>
      </c>
      <c r="B95" s="268">
        <v>0.0288</v>
      </c>
      <c r="C95" s="268">
        <f t="shared" si="4"/>
        <v>1.0288</v>
      </c>
    </row>
    <row r="96" ht="14.25" customHeight="1">
      <c r="A96" s="267">
        <v>192810.0</v>
      </c>
      <c r="B96" s="268">
        <v>0.013300000000000001</v>
      </c>
      <c r="C96" s="268">
        <f t="shared" si="4"/>
        <v>1.0133</v>
      </c>
    </row>
    <row r="97" ht="14.25" customHeight="1">
      <c r="A97" s="267">
        <v>192811.0</v>
      </c>
      <c r="B97" s="268">
        <v>0.11810000000000001</v>
      </c>
      <c r="C97" s="268">
        <f t="shared" si="4"/>
        <v>1.1181</v>
      </c>
    </row>
    <row r="98" ht="14.25" customHeight="1">
      <c r="A98" s="267">
        <v>192812.0</v>
      </c>
      <c r="B98" s="268">
        <v>0.0036</v>
      </c>
      <c r="C98" s="268">
        <f t="shared" si="4"/>
        <v>1.0036</v>
      </c>
    </row>
    <row r="99" ht="14.25" customHeight="1">
      <c r="A99" s="267">
        <v>192901.0</v>
      </c>
      <c r="B99" s="268">
        <v>0.0466</v>
      </c>
      <c r="C99" s="268">
        <f t="shared" si="4"/>
        <v>1.0466</v>
      </c>
    </row>
    <row r="100" ht="14.25" customHeight="1">
      <c r="A100" s="267">
        <v>192902.0</v>
      </c>
      <c r="B100" s="268">
        <v>-0.0034000000000000002</v>
      </c>
      <c r="C100" s="268">
        <f t="shared" si="4"/>
        <v>0.9966</v>
      </c>
    </row>
    <row r="101" ht="14.25" customHeight="1">
      <c r="A101" s="267">
        <v>192903.0</v>
      </c>
      <c r="B101" s="268">
        <v>-0.0089</v>
      </c>
      <c r="C101" s="268">
        <f t="shared" si="4"/>
        <v>0.9911</v>
      </c>
    </row>
    <row r="102" ht="14.25" customHeight="1">
      <c r="A102" s="267">
        <v>192904.0</v>
      </c>
      <c r="B102" s="268">
        <v>0.0143</v>
      </c>
      <c r="C102" s="268">
        <f t="shared" si="4"/>
        <v>1.0143</v>
      </c>
    </row>
    <row r="103" ht="14.25" customHeight="1">
      <c r="A103" s="267">
        <v>192905.0</v>
      </c>
      <c r="B103" s="268">
        <v>-0.0639</v>
      </c>
      <c r="C103" s="268">
        <f t="shared" si="4"/>
        <v>0.9361</v>
      </c>
    </row>
    <row r="104" ht="14.25" customHeight="1">
      <c r="A104" s="267">
        <v>192906.0</v>
      </c>
      <c r="B104" s="268">
        <v>0.09699999999999999</v>
      </c>
      <c r="C104" s="268">
        <f t="shared" si="4"/>
        <v>1.097</v>
      </c>
    </row>
    <row r="105" ht="14.25" customHeight="1">
      <c r="A105" s="267">
        <v>192907.0</v>
      </c>
      <c r="B105" s="268">
        <v>0.0446</v>
      </c>
      <c r="C105" s="268">
        <f t="shared" si="4"/>
        <v>1.0446</v>
      </c>
    </row>
    <row r="106" ht="14.25" customHeight="1">
      <c r="A106" s="267">
        <v>192908.0</v>
      </c>
      <c r="B106" s="268">
        <v>0.0818</v>
      </c>
      <c r="C106" s="268">
        <f t="shared" si="4"/>
        <v>1.0818</v>
      </c>
    </row>
    <row r="107" ht="14.25" customHeight="1">
      <c r="A107" s="267">
        <v>192909.0</v>
      </c>
      <c r="B107" s="268">
        <v>-0.0547</v>
      </c>
      <c r="C107" s="268">
        <f t="shared" si="4"/>
        <v>0.9453</v>
      </c>
    </row>
    <row r="108" ht="14.25" customHeight="1">
      <c r="A108" s="267">
        <v>192910.0</v>
      </c>
      <c r="B108" s="268">
        <v>-0.20120000000000002</v>
      </c>
      <c r="C108" s="268">
        <f t="shared" si="4"/>
        <v>0.7988</v>
      </c>
    </row>
    <row r="109" ht="14.25" customHeight="1">
      <c r="A109" s="267">
        <v>192911.0</v>
      </c>
      <c r="B109" s="268">
        <v>-0.1274</v>
      </c>
      <c r="C109" s="268">
        <f t="shared" si="4"/>
        <v>0.8726</v>
      </c>
    </row>
    <row r="110" ht="14.25" customHeight="1">
      <c r="A110" s="267">
        <v>192912.0</v>
      </c>
      <c r="B110" s="268">
        <v>0.013300000000000001</v>
      </c>
      <c r="C110" s="268">
        <f t="shared" si="4"/>
        <v>1.0133</v>
      </c>
    </row>
    <row r="111" ht="14.25" customHeight="1">
      <c r="A111" s="267">
        <v>193001.0</v>
      </c>
      <c r="B111" s="268">
        <v>0.056100000000000004</v>
      </c>
      <c r="C111" s="268">
        <f t="shared" si="4"/>
        <v>1.0561</v>
      </c>
    </row>
    <row r="112" ht="14.25" customHeight="1">
      <c r="A112" s="267">
        <v>193002.0</v>
      </c>
      <c r="B112" s="268">
        <v>0.025</v>
      </c>
      <c r="C112" s="268">
        <f t="shared" si="4"/>
        <v>1.025</v>
      </c>
    </row>
    <row r="113" ht="14.25" customHeight="1">
      <c r="A113" s="267">
        <v>193003.0</v>
      </c>
      <c r="B113" s="268">
        <v>0.071</v>
      </c>
      <c r="C113" s="268">
        <f t="shared" si="4"/>
        <v>1.071</v>
      </c>
    </row>
    <row r="114" ht="14.25" customHeight="1">
      <c r="A114" s="267">
        <v>193004.0</v>
      </c>
      <c r="B114" s="268">
        <v>-0.0206</v>
      </c>
      <c r="C114" s="268">
        <f t="shared" si="4"/>
        <v>0.9794</v>
      </c>
    </row>
    <row r="115" ht="14.25" customHeight="1">
      <c r="A115" s="267">
        <v>193005.0</v>
      </c>
      <c r="B115" s="268">
        <v>-0.0166</v>
      </c>
      <c r="C115" s="268">
        <f t="shared" si="4"/>
        <v>0.9834</v>
      </c>
    </row>
    <row r="116" ht="14.25" customHeight="1">
      <c r="A116" s="267">
        <v>193006.0</v>
      </c>
      <c r="B116" s="268">
        <v>-0.16269999999999998</v>
      </c>
      <c r="C116" s="268">
        <f t="shared" si="4"/>
        <v>0.8373</v>
      </c>
    </row>
    <row r="117" ht="14.25" customHeight="1">
      <c r="A117" s="267">
        <v>193007.0</v>
      </c>
      <c r="B117" s="268">
        <v>0.0412</v>
      </c>
      <c r="C117" s="268">
        <f t="shared" si="4"/>
        <v>1.0412</v>
      </c>
    </row>
    <row r="118" ht="14.25" customHeight="1">
      <c r="A118" s="267">
        <v>193008.0</v>
      </c>
      <c r="B118" s="268">
        <v>0.003</v>
      </c>
      <c r="C118" s="268">
        <f t="shared" si="4"/>
        <v>1.003</v>
      </c>
    </row>
    <row r="119" ht="14.25" customHeight="1">
      <c r="A119" s="267">
        <v>193009.0</v>
      </c>
      <c r="B119" s="268">
        <v>-0.1275</v>
      </c>
      <c r="C119" s="268">
        <f t="shared" si="4"/>
        <v>0.8725</v>
      </c>
    </row>
    <row r="120" ht="14.25" customHeight="1">
      <c r="A120" s="267">
        <v>193010.0</v>
      </c>
      <c r="B120" s="268">
        <v>-0.08779999999999999</v>
      </c>
      <c r="C120" s="268">
        <f t="shared" si="4"/>
        <v>0.9122</v>
      </c>
    </row>
    <row r="121" ht="14.25" customHeight="1">
      <c r="A121" s="267">
        <v>193011.0</v>
      </c>
      <c r="B121" s="268">
        <v>-0.0304</v>
      </c>
      <c r="C121" s="268">
        <f t="shared" si="4"/>
        <v>0.9696</v>
      </c>
    </row>
    <row r="122" ht="14.25" customHeight="1">
      <c r="A122" s="267">
        <v>193012.0</v>
      </c>
      <c r="B122" s="268">
        <v>-0.0783</v>
      </c>
      <c r="C122" s="268">
        <f t="shared" si="4"/>
        <v>0.9217</v>
      </c>
    </row>
    <row r="123" ht="14.25" customHeight="1">
      <c r="A123" s="267">
        <v>193101.0</v>
      </c>
      <c r="B123" s="268">
        <v>0.062400000000000004</v>
      </c>
      <c r="C123" s="268">
        <f t="shared" si="4"/>
        <v>1.0624</v>
      </c>
    </row>
    <row r="124" ht="14.25" customHeight="1">
      <c r="A124" s="267">
        <v>193102.0</v>
      </c>
      <c r="B124" s="268">
        <v>0.10880000000000001</v>
      </c>
      <c r="C124" s="268">
        <f t="shared" si="4"/>
        <v>1.1088</v>
      </c>
    </row>
    <row r="125" ht="14.25" customHeight="1">
      <c r="A125" s="267">
        <v>193103.0</v>
      </c>
      <c r="B125" s="268">
        <v>-0.0643</v>
      </c>
      <c r="C125" s="268">
        <f t="shared" si="4"/>
        <v>0.9357</v>
      </c>
    </row>
    <row r="126" ht="14.25" customHeight="1">
      <c r="A126" s="267">
        <v>193104.0</v>
      </c>
      <c r="B126" s="268">
        <v>-0.0998</v>
      </c>
      <c r="C126" s="268">
        <f t="shared" si="4"/>
        <v>0.9002</v>
      </c>
    </row>
    <row r="127" ht="14.25" customHeight="1">
      <c r="A127" s="267">
        <v>193105.0</v>
      </c>
      <c r="B127" s="268">
        <v>-0.1324</v>
      </c>
      <c r="C127" s="268">
        <f t="shared" si="4"/>
        <v>0.8676</v>
      </c>
    </row>
    <row r="128" ht="14.25" customHeight="1">
      <c r="A128" s="267">
        <v>193106.0</v>
      </c>
      <c r="B128" s="268">
        <v>0.139</v>
      </c>
      <c r="C128" s="268">
        <f t="shared" si="4"/>
        <v>1.139</v>
      </c>
    </row>
    <row r="129" ht="14.25" customHeight="1">
      <c r="A129" s="267">
        <v>193107.0</v>
      </c>
      <c r="B129" s="268">
        <v>-0.0662</v>
      </c>
      <c r="C129" s="268">
        <f t="shared" si="4"/>
        <v>0.9338</v>
      </c>
    </row>
    <row r="130" ht="14.25" customHeight="1">
      <c r="A130" s="267">
        <v>193108.0</v>
      </c>
      <c r="B130" s="268">
        <v>0.0040999999999999995</v>
      </c>
      <c r="C130" s="268">
        <f t="shared" si="4"/>
        <v>1.0041</v>
      </c>
    </row>
    <row r="131" ht="14.25" customHeight="1">
      <c r="A131" s="267">
        <v>193109.0</v>
      </c>
      <c r="B131" s="268">
        <v>-0.2913</v>
      </c>
      <c r="C131" s="268">
        <f t="shared" si="4"/>
        <v>0.7087</v>
      </c>
    </row>
    <row r="132" ht="14.25" customHeight="1">
      <c r="A132" s="267">
        <v>193110.0</v>
      </c>
      <c r="B132" s="268">
        <v>0.08039999999999999</v>
      </c>
      <c r="C132" s="268">
        <f t="shared" si="4"/>
        <v>1.0804</v>
      </c>
    </row>
    <row r="133" ht="14.25" customHeight="1">
      <c r="A133" s="267">
        <v>193111.0</v>
      </c>
      <c r="B133" s="268">
        <v>-0.0908</v>
      </c>
      <c r="C133" s="268">
        <f t="shared" si="4"/>
        <v>0.9092</v>
      </c>
    </row>
    <row r="134" ht="14.25" customHeight="1">
      <c r="A134" s="267">
        <v>193112.0</v>
      </c>
      <c r="B134" s="268">
        <v>-0.1353</v>
      </c>
      <c r="C134" s="268">
        <f t="shared" si="4"/>
        <v>0.8647</v>
      </c>
    </row>
    <row r="135" ht="14.25" customHeight="1">
      <c r="A135" s="267">
        <v>193201.0</v>
      </c>
      <c r="B135" s="268">
        <v>-0.0158</v>
      </c>
      <c r="C135" s="268">
        <f t="shared" si="4"/>
        <v>0.9842</v>
      </c>
    </row>
    <row r="136" ht="14.25" customHeight="1">
      <c r="A136" s="267">
        <v>193202.0</v>
      </c>
      <c r="B136" s="268">
        <v>0.0546</v>
      </c>
      <c r="C136" s="268">
        <f t="shared" si="4"/>
        <v>1.0546</v>
      </c>
    </row>
    <row r="137" ht="14.25" customHeight="1">
      <c r="A137" s="267">
        <v>193203.0</v>
      </c>
      <c r="B137" s="268">
        <v>-0.1121</v>
      </c>
      <c r="C137" s="268">
        <f t="shared" si="4"/>
        <v>0.8879</v>
      </c>
    </row>
    <row r="138" ht="14.25" customHeight="1">
      <c r="A138" s="267">
        <v>193204.0</v>
      </c>
      <c r="B138" s="268">
        <v>-0.1796</v>
      </c>
      <c r="C138" s="268">
        <f t="shared" si="4"/>
        <v>0.8204</v>
      </c>
    </row>
    <row r="139" ht="14.25" customHeight="1">
      <c r="A139" s="267">
        <v>193205.0</v>
      </c>
      <c r="B139" s="268">
        <v>-0.2051</v>
      </c>
      <c r="C139" s="268">
        <f t="shared" si="4"/>
        <v>0.7949</v>
      </c>
    </row>
    <row r="140" ht="14.25" customHeight="1">
      <c r="A140" s="267">
        <v>193206.0</v>
      </c>
      <c r="B140" s="268">
        <v>-0.006999999999999999</v>
      </c>
      <c r="C140" s="268">
        <f t="shared" si="4"/>
        <v>0.993</v>
      </c>
    </row>
    <row r="141" ht="14.25" customHeight="1">
      <c r="A141" s="267">
        <v>193207.0</v>
      </c>
      <c r="B141" s="268">
        <v>0.33840000000000003</v>
      </c>
      <c r="C141" s="268">
        <f t="shared" si="4"/>
        <v>1.3384</v>
      </c>
    </row>
    <row r="142" ht="14.25" customHeight="1">
      <c r="A142" s="267">
        <v>193208.0</v>
      </c>
      <c r="B142" s="268">
        <v>0.37060000000000004</v>
      </c>
      <c r="C142" s="268">
        <f t="shared" si="4"/>
        <v>1.3706</v>
      </c>
    </row>
    <row r="143" ht="14.25" customHeight="1">
      <c r="A143" s="267">
        <v>193209.0</v>
      </c>
      <c r="B143" s="268">
        <v>-0.0294</v>
      </c>
      <c r="C143" s="268">
        <f t="shared" si="4"/>
        <v>0.9706</v>
      </c>
    </row>
    <row r="144" ht="14.25" customHeight="1">
      <c r="A144" s="267">
        <v>193210.0</v>
      </c>
      <c r="B144" s="268">
        <v>-0.1317</v>
      </c>
      <c r="C144" s="268">
        <f t="shared" si="4"/>
        <v>0.8683</v>
      </c>
    </row>
    <row r="145" ht="14.25" customHeight="1">
      <c r="A145" s="267">
        <v>193211.0</v>
      </c>
      <c r="B145" s="268">
        <v>-0.0588</v>
      </c>
      <c r="C145" s="268">
        <f t="shared" si="4"/>
        <v>0.9412</v>
      </c>
    </row>
    <row r="146" ht="14.25" customHeight="1">
      <c r="A146" s="267">
        <v>193212.0</v>
      </c>
      <c r="B146" s="268">
        <v>0.044000000000000004</v>
      </c>
      <c r="C146" s="268">
        <f t="shared" si="4"/>
        <v>1.044</v>
      </c>
    </row>
    <row r="147" ht="14.25" customHeight="1">
      <c r="A147" s="267">
        <v>193301.0</v>
      </c>
      <c r="B147" s="268">
        <v>0.0125</v>
      </c>
      <c r="C147" s="268">
        <f t="shared" si="4"/>
        <v>1.0125</v>
      </c>
    </row>
    <row r="148" ht="14.25" customHeight="1">
      <c r="A148" s="267">
        <v>193302.0</v>
      </c>
      <c r="B148" s="268">
        <v>-0.1524</v>
      </c>
      <c r="C148" s="268">
        <f t="shared" si="4"/>
        <v>0.8476</v>
      </c>
    </row>
    <row r="149" ht="14.25" customHeight="1">
      <c r="A149" s="267">
        <v>193303.0</v>
      </c>
      <c r="B149" s="268">
        <v>0.0329</v>
      </c>
      <c r="C149" s="268">
        <f t="shared" si="4"/>
        <v>1.0329</v>
      </c>
    </row>
    <row r="150" ht="14.25" customHeight="1">
      <c r="A150" s="267">
        <v>193304.0</v>
      </c>
      <c r="B150" s="268">
        <v>0.3885</v>
      </c>
      <c r="C150" s="268">
        <f t="shared" si="4"/>
        <v>1.3885</v>
      </c>
    </row>
    <row r="151" ht="14.25" customHeight="1">
      <c r="A151" s="267">
        <v>193305.0</v>
      </c>
      <c r="B151" s="268">
        <v>0.2143</v>
      </c>
      <c r="C151" s="268">
        <f t="shared" si="4"/>
        <v>1.2143</v>
      </c>
    </row>
    <row r="152" ht="14.25" customHeight="1">
      <c r="A152" s="267">
        <v>193306.0</v>
      </c>
      <c r="B152" s="268">
        <v>0.1311</v>
      </c>
      <c r="C152" s="268">
        <f t="shared" si="4"/>
        <v>1.1311</v>
      </c>
    </row>
    <row r="153" ht="14.25" customHeight="1">
      <c r="A153" s="267">
        <v>193307.0</v>
      </c>
      <c r="B153" s="268">
        <v>-0.09630000000000001</v>
      </c>
      <c r="C153" s="268">
        <f t="shared" si="4"/>
        <v>0.9037</v>
      </c>
    </row>
    <row r="154" ht="14.25" customHeight="1">
      <c r="A154" s="267">
        <v>193308.0</v>
      </c>
      <c r="B154" s="268">
        <v>0.12050000000000001</v>
      </c>
      <c r="C154" s="268">
        <f t="shared" si="4"/>
        <v>1.1205</v>
      </c>
    </row>
    <row r="155" ht="14.25" customHeight="1">
      <c r="A155" s="267">
        <v>193309.0</v>
      </c>
      <c r="B155" s="268">
        <v>-0.1065</v>
      </c>
      <c r="C155" s="268">
        <f t="shared" si="4"/>
        <v>0.8935</v>
      </c>
    </row>
    <row r="156" ht="14.25" customHeight="1">
      <c r="A156" s="267">
        <v>193310.0</v>
      </c>
      <c r="B156" s="268">
        <v>-0.0836</v>
      </c>
      <c r="C156" s="268">
        <f t="shared" si="4"/>
        <v>0.9164</v>
      </c>
    </row>
    <row r="157" ht="14.25" customHeight="1">
      <c r="A157" s="267">
        <v>193311.0</v>
      </c>
      <c r="B157" s="268">
        <v>0.09970000000000001</v>
      </c>
      <c r="C157" s="268">
        <f t="shared" si="4"/>
        <v>1.0997</v>
      </c>
    </row>
    <row r="158" ht="14.25" customHeight="1">
      <c r="A158" s="267">
        <v>193312.0</v>
      </c>
      <c r="B158" s="268">
        <v>0.0183</v>
      </c>
      <c r="C158" s="268">
        <f t="shared" si="4"/>
        <v>1.0183</v>
      </c>
    </row>
    <row r="159" ht="14.25" customHeight="1">
      <c r="A159" s="267">
        <v>193401.0</v>
      </c>
      <c r="B159" s="268">
        <v>0.126</v>
      </c>
      <c r="C159" s="268">
        <f t="shared" si="4"/>
        <v>1.126</v>
      </c>
    </row>
    <row r="160" ht="14.25" customHeight="1">
      <c r="A160" s="267">
        <v>193402.0</v>
      </c>
      <c r="B160" s="268">
        <v>-0.025</v>
      </c>
      <c r="C160" s="268">
        <f t="shared" si="4"/>
        <v>0.975</v>
      </c>
    </row>
    <row r="161" ht="14.25" customHeight="1">
      <c r="A161" s="267">
        <v>193403.0</v>
      </c>
      <c r="B161" s="268">
        <v>9.0E-4</v>
      </c>
      <c r="C161" s="268">
        <f t="shared" si="4"/>
        <v>1.0009</v>
      </c>
    </row>
    <row r="162" ht="14.25" customHeight="1">
      <c r="A162" s="267">
        <v>193404.0</v>
      </c>
      <c r="B162" s="268">
        <v>-0.0179</v>
      </c>
      <c r="C162" s="268">
        <f t="shared" si="4"/>
        <v>0.9821</v>
      </c>
    </row>
    <row r="163" ht="14.25" customHeight="1">
      <c r="A163" s="267">
        <v>193405.0</v>
      </c>
      <c r="B163" s="268">
        <v>-0.0725</v>
      </c>
      <c r="C163" s="268">
        <f t="shared" si="4"/>
        <v>0.9275</v>
      </c>
    </row>
    <row r="164" ht="14.25" customHeight="1">
      <c r="A164" s="267">
        <v>193406.0</v>
      </c>
      <c r="B164" s="268">
        <v>0.0264</v>
      </c>
      <c r="C164" s="268">
        <f t="shared" si="4"/>
        <v>1.0264</v>
      </c>
    </row>
    <row r="165" ht="14.25" customHeight="1">
      <c r="A165" s="267">
        <v>193407.0</v>
      </c>
      <c r="B165" s="268">
        <v>-0.1096</v>
      </c>
      <c r="C165" s="268">
        <f t="shared" si="4"/>
        <v>0.8904</v>
      </c>
    </row>
    <row r="166" ht="14.25" customHeight="1">
      <c r="A166" s="267">
        <v>193408.0</v>
      </c>
      <c r="B166" s="268">
        <v>0.0558</v>
      </c>
      <c r="C166" s="268">
        <f t="shared" si="4"/>
        <v>1.0558</v>
      </c>
    </row>
    <row r="167" ht="14.25" customHeight="1">
      <c r="A167" s="267">
        <v>193409.0</v>
      </c>
      <c r="B167" s="268">
        <v>-0.0023</v>
      </c>
      <c r="C167" s="268">
        <f t="shared" si="4"/>
        <v>0.9977</v>
      </c>
    </row>
    <row r="168" ht="14.25" customHeight="1">
      <c r="A168" s="267">
        <v>193410.0</v>
      </c>
      <c r="B168" s="268">
        <v>-0.0166</v>
      </c>
      <c r="C168" s="268">
        <f t="shared" si="4"/>
        <v>0.9834</v>
      </c>
    </row>
    <row r="169" ht="14.25" customHeight="1">
      <c r="A169" s="267">
        <v>193411.0</v>
      </c>
      <c r="B169" s="268">
        <v>0.0833</v>
      </c>
      <c r="C169" s="268">
        <f t="shared" si="4"/>
        <v>1.0833</v>
      </c>
    </row>
    <row r="170" ht="14.25" customHeight="1">
      <c r="A170" s="267">
        <v>193412.0</v>
      </c>
      <c r="B170" s="268">
        <v>0.0036</v>
      </c>
      <c r="C170" s="268">
        <f t="shared" si="4"/>
        <v>1.0036</v>
      </c>
    </row>
    <row r="171" ht="14.25" customHeight="1">
      <c r="A171" s="267">
        <v>193501.0</v>
      </c>
      <c r="B171" s="268">
        <v>-0.0345</v>
      </c>
      <c r="C171" s="268">
        <f t="shared" si="4"/>
        <v>0.9655</v>
      </c>
    </row>
    <row r="172" ht="14.25" customHeight="1">
      <c r="A172" s="267">
        <v>193502.0</v>
      </c>
      <c r="B172" s="268">
        <v>-0.0194</v>
      </c>
      <c r="C172" s="268">
        <f t="shared" si="4"/>
        <v>0.9806</v>
      </c>
    </row>
    <row r="173" ht="14.25" customHeight="1">
      <c r="A173" s="267">
        <v>193503.0</v>
      </c>
      <c r="B173" s="268">
        <v>-0.0368</v>
      </c>
      <c r="C173" s="268">
        <f t="shared" si="4"/>
        <v>0.9632</v>
      </c>
    </row>
    <row r="174" ht="14.25" customHeight="1">
      <c r="A174" s="267">
        <v>193504.0</v>
      </c>
      <c r="B174" s="268">
        <v>0.0906</v>
      </c>
      <c r="C174" s="268">
        <f t="shared" si="4"/>
        <v>1.0906</v>
      </c>
    </row>
    <row r="175" ht="14.25" customHeight="1">
      <c r="A175" s="267">
        <v>193505.0</v>
      </c>
      <c r="B175" s="268">
        <v>0.0347</v>
      </c>
      <c r="C175" s="268">
        <f t="shared" si="4"/>
        <v>1.0347</v>
      </c>
    </row>
    <row r="176" ht="14.25" customHeight="1">
      <c r="A176" s="267">
        <v>193506.0</v>
      </c>
      <c r="B176" s="268">
        <v>0.0593</v>
      </c>
      <c r="C176" s="268">
        <f t="shared" si="4"/>
        <v>1.0593</v>
      </c>
    </row>
    <row r="177" ht="14.25" customHeight="1">
      <c r="A177" s="267">
        <v>193507.0</v>
      </c>
      <c r="B177" s="268">
        <v>0.0751</v>
      </c>
      <c r="C177" s="268">
        <f t="shared" si="4"/>
        <v>1.0751</v>
      </c>
    </row>
    <row r="178" ht="14.25" customHeight="1">
      <c r="A178" s="267">
        <v>193508.0</v>
      </c>
      <c r="B178" s="268">
        <v>0.0265</v>
      </c>
      <c r="C178" s="268">
        <f t="shared" si="4"/>
        <v>1.0265</v>
      </c>
    </row>
    <row r="179" ht="14.25" customHeight="1">
      <c r="A179" s="267">
        <v>193509.0</v>
      </c>
      <c r="B179" s="268">
        <v>0.0263</v>
      </c>
      <c r="C179" s="268">
        <f t="shared" si="4"/>
        <v>1.0263</v>
      </c>
    </row>
    <row r="180" ht="14.25" customHeight="1">
      <c r="A180" s="267">
        <v>193510.0</v>
      </c>
      <c r="B180" s="268">
        <v>0.0703</v>
      </c>
      <c r="C180" s="268">
        <f t="shared" si="4"/>
        <v>1.0703</v>
      </c>
    </row>
    <row r="181" ht="14.25" customHeight="1">
      <c r="A181" s="267">
        <v>193511.0</v>
      </c>
      <c r="B181" s="268">
        <v>0.048799999999999996</v>
      </c>
      <c r="C181" s="268">
        <f t="shared" si="4"/>
        <v>1.0488</v>
      </c>
    </row>
    <row r="182" ht="14.25" customHeight="1">
      <c r="A182" s="267">
        <v>193512.0</v>
      </c>
      <c r="B182" s="268">
        <v>0.045599999999999995</v>
      </c>
      <c r="C182" s="268">
        <f t="shared" si="4"/>
        <v>1.0456</v>
      </c>
    </row>
    <row r="183" ht="14.25" customHeight="1">
      <c r="A183" s="267">
        <v>193601.0</v>
      </c>
      <c r="B183" s="268">
        <v>0.0689</v>
      </c>
      <c r="C183" s="268">
        <f t="shared" si="4"/>
        <v>1.0689</v>
      </c>
    </row>
    <row r="184" ht="14.25" customHeight="1">
      <c r="A184" s="267">
        <v>193602.0</v>
      </c>
      <c r="B184" s="268">
        <v>0.024900000000000002</v>
      </c>
      <c r="C184" s="268">
        <f t="shared" si="4"/>
        <v>1.0249</v>
      </c>
    </row>
    <row r="185" ht="14.25" customHeight="1">
      <c r="A185" s="267">
        <v>193603.0</v>
      </c>
      <c r="B185" s="268">
        <v>0.009899999999999999</v>
      </c>
      <c r="C185" s="268">
        <f t="shared" si="4"/>
        <v>1.0099</v>
      </c>
    </row>
    <row r="186" ht="14.25" customHeight="1">
      <c r="A186" s="267">
        <v>193604.0</v>
      </c>
      <c r="B186" s="268">
        <v>-0.0814</v>
      </c>
      <c r="C186" s="268">
        <f t="shared" si="4"/>
        <v>0.9186</v>
      </c>
    </row>
    <row r="187" ht="14.25" customHeight="1">
      <c r="A187" s="267">
        <v>193605.0</v>
      </c>
      <c r="B187" s="268">
        <v>0.0519</v>
      </c>
      <c r="C187" s="268">
        <f t="shared" si="4"/>
        <v>1.0519</v>
      </c>
    </row>
    <row r="188" ht="14.25" customHeight="1">
      <c r="A188" s="267">
        <v>193606.0</v>
      </c>
      <c r="B188" s="268">
        <v>0.024</v>
      </c>
      <c r="C188" s="268">
        <f t="shared" si="4"/>
        <v>1.024</v>
      </c>
    </row>
    <row r="189" ht="14.25" customHeight="1">
      <c r="A189" s="267">
        <v>193607.0</v>
      </c>
      <c r="B189" s="268">
        <v>0.0667</v>
      </c>
      <c r="C189" s="268">
        <f t="shared" si="4"/>
        <v>1.0667</v>
      </c>
    </row>
    <row r="190" ht="14.25" customHeight="1">
      <c r="A190" s="267">
        <v>193608.0</v>
      </c>
      <c r="B190" s="268">
        <v>0.009899999999999999</v>
      </c>
      <c r="C190" s="268">
        <f t="shared" si="4"/>
        <v>1.0099</v>
      </c>
    </row>
    <row r="191" ht="14.25" customHeight="1">
      <c r="A191" s="267">
        <v>193609.0</v>
      </c>
      <c r="B191" s="268">
        <v>0.0098</v>
      </c>
      <c r="C191" s="268">
        <f t="shared" si="4"/>
        <v>1.0098</v>
      </c>
    </row>
    <row r="192" ht="14.25" customHeight="1">
      <c r="A192" s="267">
        <v>193610.0</v>
      </c>
      <c r="B192" s="268">
        <v>0.0712</v>
      </c>
      <c r="C192" s="268">
        <f t="shared" si="4"/>
        <v>1.0712</v>
      </c>
    </row>
    <row r="193" ht="14.25" customHeight="1">
      <c r="A193" s="267">
        <v>193611.0</v>
      </c>
      <c r="B193" s="268">
        <v>0.0327</v>
      </c>
      <c r="C193" s="268">
        <f t="shared" si="4"/>
        <v>1.0327</v>
      </c>
    </row>
    <row r="194" ht="14.25" customHeight="1">
      <c r="A194" s="267">
        <v>193612.0</v>
      </c>
      <c r="B194" s="268">
        <v>0.0021</v>
      </c>
      <c r="C194" s="268">
        <f t="shared" si="4"/>
        <v>1.0021</v>
      </c>
    </row>
    <row r="195" ht="14.25" customHeight="1">
      <c r="A195" s="267">
        <v>193701.0</v>
      </c>
      <c r="B195" s="268">
        <v>0.0335</v>
      </c>
      <c r="C195" s="268">
        <f t="shared" si="4"/>
        <v>1.0335</v>
      </c>
    </row>
    <row r="196" ht="14.25" customHeight="1">
      <c r="A196" s="267">
        <v>193702.0</v>
      </c>
      <c r="B196" s="268">
        <v>0.0109</v>
      </c>
      <c r="C196" s="268">
        <f t="shared" si="4"/>
        <v>1.0109</v>
      </c>
    </row>
    <row r="197" ht="14.25" customHeight="1">
      <c r="A197" s="267">
        <v>193703.0</v>
      </c>
      <c r="B197" s="268">
        <v>-0.0027</v>
      </c>
      <c r="C197" s="268">
        <f t="shared" si="4"/>
        <v>0.9973</v>
      </c>
    </row>
    <row r="198" ht="14.25" customHeight="1">
      <c r="A198" s="267">
        <v>193704.0</v>
      </c>
      <c r="B198" s="268">
        <v>-0.0736</v>
      </c>
      <c r="C198" s="268">
        <f t="shared" si="4"/>
        <v>0.9264</v>
      </c>
    </row>
    <row r="199" ht="14.25" customHeight="1">
      <c r="A199" s="267">
        <v>193705.0</v>
      </c>
      <c r="B199" s="268">
        <v>-0.0083</v>
      </c>
      <c r="C199" s="268">
        <f t="shared" si="4"/>
        <v>0.9917</v>
      </c>
    </row>
    <row r="200" ht="14.25" customHeight="1">
      <c r="A200" s="267">
        <v>193706.0</v>
      </c>
      <c r="B200" s="268">
        <v>-0.0421</v>
      </c>
      <c r="C200" s="268">
        <f t="shared" si="4"/>
        <v>0.9579</v>
      </c>
    </row>
    <row r="201" ht="14.25" customHeight="1">
      <c r="A201" s="267">
        <v>193707.0</v>
      </c>
      <c r="B201" s="268">
        <v>0.0891</v>
      </c>
      <c r="C201" s="268">
        <f t="shared" si="4"/>
        <v>1.0891</v>
      </c>
    </row>
    <row r="202" ht="14.25" customHeight="1">
      <c r="A202" s="267">
        <v>193708.0</v>
      </c>
      <c r="B202" s="268">
        <v>-0.048600000000000004</v>
      </c>
      <c r="C202" s="268">
        <f t="shared" si="4"/>
        <v>0.9514</v>
      </c>
    </row>
    <row r="203" ht="14.25" customHeight="1">
      <c r="A203" s="267">
        <v>193709.0</v>
      </c>
      <c r="B203" s="268">
        <v>-0.1361</v>
      </c>
      <c r="C203" s="268">
        <f t="shared" si="4"/>
        <v>0.8639</v>
      </c>
    </row>
    <row r="204" ht="14.25" customHeight="1">
      <c r="A204" s="267">
        <v>193710.0</v>
      </c>
      <c r="B204" s="268">
        <v>-0.09609999999999999</v>
      </c>
      <c r="C204" s="268">
        <f t="shared" si="4"/>
        <v>0.9039</v>
      </c>
    </row>
    <row r="205" ht="14.25" customHeight="1">
      <c r="A205" s="267">
        <v>193711.0</v>
      </c>
      <c r="B205" s="268">
        <v>-0.08310000000000001</v>
      </c>
      <c r="C205" s="268">
        <f t="shared" si="4"/>
        <v>0.9169</v>
      </c>
    </row>
    <row r="206" ht="14.25" customHeight="1">
      <c r="A206" s="267">
        <v>193712.0</v>
      </c>
      <c r="B206" s="268">
        <v>-0.0424</v>
      </c>
      <c r="C206" s="268">
        <f t="shared" si="4"/>
        <v>0.9576</v>
      </c>
    </row>
    <row r="207" ht="14.25" customHeight="1">
      <c r="A207" s="267">
        <v>193801.0</v>
      </c>
      <c r="B207" s="268">
        <v>0.0049</v>
      </c>
      <c r="C207" s="268">
        <f t="shared" si="4"/>
        <v>1.0049</v>
      </c>
    </row>
    <row r="208" ht="14.25" customHeight="1">
      <c r="A208" s="267">
        <v>193802.0</v>
      </c>
      <c r="B208" s="268">
        <v>0.0584</v>
      </c>
      <c r="C208" s="268">
        <f t="shared" si="4"/>
        <v>1.0584</v>
      </c>
    </row>
    <row r="209" ht="14.25" customHeight="1">
      <c r="A209" s="267">
        <v>193803.0</v>
      </c>
      <c r="B209" s="268">
        <v>-0.2382</v>
      </c>
      <c r="C209" s="268">
        <f t="shared" si="4"/>
        <v>0.7618</v>
      </c>
    </row>
    <row r="210" ht="14.25" customHeight="1">
      <c r="A210" s="267">
        <v>193804.0</v>
      </c>
      <c r="B210" s="268">
        <v>0.1451</v>
      </c>
      <c r="C210" s="268">
        <f t="shared" si="4"/>
        <v>1.1451</v>
      </c>
    </row>
    <row r="211" ht="14.25" customHeight="1">
      <c r="A211" s="267">
        <v>193805.0</v>
      </c>
      <c r="B211" s="268">
        <v>-0.0383</v>
      </c>
      <c r="C211" s="268">
        <f t="shared" si="4"/>
        <v>0.9617</v>
      </c>
    </row>
    <row r="212" ht="14.25" customHeight="1">
      <c r="A212" s="267">
        <v>193806.0</v>
      </c>
      <c r="B212" s="268">
        <v>0.23870000000000002</v>
      </c>
      <c r="C212" s="268">
        <f t="shared" si="4"/>
        <v>1.2387</v>
      </c>
    </row>
    <row r="213" ht="14.25" customHeight="1">
      <c r="A213" s="267">
        <v>193807.0</v>
      </c>
      <c r="B213" s="268">
        <v>0.07339999999999999</v>
      </c>
      <c r="C213" s="268">
        <f t="shared" si="4"/>
        <v>1.0734</v>
      </c>
    </row>
    <row r="214" ht="14.25" customHeight="1">
      <c r="A214" s="267">
        <v>193808.0</v>
      </c>
      <c r="B214" s="268">
        <v>-0.026699999999999998</v>
      </c>
      <c r="C214" s="268">
        <f t="shared" si="4"/>
        <v>0.9733</v>
      </c>
    </row>
    <row r="215" ht="14.25" customHeight="1">
      <c r="A215" s="267">
        <v>193809.0</v>
      </c>
      <c r="B215" s="268">
        <v>0.008100000000000001</v>
      </c>
      <c r="C215" s="268">
        <f t="shared" si="4"/>
        <v>1.0081</v>
      </c>
    </row>
    <row r="216" ht="14.25" customHeight="1">
      <c r="A216" s="267">
        <v>193810.0</v>
      </c>
      <c r="B216" s="268">
        <v>0.078</v>
      </c>
      <c r="C216" s="268">
        <f t="shared" si="4"/>
        <v>1.078</v>
      </c>
    </row>
    <row r="217" ht="14.25" customHeight="1">
      <c r="A217" s="267">
        <v>193811.0</v>
      </c>
      <c r="B217" s="268">
        <v>-0.0172</v>
      </c>
      <c r="C217" s="268">
        <f t="shared" si="4"/>
        <v>0.9828</v>
      </c>
    </row>
    <row r="218" ht="14.25" customHeight="1">
      <c r="A218" s="267">
        <v>193812.0</v>
      </c>
      <c r="B218" s="268">
        <v>0.04190000000000001</v>
      </c>
      <c r="C218" s="268">
        <f t="shared" si="4"/>
        <v>1.0419</v>
      </c>
    </row>
    <row r="219" ht="14.25" customHeight="1">
      <c r="A219" s="267">
        <v>193901.0</v>
      </c>
      <c r="B219" s="268">
        <v>-0.0596</v>
      </c>
      <c r="C219" s="268">
        <f t="shared" si="4"/>
        <v>0.9404</v>
      </c>
    </row>
    <row r="220" ht="14.25" customHeight="1">
      <c r="A220" s="267">
        <v>193902.0</v>
      </c>
      <c r="B220" s="268">
        <v>0.0351</v>
      </c>
      <c r="C220" s="268">
        <f t="shared" si="4"/>
        <v>1.0351</v>
      </c>
    </row>
    <row r="221" ht="14.25" customHeight="1">
      <c r="A221" s="267">
        <v>193903.0</v>
      </c>
      <c r="B221" s="268">
        <v>-0.1199</v>
      </c>
      <c r="C221" s="268">
        <f t="shared" si="4"/>
        <v>0.8801</v>
      </c>
    </row>
    <row r="222" ht="14.25" customHeight="1">
      <c r="A222" s="267">
        <v>193904.0</v>
      </c>
      <c r="B222" s="268">
        <v>-0.0018</v>
      </c>
      <c r="C222" s="268">
        <f t="shared" si="4"/>
        <v>0.9982</v>
      </c>
    </row>
    <row r="223" ht="14.25" customHeight="1">
      <c r="A223" s="267">
        <v>193905.0</v>
      </c>
      <c r="B223" s="268">
        <v>0.068</v>
      </c>
      <c r="C223" s="268">
        <f t="shared" si="4"/>
        <v>1.068</v>
      </c>
    </row>
    <row r="224" ht="14.25" customHeight="1">
      <c r="A224" s="267">
        <v>193906.0</v>
      </c>
      <c r="B224" s="268">
        <v>-0.053099999999999994</v>
      </c>
      <c r="C224" s="268">
        <f t="shared" si="4"/>
        <v>0.9469</v>
      </c>
    </row>
    <row r="225" ht="14.25" customHeight="1">
      <c r="A225" s="267">
        <v>193907.0</v>
      </c>
      <c r="B225" s="268">
        <v>0.1024</v>
      </c>
      <c r="C225" s="268">
        <f t="shared" si="4"/>
        <v>1.1024</v>
      </c>
    </row>
    <row r="226" ht="14.25" customHeight="1">
      <c r="A226" s="267">
        <v>193908.0</v>
      </c>
      <c r="B226" s="268">
        <v>-0.0668</v>
      </c>
      <c r="C226" s="268">
        <f t="shared" si="4"/>
        <v>0.9332</v>
      </c>
    </row>
    <row r="227" ht="14.25" customHeight="1">
      <c r="A227" s="267">
        <v>193909.0</v>
      </c>
      <c r="B227" s="268">
        <v>0.16879999999999998</v>
      </c>
      <c r="C227" s="268">
        <f t="shared" si="4"/>
        <v>1.1688</v>
      </c>
    </row>
    <row r="228" ht="14.25" customHeight="1">
      <c r="A228" s="267">
        <v>193910.0</v>
      </c>
      <c r="B228" s="268">
        <v>-0.0053</v>
      </c>
      <c r="C228" s="268">
        <f t="shared" si="4"/>
        <v>0.9947</v>
      </c>
    </row>
    <row r="229" ht="14.25" customHeight="1">
      <c r="A229" s="267">
        <v>193911.0</v>
      </c>
      <c r="B229" s="268">
        <v>-0.0362</v>
      </c>
      <c r="C229" s="268">
        <f t="shared" si="4"/>
        <v>0.9638</v>
      </c>
    </row>
    <row r="230" ht="14.25" customHeight="1">
      <c r="A230" s="267">
        <v>193912.0</v>
      </c>
      <c r="B230" s="268">
        <v>0.030299999999999997</v>
      </c>
      <c r="C230" s="268">
        <f t="shared" si="4"/>
        <v>1.0303</v>
      </c>
    </row>
    <row r="231" ht="14.25" customHeight="1">
      <c r="A231" s="267">
        <v>194001.0</v>
      </c>
      <c r="B231" s="268">
        <v>-0.0241</v>
      </c>
      <c r="C231" s="268">
        <f t="shared" si="4"/>
        <v>0.9759</v>
      </c>
    </row>
    <row r="232" ht="14.25" customHeight="1">
      <c r="A232" s="267">
        <v>194002.0</v>
      </c>
      <c r="B232" s="268">
        <v>0.0144</v>
      </c>
      <c r="C232" s="268">
        <f t="shared" si="4"/>
        <v>1.0144</v>
      </c>
    </row>
    <row r="233" ht="14.25" customHeight="1">
      <c r="A233" s="267">
        <v>194003.0</v>
      </c>
      <c r="B233" s="268">
        <v>0.020499999999999997</v>
      </c>
      <c r="C233" s="268">
        <f t="shared" si="4"/>
        <v>1.0205</v>
      </c>
    </row>
    <row r="234" ht="14.25" customHeight="1">
      <c r="A234" s="267">
        <v>194004.0</v>
      </c>
      <c r="B234" s="268">
        <v>0.0022</v>
      </c>
      <c r="C234" s="268">
        <f t="shared" si="4"/>
        <v>1.0022</v>
      </c>
    </row>
    <row r="235" ht="14.25" customHeight="1">
      <c r="A235" s="267">
        <v>194005.0</v>
      </c>
      <c r="B235" s="268">
        <v>-0.2195</v>
      </c>
      <c r="C235" s="268">
        <f t="shared" si="4"/>
        <v>0.7805</v>
      </c>
    </row>
    <row r="236" ht="14.25" customHeight="1">
      <c r="A236" s="267">
        <v>194006.0</v>
      </c>
      <c r="B236" s="268">
        <v>0.0667</v>
      </c>
      <c r="C236" s="268">
        <f t="shared" si="4"/>
        <v>1.0667</v>
      </c>
    </row>
    <row r="237" ht="14.25" customHeight="1">
      <c r="A237" s="267">
        <v>194007.0</v>
      </c>
      <c r="B237" s="268">
        <v>0.0316</v>
      </c>
      <c r="C237" s="268">
        <f t="shared" si="4"/>
        <v>1.0316</v>
      </c>
    </row>
    <row r="238" ht="14.25" customHeight="1">
      <c r="A238" s="267">
        <v>194008.0</v>
      </c>
      <c r="B238" s="268">
        <v>0.0219</v>
      </c>
      <c r="C238" s="268">
        <f t="shared" si="4"/>
        <v>1.0219</v>
      </c>
    </row>
    <row r="239" ht="14.25" customHeight="1">
      <c r="A239" s="267">
        <v>194009.0</v>
      </c>
      <c r="B239" s="268">
        <v>0.0239</v>
      </c>
      <c r="C239" s="268">
        <f t="shared" si="4"/>
        <v>1.0239</v>
      </c>
    </row>
    <row r="240" ht="14.25" customHeight="1">
      <c r="A240" s="267">
        <v>194010.0</v>
      </c>
      <c r="B240" s="268">
        <v>0.0302</v>
      </c>
      <c r="C240" s="268">
        <f t="shared" si="4"/>
        <v>1.0302</v>
      </c>
    </row>
    <row r="241" ht="14.25" customHeight="1">
      <c r="A241" s="267">
        <v>194011.0</v>
      </c>
      <c r="B241" s="268">
        <v>-0.0161</v>
      </c>
      <c r="C241" s="268">
        <f t="shared" si="4"/>
        <v>0.9839</v>
      </c>
    </row>
    <row r="242" ht="14.25" customHeight="1">
      <c r="A242" s="267">
        <v>194012.0</v>
      </c>
      <c r="B242" s="268">
        <v>0.0069</v>
      </c>
      <c r="C242" s="268">
        <f t="shared" si="4"/>
        <v>1.0069</v>
      </c>
    </row>
    <row r="243" ht="14.25" customHeight="1">
      <c r="A243" s="267">
        <v>194101.0</v>
      </c>
      <c r="B243" s="268">
        <v>-0.0417</v>
      </c>
      <c r="C243" s="268">
        <f t="shared" si="4"/>
        <v>0.9583</v>
      </c>
    </row>
    <row r="244" ht="14.25" customHeight="1">
      <c r="A244" s="267">
        <v>194102.0</v>
      </c>
      <c r="B244" s="268">
        <v>-0.0143</v>
      </c>
      <c r="C244" s="268">
        <f t="shared" si="4"/>
        <v>0.9857</v>
      </c>
    </row>
    <row r="245" ht="14.25" customHeight="1">
      <c r="A245" s="267">
        <v>194103.0</v>
      </c>
      <c r="B245" s="268">
        <v>0.0084</v>
      </c>
      <c r="C245" s="268">
        <f t="shared" si="4"/>
        <v>1.0084</v>
      </c>
    </row>
    <row r="246" ht="14.25" customHeight="1">
      <c r="A246" s="267">
        <v>194104.0</v>
      </c>
      <c r="B246" s="268">
        <v>-0.0546</v>
      </c>
      <c r="C246" s="268">
        <f t="shared" si="4"/>
        <v>0.9454</v>
      </c>
    </row>
    <row r="247" ht="14.25" customHeight="1">
      <c r="A247" s="267">
        <v>194105.0</v>
      </c>
      <c r="B247" s="268">
        <v>0.0139</v>
      </c>
      <c r="C247" s="268">
        <f t="shared" si="4"/>
        <v>1.0139</v>
      </c>
    </row>
    <row r="248" ht="14.25" customHeight="1">
      <c r="A248" s="267">
        <v>194106.0</v>
      </c>
      <c r="B248" s="268">
        <v>0.0583</v>
      </c>
      <c r="C248" s="268">
        <f t="shared" si="4"/>
        <v>1.0583</v>
      </c>
    </row>
    <row r="249" ht="14.25" customHeight="1">
      <c r="A249" s="267">
        <v>194107.0</v>
      </c>
      <c r="B249" s="268">
        <v>0.0587</v>
      </c>
      <c r="C249" s="268">
        <f t="shared" si="4"/>
        <v>1.0587</v>
      </c>
    </row>
    <row r="250" ht="14.25" customHeight="1">
      <c r="A250" s="267">
        <v>194108.0</v>
      </c>
      <c r="B250" s="268">
        <v>-0.0017000000000000001</v>
      </c>
      <c r="C250" s="268">
        <f t="shared" si="4"/>
        <v>0.9983</v>
      </c>
    </row>
    <row r="251" ht="14.25" customHeight="1">
      <c r="A251" s="267">
        <v>194109.0</v>
      </c>
      <c r="B251" s="268">
        <v>-0.0087</v>
      </c>
      <c r="C251" s="268">
        <f t="shared" si="4"/>
        <v>0.9913</v>
      </c>
    </row>
    <row r="252" ht="14.25" customHeight="1">
      <c r="A252" s="267">
        <v>194110.0</v>
      </c>
      <c r="B252" s="268">
        <v>-0.0525</v>
      </c>
      <c r="C252" s="268">
        <f t="shared" si="4"/>
        <v>0.9475</v>
      </c>
    </row>
    <row r="253" ht="14.25" customHeight="1">
      <c r="A253" s="267">
        <v>194111.0</v>
      </c>
      <c r="B253" s="268">
        <v>-0.0192</v>
      </c>
      <c r="C253" s="268">
        <f t="shared" si="4"/>
        <v>0.9808</v>
      </c>
    </row>
    <row r="254" ht="14.25" customHeight="1">
      <c r="A254" s="267">
        <v>194112.0</v>
      </c>
      <c r="B254" s="268">
        <v>-0.0487</v>
      </c>
      <c r="C254" s="268">
        <f t="shared" si="4"/>
        <v>0.9513</v>
      </c>
    </row>
    <row r="255" ht="14.25" customHeight="1">
      <c r="A255" s="267">
        <v>194201.0</v>
      </c>
      <c r="B255" s="268">
        <v>0.0079</v>
      </c>
      <c r="C255" s="268">
        <f t="shared" si="4"/>
        <v>1.0079</v>
      </c>
    </row>
    <row r="256" ht="14.25" customHeight="1">
      <c r="A256" s="267">
        <v>194202.0</v>
      </c>
      <c r="B256" s="268">
        <v>-0.0246</v>
      </c>
      <c r="C256" s="268">
        <f t="shared" si="4"/>
        <v>0.9754</v>
      </c>
    </row>
    <row r="257" ht="14.25" customHeight="1">
      <c r="A257" s="267">
        <v>194203.0</v>
      </c>
      <c r="B257" s="268">
        <v>-0.0658</v>
      </c>
      <c r="C257" s="268">
        <f t="shared" si="4"/>
        <v>0.9342</v>
      </c>
    </row>
    <row r="258" ht="14.25" customHeight="1">
      <c r="A258" s="267">
        <v>194204.0</v>
      </c>
      <c r="B258" s="268">
        <v>-0.0437</v>
      </c>
      <c r="C258" s="268">
        <f t="shared" si="4"/>
        <v>0.9563</v>
      </c>
    </row>
    <row r="259" ht="14.25" customHeight="1">
      <c r="A259" s="267">
        <v>194205.0</v>
      </c>
      <c r="B259" s="268">
        <v>0.0594</v>
      </c>
      <c r="C259" s="268">
        <f t="shared" si="4"/>
        <v>1.0594</v>
      </c>
    </row>
    <row r="260" ht="14.25" customHeight="1">
      <c r="A260" s="267">
        <v>194206.0</v>
      </c>
      <c r="B260" s="268">
        <v>0.0269</v>
      </c>
      <c r="C260" s="268">
        <f t="shared" si="4"/>
        <v>1.0269</v>
      </c>
    </row>
    <row r="261" ht="14.25" customHeight="1">
      <c r="A261" s="267">
        <v>194207.0</v>
      </c>
      <c r="B261" s="268">
        <v>0.0351</v>
      </c>
      <c r="C261" s="268">
        <f t="shared" si="4"/>
        <v>1.0351</v>
      </c>
    </row>
    <row r="262" ht="14.25" customHeight="1">
      <c r="A262" s="267">
        <v>194208.0</v>
      </c>
      <c r="B262" s="268">
        <v>0.018000000000000002</v>
      </c>
      <c r="C262" s="268">
        <f t="shared" si="4"/>
        <v>1.018</v>
      </c>
    </row>
    <row r="263" ht="14.25" customHeight="1">
      <c r="A263" s="267">
        <v>194209.0</v>
      </c>
      <c r="B263" s="268">
        <v>0.026099999999999998</v>
      </c>
      <c r="C263" s="268">
        <f t="shared" si="4"/>
        <v>1.0261</v>
      </c>
    </row>
    <row r="264" ht="14.25" customHeight="1">
      <c r="A264" s="267">
        <v>194210.0</v>
      </c>
      <c r="B264" s="268">
        <v>0.0682</v>
      </c>
      <c r="C264" s="268">
        <f t="shared" si="4"/>
        <v>1.0682</v>
      </c>
    </row>
    <row r="265" ht="14.25" customHeight="1">
      <c r="A265" s="267">
        <v>194211.0</v>
      </c>
      <c r="B265" s="268">
        <v>0.0015</v>
      </c>
      <c r="C265" s="268">
        <f t="shared" si="4"/>
        <v>1.0015</v>
      </c>
    </row>
    <row r="266" ht="14.25" customHeight="1">
      <c r="A266" s="267">
        <v>194212.0</v>
      </c>
      <c r="B266" s="268">
        <v>0.0512</v>
      </c>
      <c r="C266" s="268">
        <f t="shared" si="4"/>
        <v>1.0512</v>
      </c>
    </row>
    <row r="267" ht="14.25" customHeight="1">
      <c r="A267" s="267">
        <v>194301.0</v>
      </c>
      <c r="B267" s="268">
        <v>0.0713</v>
      </c>
      <c r="C267" s="268">
        <f t="shared" si="4"/>
        <v>1.0713</v>
      </c>
    </row>
    <row r="268" ht="14.25" customHeight="1">
      <c r="A268" s="267">
        <v>194302.0</v>
      </c>
      <c r="B268" s="268">
        <v>0.061500000000000006</v>
      </c>
      <c r="C268" s="268">
        <f t="shared" si="4"/>
        <v>1.0615</v>
      </c>
    </row>
    <row r="269" ht="14.25" customHeight="1">
      <c r="A269" s="267">
        <v>194303.0</v>
      </c>
      <c r="B269" s="268">
        <v>0.0601</v>
      </c>
      <c r="C269" s="268">
        <f t="shared" si="4"/>
        <v>1.0601</v>
      </c>
    </row>
    <row r="270" ht="14.25" customHeight="1">
      <c r="A270" s="267">
        <v>194304.0</v>
      </c>
      <c r="B270" s="268">
        <v>0.008100000000000001</v>
      </c>
      <c r="C270" s="268">
        <f t="shared" si="4"/>
        <v>1.0081</v>
      </c>
    </row>
    <row r="271" ht="14.25" customHeight="1">
      <c r="A271" s="267">
        <v>194305.0</v>
      </c>
      <c r="B271" s="268">
        <v>0.0574</v>
      </c>
      <c r="C271" s="268">
        <f t="shared" si="4"/>
        <v>1.0574</v>
      </c>
    </row>
    <row r="272" ht="14.25" customHeight="1">
      <c r="A272" s="267">
        <v>194306.0</v>
      </c>
      <c r="B272" s="268">
        <v>0.0182</v>
      </c>
      <c r="C272" s="268">
        <f t="shared" si="4"/>
        <v>1.0182</v>
      </c>
    </row>
    <row r="273" ht="14.25" customHeight="1">
      <c r="A273" s="267">
        <v>194307.0</v>
      </c>
      <c r="B273" s="268">
        <v>-0.04769999999999999</v>
      </c>
      <c r="C273" s="268">
        <f t="shared" si="4"/>
        <v>0.9523</v>
      </c>
    </row>
    <row r="274" ht="14.25" customHeight="1">
      <c r="A274" s="267">
        <v>194308.0</v>
      </c>
      <c r="B274" s="268">
        <v>0.013000000000000001</v>
      </c>
      <c r="C274" s="268">
        <f t="shared" si="4"/>
        <v>1.013</v>
      </c>
    </row>
    <row r="275" ht="14.25" customHeight="1">
      <c r="A275" s="267">
        <v>194309.0</v>
      </c>
      <c r="B275" s="268">
        <v>0.024</v>
      </c>
      <c r="C275" s="268">
        <f t="shared" si="4"/>
        <v>1.024</v>
      </c>
    </row>
    <row r="276" ht="14.25" customHeight="1">
      <c r="A276" s="267">
        <v>194310.0</v>
      </c>
      <c r="B276" s="268">
        <v>-0.0115</v>
      </c>
      <c r="C276" s="268">
        <f t="shared" si="4"/>
        <v>0.9885</v>
      </c>
    </row>
    <row r="277" ht="14.25" customHeight="1">
      <c r="A277" s="267">
        <v>194311.0</v>
      </c>
      <c r="B277" s="268">
        <v>-0.0591</v>
      </c>
      <c r="C277" s="268">
        <f t="shared" si="4"/>
        <v>0.9409</v>
      </c>
    </row>
    <row r="278" ht="14.25" customHeight="1">
      <c r="A278" s="267">
        <v>194312.0</v>
      </c>
      <c r="B278" s="268">
        <v>0.0636</v>
      </c>
      <c r="C278" s="268">
        <f t="shared" si="4"/>
        <v>1.0636</v>
      </c>
    </row>
    <row r="279" ht="14.25" customHeight="1">
      <c r="A279" s="267">
        <v>194401.0</v>
      </c>
      <c r="B279" s="268">
        <v>0.0174</v>
      </c>
      <c r="C279" s="268">
        <f t="shared" si="4"/>
        <v>1.0174</v>
      </c>
    </row>
    <row r="280" ht="14.25" customHeight="1">
      <c r="A280" s="267">
        <v>194402.0</v>
      </c>
      <c r="B280" s="268">
        <v>0.0037</v>
      </c>
      <c r="C280" s="268">
        <f t="shared" si="4"/>
        <v>1.0037</v>
      </c>
    </row>
    <row r="281" ht="14.25" customHeight="1">
      <c r="A281" s="267">
        <v>194403.0</v>
      </c>
      <c r="B281" s="268">
        <v>0.0246</v>
      </c>
      <c r="C281" s="268">
        <f t="shared" si="4"/>
        <v>1.0246</v>
      </c>
    </row>
    <row r="282" ht="14.25" customHeight="1">
      <c r="A282" s="267">
        <v>194404.0</v>
      </c>
      <c r="B282" s="268">
        <v>-0.0169</v>
      </c>
      <c r="C282" s="268">
        <f t="shared" si="4"/>
        <v>0.9831</v>
      </c>
    </row>
    <row r="283" ht="14.25" customHeight="1">
      <c r="A283" s="267">
        <v>194405.0</v>
      </c>
      <c r="B283" s="268">
        <v>0.0507</v>
      </c>
      <c r="C283" s="268">
        <f t="shared" si="4"/>
        <v>1.0507</v>
      </c>
    </row>
    <row r="284" ht="14.25" customHeight="1">
      <c r="A284" s="267">
        <v>194406.0</v>
      </c>
      <c r="B284" s="268">
        <v>0.054900000000000004</v>
      </c>
      <c r="C284" s="268">
        <f t="shared" si="4"/>
        <v>1.0549</v>
      </c>
    </row>
    <row r="285" ht="14.25" customHeight="1">
      <c r="A285" s="267">
        <v>194407.0</v>
      </c>
      <c r="B285" s="268">
        <v>-0.0149</v>
      </c>
      <c r="C285" s="268">
        <f t="shared" si="4"/>
        <v>0.9851</v>
      </c>
    </row>
    <row r="286" ht="14.25" customHeight="1">
      <c r="A286" s="267">
        <v>194408.0</v>
      </c>
      <c r="B286" s="268">
        <v>0.015700000000000002</v>
      </c>
      <c r="C286" s="268">
        <f t="shared" si="4"/>
        <v>1.0157</v>
      </c>
    </row>
    <row r="287" ht="14.25" customHeight="1">
      <c r="A287" s="267">
        <v>194409.0</v>
      </c>
      <c r="B287" s="268">
        <v>1.0E-4</v>
      </c>
      <c r="C287" s="268">
        <f t="shared" si="4"/>
        <v>1.0001</v>
      </c>
    </row>
    <row r="288" ht="14.25" customHeight="1">
      <c r="A288" s="267">
        <v>194410.0</v>
      </c>
      <c r="B288" s="268">
        <v>0.0016</v>
      </c>
      <c r="C288" s="268">
        <f t="shared" si="4"/>
        <v>1.0016</v>
      </c>
    </row>
    <row r="289" ht="14.25" customHeight="1">
      <c r="A289" s="267">
        <v>194411.0</v>
      </c>
      <c r="B289" s="268">
        <v>0.0171</v>
      </c>
      <c r="C289" s="268">
        <f t="shared" si="4"/>
        <v>1.0171</v>
      </c>
    </row>
    <row r="290" ht="14.25" customHeight="1">
      <c r="A290" s="267">
        <v>194412.0</v>
      </c>
      <c r="B290" s="268">
        <v>0.0403</v>
      </c>
      <c r="C290" s="268">
        <f t="shared" si="4"/>
        <v>1.0403</v>
      </c>
    </row>
    <row r="291" ht="14.25" customHeight="1">
      <c r="A291" s="267">
        <v>194501.0</v>
      </c>
      <c r="B291" s="268">
        <v>0.020099999999999996</v>
      </c>
      <c r="C291" s="268">
        <f t="shared" si="4"/>
        <v>1.0201</v>
      </c>
    </row>
    <row r="292" ht="14.25" customHeight="1">
      <c r="A292" s="267">
        <v>194502.0</v>
      </c>
      <c r="B292" s="268">
        <v>0.0623</v>
      </c>
      <c r="C292" s="268">
        <f t="shared" si="4"/>
        <v>1.0623</v>
      </c>
    </row>
    <row r="293" ht="14.25" customHeight="1">
      <c r="A293" s="267">
        <v>194503.0</v>
      </c>
      <c r="B293" s="268">
        <v>-0.038900000000000004</v>
      </c>
      <c r="C293" s="268">
        <f t="shared" si="4"/>
        <v>0.9611</v>
      </c>
    </row>
    <row r="294" ht="14.25" customHeight="1">
      <c r="A294" s="267">
        <v>194504.0</v>
      </c>
      <c r="B294" s="268">
        <v>0.078</v>
      </c>
      <c r="C294" s="268">
        <f t="shared" si="4"/>
        <v>1.078</v>
      </c>
    </row>
    <row r="295" ht="14.25" customHeight="1">
      <c r="A295" s="267">
        <v>194505.0</v>
      </c>
      <c r="B295" s="268">
        <v>0.0173</v>
      </c>
      <c r="C295" s="268">
        <f t="shared" si="4"/>
        <v>1.0173</v>
      </c>
    </row>
    <row r="296" ht="14.25" customHeight="1">
      <c r="A296" s="267">
        <v>194506.0</v>
      </c>
      <c r="B296" s="268">
        <v>0.0039000000000000003</v>
      </c>
      <c r="C296" s="268">
        <f t="shared" si="4"/>
        <v>1.0039</v>
      </c>
    </row>
    <row r="297" ht="14.25" customHeight="1">
      <c r="A297" s="267">
        <v>194507.0</v>
      </c>
      <c r="B297" s="268">
        <v>-0.0217</v>
      </c>
      <c r="C297" s="268">
        <f t="shared" si="4"/>
        <v>0.9783</v>
      </c>
    </row>
    <row r="298" ht="14.25" customHeight="1">
      <c r="A298" s="267">
        <v>194508.0</v>
      </c>
      <c r="B298" s="268">
        <v>0.062</v>
      </c>
      <c r="C298" s="268">
        <f t="shared" si="4"/>
        <v>1.062</v>
      </c>
    </row>
    <row r="299" ht="14.25" customHeight="1">
      <c r="A299" s="267">
        <v>194509.0</v>
      </c>
      <c r="B299" s="268">
        <v>0.04769999999999999</v>
      </c>
      <c r="C299" s="268">
        <f t="shared" si="4"/>
        <v>1.0477</v>
      </c>
    </row>
    <row r="300" ht="14.25" customHeight="1">
      <c r="A300" s="267">
        <v>194510.0</v>
      </c>
      <c r="B300" s="268">
        <v>0.038900000000000004</v>
      </c>
      <c r="C300" s="268">
        <f t="shared" si="4"/>
        <v>1.0389</v>
      </c>
    </row>
    <row r="301" ht="14.25" customHeight="1">
      <c r="A301" s="267">
        <v>194511.0</v>
      </c>
      <c r="B301" s="268">
        <v>0.053899999999999997</v>
      </c>
      <c r="C301" s="268">
        <f t="shared" si="4"/>
        <v>1.0539</v>
      </c>
    </row>
    <row r="302" ht="14.25" customHeight="1">
      <c r="A302" s="267">
        <v>194512.0</v>
      </c>
      <c r="B302" s="268">
        <v>0.012</v>
      </c>
      <c r="C302" s="268">
        <f t="shared" si="4"/>
        <v>1.012</v>
      </c>
    </row>
    <row r="303" ht="14.25" customHeight="1">
      <c r="A303" s="267">
        <v>194601.0</v>
      </c>
      <c r="B303" s="268">
        <v>0.062400000000000004</v>
      </c>
      <c r="C303" s="268">
        <f t="shared" si="4"/>
        <v>1.0624</v>
      </c>
    </row>
    <row r="304" ht="14.25" customHeight="1">
      <c r="A304" s="267">
        <v>194602.0</v>
      </c>
      <c r="B304" s="268">
        <v>-0.0583</v>
      </c>
      <c r="C304" s="268">
        <f t="shared" si="4"/>
        <v>0.9417</v>
      </c>
    </row>
    <row r="305" ht="14.25" customHeight="1">
      <c r="A305" s="267">
        <v>194603.0</v>
      </c>
      <c r="B305" s="268">
        <v>0.0587</v>
      </c>
      <c r="C305" s="268">
        <f t="shared" si="4"/>
        <v>1.0587</v>
      </c>
    </row>
    <row r="306" ht="14.25" customHeight="1">
      <c r="A306" s="267">
        <v>194604.0</v>
      </c>
      <c r="B306" s="268">
        <v>0.042300000000000004</v>
      </c>
      <c r="C306" s="268">
        <f t="shared" si="4"/>
        <v>1.0423</v>
      </c>
    </row>
    <row r="307" ht="14.25" customHeight="1">
      <c r="A307" s="267">
        <v>194605.0</v>
      </c>
      <c r="B307" s="268">
        <v>0.0393</v>
      </c>
      <c r="C307" s="268">
        <f t="shared" si="4"/>
        <v>1.0393</v>
      </c>
    </row>
    <row r="308" ht="14.25" customHeight="1">
      <c r="A308" s="267">
        <v>194606.0</v>
      </c>
      <c r="B308" s="268">
        <v>-0.038900000000000004</v>
      </c>
      <c r="C308" s="268">
        <f t="shared" si="4"/>
        <v>0.9611</v>
      </c>
    </row>
    <row r="309" ht="14.25" customHeight="1">
      <c r="A309" s="267">
        <v>194607.0</v>
      </c>
      <c r="B309" s="268">
        <v>-0.0269</v>
      </c>
      <c r="C309" s="268">
        <f t="shared" si="4"/>
        <v>0.9731</v>
      </c>
    </row>
    <row r="310" ht="14.25" customHeight="1">
      <c r="A310" s="267">
        <v>194608.0</v>
      </c>
      <c r="B310" s="268">
        <v>-0.0644</v>
      </c>
      <c r="C310" s="268">
        <f t="shared" si="4"/>
        <v>0.9356</v>
      </c>
    </row>
    <row r="311" ht="14.25" customHeight="1">
      <c r="A311" s="267">
        <v>194609.0</v>
      </c>
      <c r="B311" s="268">
        <v>-0.1017</v>
      </c>
      <c r="C311" s="268">
        <f t="shared" si="4"/>
        <v>0.8983</v>
      </c>
    </row>
    <row r="312" ht="14.25" customHeight="1">
      <c r="A312" s="267">
        <v>194610.0</v>
      </c>
      <c r="B312" s="268">
        <v>-0.0144</v>
      </c>
      <c r="C312" s="268">
        <f t="shared" si="4"/>
        <v>0.9856</v>
      </c>
    </row>
    <row r="313" ht="14.25" customHeight="1">
      <c r="A313" s="267">
        <v>194611.0</v>
      </c>
      <c r="B313" s="268">
        <v>-1.0E-4</v>
      </c>
      <c r="C313" s="268">
        <f t="shared" si="4"/>
        <v>0.9999</v>
      </c>
    </row>
    <row r="314" ht="14.25" customHeight="1">
      <c r="A314" s="267">
        <v>194612.0</v>
      </c>
      <c r="B314" s="268">
        <v>0.0496</v>
      </c>
      <c r="C314" s="268">
        <f t="shared" si="4"/>
        <v>1.0496</v>
      </c>
    </row>
    <row r="315" ht="14.25" customHeight="1">
      <c r="A315" s="267">
        <v>194701.0</v>
      </c>
      <c r="B315" s="268">
        <v>0.0125</v>
      </c>
      <c r="C315" s="268">
        <f t="shared" si="4"/>
        <v>1.0125</v>
      </c>
    </row>
    <row r="316" ht="14.25" customHeight="1">
      <c r="A316" s="267">
        <v>194702.0</v>
      </c>
      <c r="B316" s="268">
        <v>-0.0108</v>
      </c>
      <c r="C316" s="268">
        <f t="shared" si="4"/>
        <v>0.9892</v>
      </c>
    </row>
    <row r="317" ht="14.25" customHeight="1">
      <c r="A317" s="267">
        <v>194703.0</v>
      </c>
      <c r="B317" s="268">
        <v>-0.0167</v>
      </c>
      <c r="C317" s="268">
        <f t="shared" si="4"/>
        <v>0.9833</v>
      </c>
    </row>
    <row r="318" ht="14.25" customHeight="1">
      <c r="A318" s="267">
        <v>194704.0</v>
      </c>
      <c r="B318" s="268">
        <v>-0.048</v>
      </c>
      <c r="C318" s="268">
        <f t="shared" si="4"/>
        <v>0.952</v>
      </c>
    </row>
    <row r="319" ht="14.25" customHeight="1">
      <c r="A319" s="267">
        <v>194705.0</v>
      </c>
      <c r="B319" s="268">
        <v>-0.0097</v>
      </c>
      <c r="C319" s="268">
        <f t="shared" si="4"/>
        <v>0.9903</v>
      </c>
    </row>
    <row r="320" ht="14.25" customHeight="1">
      <c r="A320" s="267">
        <v>194706.0</v>
      </c>
      <c r="B320" s="268">
        <v>0.0529</v>
      </c>
      <c r="C320" s="268">
        <f t="shared" si="4"/>
        <v>1.0529</v>
      </c>
    </row>
    <row r="321" ht="14.25" customHeight="1">
      <c r="A321" s="267">
        <v>194707.0</v>
      </c>
      <c r="B321" s="268">
        <v>0.0414</v>
      </c>
      <c r="C321" s="268">
        <f t="shared" si="4"/>
        <v>1.0414</v>
      </c>
    </row>
    <row r="322" ht="14.25" customHeight="1">
      <c r="A322" s="267">
        <v>194708.0</v>
      </c>
      <c r="B322" s="268">
        <v>-0.0174</v>
      </c>
      <c r="C322" s="268">
        <f t="shared" si="4"/>
        <v>0.9826</v>
      </c>
    </row>
    <row r="323" ht="14.25" customHeight="1">
      <c r="A323" s="267">
        <v>194709.0</v>
      </c>
      <c r="B323" s="268">
        <v>-0.0054</v>
      </c>
      <c r="C323" s="268">
        <f t="shared" si="4"/>
        <v>0.9946</v>
      </c>
    </row>
    <row r="324" ht="14.25" customHeight="1">
      <c r="A324" s="267">
        <v>194710.0</v>
      </c>
      <c r="B324" s="268">
        <v>0.024700000000000003</v>
      </c>
      <c r="C324" s="268">
        <f t="shared" si="4"/>
        <v>1.0247</v>
      </c>
    </row>
    <row r="325" ht="14.25" customHeight="1">
      <c r="A325" s="267">
        <v>194711.0</v>
      </c>
      <c r="B325" s="268">
        <v>-0.0197</v>
      </c>
      <c r="C325" s="268">
        <f t="shared" si="4"/>
        <v>0.9803</v>
      </c>
    </row>
    <row r="326" ht="14.25" customHeight="1">
      <c r="A326" s="267">
        <v>194712.0</v>
      </c>
      <c r="B326" s="268">
        <v>0.03</v>
      </c>
      <c r="C326" s="268">
        <f t="shared" si="4"/>
        <v>1.03</v>
      </c>
    </row>
    <row r="327" ht="14.25" customHeight="1">
      <c r="A327" s="267">
        <v>194801.0</v>
      </c>
      <c r="B327" s="268">
        <v>-0.0393</v>
      </c>
      <c r="C327" s="268">
        <f t="shared" si="4"/>
        <v>0.9607</v>
      </c>
    </row>
    <row r="328" ht="14.25" customHeight="1">
      <c r="A328" s="267">
        <v>194802.0</v>
      </c>
      <c r="B328" s="268">
        <v>-0.0438</v>
      </c>
      <c r="C328" s="268">
        <f t="shared" si="4"/>
        <v>0.9562</v>
      </c>
    </row>
    <row r="329" ht="14.25" customHeight="1">
      <c r="A329" s="267">
        <v>194803.0</v>
      </c>
      <c r="B329" s="268">
        <v>0.08070000000000001</v>
      </c>
      <c r="C329" s="268">
        <f t="shared" si="4"/>
        <v>1.0807</v>
      </c>
    </row>
    <row r="330" ht="14.25" customHeight="1">
      <c r="A330" s="267">
        <v>194804.0</v>
      </c>
      <c r="B330" s="268">
        <v>0.0365</v>
      </c>
      <c r="C330" s="268">
        <f t="shared" si="4"/>
        <v>1.0365</v>
      </c>
    </row>
    <row r="331" ht="14.25" customHeight="1">
      <c r="A331" s="267">
        <v>194805.0</v>
      </c>
      <c r="B331" s="268">
        <v>0.073</v>
      </c>
      <c r="C331" s="268">
        <f t="shared" si="4"/>
        <v>1.073</v>
      </c>
    </row>
    <row r="332" ht="14.25" customHeight="1">
      <c r="A332" s="267">
        <v>194806.0</v>
      </c>
      <c r="B332" s="268">
        <v>-0.001</v>
      </c>
      <c r="C332" s="268">
        <f t="shared" si="4"/>
        <v>0.999</v>
      </c>
    </row>
    <row r="333" ht="14.25" customHeight="1">
      <c r="A333" s="267">
        <v>194807.0</v>
      </c>
      <c r="B333" s="268">
        <v>-0.0509</v>
      </c>
      <c r="C333" s="268">
        <f t="shared" si="4"/>
        <v>0.9491</v>
      </c>
    </row>
    <row r="334" ht="14.25" customHeight="1">
      <c r="A334" s="267">
        <v>194808.0</v>
      </c>
      <c r="B334" s="268">
        <v>0.0025</v>
      </c>
      <c r="C334" s="268">
        <f t="shared" si="4"/>
        <v>1.0025</v>
      </c>
    </row>
    <row r="335" ht="14.25" customHeight="1">
      <c r="A335" s="267">
        <v>194809.0</v>
      </c>
      <c r="B335" s="268">
        <v>-0.0297</v>
      </c>
      <c r="C335" s="268">
        <f t="shared" si="4"/>
        <v>0.9703</v>
      </c>
    </row>
    <row r="336" ht="14.25" customHeight="1">
      <c r="A336" s="267">
        <v>194810.0</v>
      </c>
      <c r="B336" s="268">
        <v>0.0596</v>
      </c>
      <c r="C336" s="268">
        <f t="shared" si="4"/>
        <v>1.0596</v>
      </c>
    </row>
    <row r="337" ht="14.25" customHeight="1">
      <c r="A337" s="267">
        <v>194811.0</v>
      </c>
      <c r="B337" s="268">
        <v>-0.09300000000000001</v>
      </c>
      <c r="C337" s="268">
        <f t="shared" si="4"/>
        <v>0.907</v>
      </c>
    </row>
    <row r="338" ht="14.25" customHeight="1">
      <c r="A338" s="267">
        <v>194812.0</v>
      </c>
      <c r="B338" s="268">
        <v>0.0326</v>
      </c>
      <c r="C338" s="268">
        <f t="shared" si="4"/>
        <v>1.0326</v>
      </c>
    </row>
    <row r="339" ht="14.25" customHeight="1">
      <c r="A339" s="267">
        <v>194901.0</v>
      </c>
      <c r="B339" s="268">
        <v>0.0023</v>
      </c>
      <c r="C339" s="268">
        <f t="shared" si="4"/>
        <v>1.0023</v>
      </c>
    </row>
    <row r="340" ht="14.25" customHeight="1">
      <c r="A340" s="267">
        <v>194902.0</v>
      </c>
      <c r="B340" s="268">
        <v>-0.029300000000000003</v>
      </c>
      <c r="C340" s="268">
        <f t="shared" si="4"/>
        <v>0.9707</v>
      </c>
    </row>
    <row r="341" ht="14.25" customHeight="1">
      <c r="A341" s="267">
        <v>194903.0</v>
      </c>
      <c r="B341" s="268">
        <v>0.0404</v>
      </c>
      <c r="C341" s="268">
        <f t="shared" si="4"/>
        <v>1.0404</v>
      </c>
    </row>
    <row r="342" ht="14.25" customHeight="1">
      <c r="A342" s="267">
        <v>194904.0</v>
      </c>
      <c r="B342" s="268">
        <v>-0.0187</v>
      </c>
      <c r="C342" s="268">
        <f t="shared" si="4"/>
        <v>0.9813</v>
      </c>
    </row>
    <row r="343" ht="14.25" customHeight="1">
      <c r="A343" s="267">
        <v>194905.0</v>
      </c>
      <c r="B343" s="268">
        <v>-0.0294</v>
      </c>
      <c r="C343" s="268">
        <f t="shared" si="4"/>
        <v>0.9706</v>
      </c>
    </row>
    <row r="344" ht="14.25" customHeight="1">
      <c r="A344" s="267">
        <v>194906.0</v>
      </c>
      <c r="B344" s="268">
        <v>0.001</v>
      </c>
      <c r="C344" s="268">
        <f t="shared" si="4"/>
        <v>1.001</v>
      </c>
    </row>
    <row r="345" ht="14.25" customHeight="1">
      <c r="A345" s="267">
        <v>194907.0</v>
      </c>
      <c r="B345" s="268">
        <v>0.0554</v>
      </c>
      <c r="C345" s="268">
        <f t="shared" si="4"/>
        <v>1.0554</v>
      </c>
    </row>
    <row r="346" ht="14.25" customHeight="1">
      <c r="A346" s="267">
        <v>194908.0</v>
      </c>
      <c r="B346" s="268">
        <v>0.026000000000000002</v>
      </c>
      <c r="C346" s="268">
        <f t="shared" si="4"/>
        <v>1.026</v>
      </c>
    </row>
    <row r="347" ht="14.25" customHeight="1">
      <c r="A347" s="267">
        <v>194909.0</v>
      </c>
      <c r="B347" s="268">
        <v>0.030899999999999997</v>
      </c>
      <c r="C347" s="268">
        <f t="shared" si="4"/>
        <v>1.0309</v>
      </c>
    </row>
    <row r="348" ht="14.25" customHeight="1">
      <c r="A348" s="267">
        <v>194910.0</v>
      </c>
      <c r="B348" s="268">
        <v>0.031400000000000004</v>
      </c>
      <c r="C348" s="268">
        <f t="shared" si="4"/>
        <v>1.0314</v>
      </c>
    </row>
    <row r="349" ht="14.25" customHeight="1">
      <c r="A349" s="267">
        <v>194911.0</v>
      </c>
      <c r="B349" s="268">
        <v>0.0182</v>
      </c>
      <c r="C349" s="268">
        <f t="shared" si="4"/>
        <v>1.0182</v>
      </c>
    </row>
    <row r="350" ht="14.25" customHeight="1">
      <c r="A350" s="267">
        <v>194912.0</v>
      </c>
      <c r="B350" s="268">
        <v>0.0513</v>
      </c>
      <c r="C350" s="268">
        <f t="shared" si="4"/>
        <v>1.0513</v>
      </c>
    </row>
    <row r="351" ht="14.25" customHeight="1">
      <c r="A351" s="267">
        <v>195001.0</v>
      </c>
      <c r="B351" s="268">
        <v>0.017</v>
      </c>
      <c r="C351" s="268">
        <f t="shared" si="4"/>
        <v>1.017</v>
      </c>
    </row>
    <row r="352" ht="14.25" customHeight="1">
      <c r="A352" s="267">
        <v>195002.0</v>
      </c>
      <c r="B352" s="268">
        <v>0.0148</v>
      </c>
      <c r="C352" s="268">
        <f t="shared" si="4"/>
        <v>1.0148</v>
      </c>
    </row>
    <row r="353" ht="14.25" customHeight="1">
      <c r="A353" s="267">
        <v>195003.0</v>
      </c>
      <c r="B353" s="268">
        <v>0.0126</v>
      </c>
      <c r="C353" s="268">
        <f t="shared" si="4"/>
        <v>1.0126</v>
      </c>
    </row>
    <row r="354" ht="14.25" customHeight="1">
      <c r="A354" s="267">
        <v>195004.0</v>
      </c>
      <c r="B354" s="268">
        <v>0.0394</v>
      </c>
      <c r="C354" s="268">
        <f t="shared" si="4"/>
        <v>1.0394</v>
      </c>
    </row>
    <row r="355" ht="14.25" customHeight="1">
      <c r="A355" s="267">
        <v>195005.0</v>
      </c>
      <c r="B355" s="268">
        <v>0.0431</v>
      </c>
      <c r="C355" s="268">
        <f t="shared" si="4"/>
        <v>1.0431</v>
      </c>
    </row>
    <row r="356" ht="14.25" customHeight="1">
      <c r="A356" s="267">
        <v>195006.0</v>
      </c>
      <c r="B356" s="268">
        <v>-0.0594</v>
      </c>
      <c r="C356" s="268">
        <f t="shared" si="4"/>
        <v>0.9406</v>
      </c>
    </row>
    <row r="357" ht="14.25" customHeight="1">
      <c r="A357" s="267">
        <v>195007.0</v>
      </c>
      <c r="B357" s="268">
        <v>0.013600000000000001</v>
      </c>
      <c r="C357" s="268">
        <f t="shared" si="4"/>
        <v>1.0136</v>
      </c>
    </row>
    <row r="358" ht="14.25" customHeight="1">
      <c r="A358" s="267">
        <v>195008.0</v>
      </c>
      <c r="B358" s="268">
        <v>0.048499999999999995</v>
      </c>
      <c r="C358" s="268">
        <f t="shared" si="4"/>
        <v>1.0485</v>
      </c>
    </row>
    <row r="359" ht="14.25" customHeight="1">
      <c r="A359" s="267">
        <v>195009.0</v>
      </c>
      <c r="B359" s="268">
        <v>0.0481</v>
      </c>
      <c r="C359" s="268">
        <f t="shared" si="4"/>
        <v>1.0481</v>
      </c>
    </row>
    <row r="360" ht="14.25" customHeight="1">
      <c r="A360" s="267">
        <v>195010.0</v>
      </c>
      <c r="B360" s="268">
        <v>-0.0018</v>
      </c>
      <c r="C360" s="268">
        <f t="shared" si="4"/>
        <v>0.9982</v>
      </c>
    </row>
    <row r="361" ht="14.25" customHeight="1">
      <c r="A361" s="267">
        <v>195011.0</v>
      </c>
      <c r="B361" s="268">
        <v>0.0276</v>
      </c>
      <c r="C361" s="268">
        <f t="shared" si="4"/>
        <v>1.0276</v>
      </c>
    </row>
    <row r="362" ht="14.25" customHeight="1">
      <c r="A362" s="267">
        <v>195012.0</v>
      </c>
      <c r="B362" s="268">
        <v>0.0554</v>
      </c>
      <c r="C362" s="268">
        <f t="shared" si="4"/>
        <v>1.0554</v>
      </c>
    </row>
    <row r="363" ht="14.25" customHeight="1">
      <c r="A363" s="267">
        <v>195101.0</v>
      </c>
      <c r="B363" s="268">
        <v>0.057</v>
      </c>
      <c r="C363" s="268">
        <f t="shared" si="4"/>
        <v>1.057</v>
      </c>
    </row>
    <row r="364" ht="14.25" customHeight="1">
      <c r="A364" s="267">
        <v>195102.0</v>
      </c>
      <c r="B364" s="268">
        <v>0.0141</v>
      </c>
      <c r="C364" s="268">
        <f t="shared" si="4"/>
        <v>1.0141</v>
      </c>
    </row>
    <row r="365" ht="14.25" customHeight="1">
      <c r="A365" s="267">
        <v>195103.0</v>
      </c>
      <c r="B365" s="268">
        <v>-0.0215</v>
      </c>
      <c r="C365" s="268">
        <f t="shared" si="4"/>
        <v>0.9785</v>
      </c>
    </row>
    <row r="366" ht="14.25" customHeight="1">
      <c r="A366" s="267">
        <v>195104.0</v>
      </c>
      <c r="B366" s="268">
        <v>0.048600000000000004</v>
      </c>
      <c r="C366" s="268">
        <f t="shared" si="4"/>
        <v>1.0486</v>
      </c>
    </row>
    <row r="367" ht="14.25" customHeight="1">
      <c r="A367" s="267">
        <v>195105.0</v>
      </c>
      <c r="B367" s="268">
        <v>-0.023399999999999997</v>
      </c>
      <c r="C367" s="268">
        <f t="shared" si="4"/>
        <v>0.9766</v>
      </c>
    </row>
    <row r="368" ht="14.25" customHeight="1">
      <c r="A368" s="267">
        <v>195106.0</v>
      </c>
      <c r="B368" s="268">
        <v>-0.0262</v>
      </c>
      <c r="C368" s="268">
        <f t="shared" si="4"/>
        <v>0.9738</v>
      </c>
    </row>
    <row r="369" ht="14.25" customHeight="1">
      <c r="A369" s="267">
        <v>195107.0</v>
      </c>
      <c r="B369" s="268">
        <v>0.0694</v>
      </c>
      <c r="C369" s="268">
        <f t="shared" si="4"/>
        <v>1.0694</v>
      </c>
    </row>
    <row r="370" ht="14.25" customHeight="1">
      <c r="A370" s="267">
        <v>195108.0</v>
      </c>
      <c r="B370" s="268">
        <v>0.042699999999999995</v>
      </c>
      <c r="C370" s="268">
        <f t="shared" si="4"/>
        <v>1.0427</v>
      </c>
    </row>
    <row r="371" ht="14.25" customHeight="1">
      <c r="A371" s="267">
        <v>195109.0</v>
      </c>
      <c r="B371" s="268">
        <v>0.006999999999999999</v>
      </c>
      <c r="C371" s="268">
        <f t="shared" si="4"/>
        <v>1.007</v>
      </c>
    </row>
    <row r="372" ht="14.25" customHeight="1">
      <c r="A372" s="267">
        <v>195110.0</v>
      </c>
      <c r="B372" s="268">
        <v>-0.0253</v>
      </c>
      <c r="C372" s="268">
        <f t="shared" si="4"/>
        <v>0.9747</v>
      </c>
    </row>
    <row r="373" ht="14.25" customHeight="1">
      <c r="A373" s="267">
        <v>195111.0</v>
      </c>
      <c r="B373" s="268">
        <v>0.005699999999999999</v>
      </c>
      <c r="C373" s="268">
        <f t="shared" si="4"/>
        <v>1.0057</v>
      </c>
    </row>
    <row r="374" ht="14.25" customHeight="1">
      <c r="A374" s="267">
        <v>195112.0</v>
      </c>
      <c r="B374" s="268">
        <v>0.0333</v>
      </c>
      <c r="C374" s="268">
        <f t="shared" si="4"/>
        <v>1.0333</v>
      </c>
    </row>
    <row r="375" ht="14.25" customHeight="1">
      <c r="A375" s="267">
        <v>195201.0</v>
      </c>
      <c r="B375" s="268">
        <v>0.014499999999999999</v>
      </c>
      <c r="C375" s="268">
        <f t="shared" si="4"/>
        <v>1.0145</v>
      </c>
    </row>
    <row r="376" ht="14.25" customHeight="1">
      <c r="A376" s="267">
        <v>195202.0</v>
      </c>
      <c r="B376" s="268">
        <v>-0.0262</v>
      </c>
      <c r="C376" s="268">
        <f t="shared" si="4"/>
        <v>0.9738</v>
      </c>
    </row>
    <row r="377" ht="14.25" customHeight="1">
      <c r="A377" s="267">
        <v>195203.0</v>
      </c>
      <c r="B377" s="268">
        <v>0.0444</v>
      </c>
      <c r="C377" s="268">
        <f t="shared" si="4"/>
        <v>1.0444</v>
      </c>
    </row>
    <row r="378" ht="14.25" customHeight="1">
      <c r="A378" s="267">
        <v>195204.0</v>
      </c>
      <c r="B378" s="268">
        <v>-0.049699999999999994</v>
      </c>
      <c r="C378" s="268">
        <f t="shared" si="4"/>
        <v>0.9503</v>
      </c>
    </row>
    <row r="379" ht="14.25" customHeight="1">
      <c r="A379" s="267">
        <v>195205.0</v>
      </c>
      <c r="B379" s="268">
        <v>0.032</v>
      </c>
      <c r="C379" s="268">
        <f t="shared" si="4"/>
        <v>1.032</v>
      </c>
    </row>
    <row r="380" ht="14.25" customHeight="1">
      <c r="A380" s="267">
        <v>195206.0</v>
      </c>
      <c r="B380" s="268">
        <v>0.0383</v>
      </c>
      <c r="C380" s="268">
        <f t="shared" si="4"/>
        <v>1.0383</v>
      </c>
    </row>
    <row r="381" ht="14.25" customHeight="1">
      <c r="A381" s="267">
        <v>195207.0</v>
      </c>
      <c r="B381" s="268">
        <v>0.0091</v>
      </c>
      <c r="C381" s="268">
        <f t="shared" si="4"/>
        <v>1.0091</v>
      </c>
    </row>
    <row r="382" ht="14.25" customHeight="1">
      <c r="A382" s="267">
        <v>195208.0</v>
      </c>
      <c r="B382" s="268">
        <v>-0.0076</v>
      </c>
      <c r="C382" s="268">
        <f t="shared" si="4"/>
        <v>0.9924</v>
      </c>
    </row>
    <row r="383" ht="14.25" customHeight="1">
      <c r="A383" s="267">
        <v>195209.0</v>
      </c>
      <c r="B383" s="268">
        <v>-0.0203</v>
      </c>
      <c r="C383" s="268">
        <f t="shared" si="4"/>
        <v>0.9797</v>
      </c>
    </row>
    <row r="384" ht="14.25" customHeight="1">
      <c r="A384" s="267">
        <v>195210.0</v>
      </c>
      <c r="B384" s="268">
        <v>-0.0066</v>
      </c>
      <c r="C384" s="268">
        <f t="shared" si="4"/>
        <v>0.9934</v>
      </c>
    </row>
    <row r="385" ht="14.25" customHeight="1">
      <c r="A385" s="267">
        <v>195211.0</v>
      </c>
      <c r="B385" s="268">
        <v>0.0594</v>
      </c>
      <c r="C385" s="268">
        <f t="shared" si="4"/>
        <v>1.0594</v>
      </c>
    </row>
    <row r="386" ht="14.25" customHeight="1">
      <c r="A386" s="267">
        <v>195212.0</v>
      </c>
      <c r="B386" s="268">
        <v>0.029300000000000003</v>
      </c>
      <c r="C386" s="268">
        <f t="shared" si="4"/>
        <v>1.0293</v>
      </c>
    </row>
    <row r="387" ht="14.25" customHeight="1">
      <c r="A387" s="267">
        <v>195301.0</v>
      </c>
      <c r="B387" s="268">
        <v>-0.0034000000000000002</v>
      </c>
      <c r="C387" s="268">
        <f t="shared" si="4"/>
        <v>0.9966</v>
      </c>
    </row>
    <row r="388" ht="14.25" customHeight="1">
      <c r="A388" s="267">
        <v>195302.0</v>
      </c>
      <c r="B388" s="268">
        <v>-0.0027</v>
      </c>
      <c r="C388" s="268">
        <f t="shared" si="4"/>
        <v>0.9973</v>
      </c>
    </row>
    <row r="389" ht="14.25" customHeight="1">
      <c r="A389" s="267">
        <v>195303.0</v>
      </c>
      <c r="B389" s="268">
        <v>-0.0143</v>
      </c>
      <c r="C389" s="268">
        <f t="shared" si="4"/>
        <v>0.9857</v>
      </c>
    </row>
    <row r="390" ht="14.25" customHeight="1">
      <c r="A390" s="267">
        <v>195304.0</v>
      </c>
      <c r="B390" s="268">
        <v>-0.028300000000000002</v>
      </c>
      <c r="C390" s="268">
        <f t="shared" si="4"/>
        <v>0.9717</v>
      </c>
    </row>
    <row r="391" ht="14.25" customHeight="1">
      <c r="A391" s="267">
        <v>195305.0</v>
      </c>
      <c r="B391" s="268">
        <v>0.0052</v>
      </c>
      <c r="C391" s="268">
        <f t="shared" si="4"/>
        <v>1.0052</v>
      </c>
    </row>
    <row r="392" ht="14.25" customHeight="1">
      <c r="A392" s="267">
        <v>195306.0</v>
      </c>
      <c r="B392" s="268">
        <v>-0.0189</v>
      </c>
      <c r="C392" s="268">
        <f t="shared" si="4"/>
        <v>0.9811</v>
      </c>
    </row>
    <row r="393" ht="14.25" customHeight="1">
      <c r="A393" s="267">
        <v>195307.0</v>
      </c>
      <c r="B393" s="268">
        <v>0.024</v>
      </c>
      <c r="C393" s="268">
        <f t="shared" si="4"/>
        <v>1.024</v>
      </c>
    </row>
    <row r="394" ht="14.25" customHeight="1">
      <c r="A394" s="267">
        <v>195308.0</v>
      </c>
      <c r="B394" s="268">
        <v>-0.0452</v>
      </c>
      <c r="C394" s="268">
        <f t="shared" si="4"/>
        <v>0.9548</v>
      </c>
    </row>
    <row r="395" ht="14.25" customHeight="1">
      <c r="A395" s="267">
        <v>195309.0</v>
      </c>
      <c r="B395" s="268">
        <v>0.002</v>
      </c>
      <c r="C395" s="268">
        <f t="shared" si="4"/>
        <v>1.002</v>
      </c>
    </row>
    <row r="396" ht="14.25" customHeight="1">
      <c r="A396" s="267">
        <v>195310.0</v>
      </c>
      <c r="B396" s="268">
        <v>0.046</v>
      </c>
      <c r="C396" s="268">
        <f t="shared" si="4"/>
        <v>1.046</v>
      </c>
    </row>
    <row r="397" ht="14.25" customHeight="1">
      <c r="A397" s="267">
        <v>195311.0</v>
      </c>
      <c r="B397" s="268">
        <v>0.028300000000000002</v>
      </c>
      <c r="C397" s="268">
        <f t="shared" si="4"/>
        <v>1.0283</v>
      </c>
    </row>
    <row r="398" ht="14.25" customHeight="1">
      <c r="A398" s="267">
        <v>195312.0</v>
      </c>
      <c r="B398" s="268">
        <v>3.0E-4</v>
      </c>
      <c r="C398" s="268">
        <f t="shared" si="4"/>
        <v>1.0003</v>
      </c>
    </row>
    <row r="399" ht="14.25" customHeight="1">
      <c r="A399" s="267">
        <v>195401.0</v>
      </c>
      <c r="B399" s="268">
        <v>0.0513</v>
      </c>
      <c r="C399" s="268">
        <f t="shared" si="4"/>
        <v>1.0513</v>
      </c>
    </row>
    <row r="400" ht="14.25" customHeight="1">
      <c r="A400" s="267">
        <v>195402.0</v>
      </c>
      <c r="B400" s="268">
        <v>0.0167</v>
      </c>
      <c r="C400" s="268">
        <f t="shared" si="4"/>
        <v>1.0167</v>
      </c>
    </row>
    <row r="401" ht="14.25" customHeight="1">
      <c r="A401" s="267">
        <v>195403.0</v>
      </c>
      <c r="B401" s="268">
        <v>0.0365</v>
      </c>
      <c r="C401" s="268">
        <f t="shared" si="4"/>
        <v>1.0365</v>
      </c>
    </row>
    <row r="402" ht="14.25" customHeight="1">
      <c r="A402" s="267">
        <v>195404.0</v>
      </c>
      <c r="B402" s="268">
        <v>0.042699999999999995</v>
      </c>
      <c r="C402" s="268">
        <f t="shared" si="4"/>
        <v>1.0427</v>
      </c>
    </row>
    <row r="403" ht="14.25" customHeight="1">
      <c r="A403" s="267">
        <v>195405.0</v>
      </c>
      <c r="B403" s="268">
        <v>0.030899999999999997</v>
      </c>
      <c r="C403" s="268">
        <f t="shared" si="4"/>
        <v>1.0309</v>
      </c>
    </row>
    <row r="404" ht="14.25" customHeight="1">
      <c r="A404" s="267">
        <v>195406.0</v>
      </c>
      <c r="B404" s="268">
        <v>0.010700000000000001</v>
      </c>
      <c r="C404" s="268">
        <f t="shared" si="4"/>
        <v>1.0107</v>
      </c>
    </row>
    <row r="405" ht="14.25" customHeight="1">
      <c r="A405" s="267">
        <v>195407.0</v>
      </c>
      <c r="B405" s="268">
        <v>0.0499</v>
      </c>
      <c r="C405" s="268">
        <f t="shared" si="4"/>
        <v>1.0499</v>
      </c>
    </row>
    <row r="406" ht="14.25" customHeight="1">
      <c r="A406" s="267">
        <v>195408.0</v>
      </c>
      <c r="B406" s="268">
        <v>-0.023399999999999997</v>
      </c>
      <c r="C406" s="268">
        <f t="shared" si="4"/>
        <v>0.9766</v>
      </c>
    </row>
    <row r="407" ht="14.25" customHeight="1">
      <c r="A407" s="267">
        <v>195409.0</v>
      </c>
      <c r="B407" s="268">
        <v>0.0639</v>
      </c>
      <c r="C407" s="268">
        <f t="shared" si="4"/>
        <v>1.0639</v>
      </c>
    </row>
    <row r="408" ht="14.25" customHeight="1">
      <c r="A408" s="267">
        <v>195410.0</v>
      </c>
      <c r="B408" s="268">
        <v>-0.0167</v>
      </c>
      <c r="C408" s="268">
        <f t="shared" si="4"/>
        <v>0.9833</v>
      </c>
    </row>
    <row r="409" ht="14.25" customHeight="1">
      <c r="A409" s="267">
        <v>195411.0</v>
      </c>
      <c r="B409" s="268">
        <v>0.09380000000000001</v>
      </c>
      <c r="C409" s="268">
        <f t="shared" si="4"/>
        <v>1.0938</v>
      </c>
    </row>
    <row r="410" ht="14.25" customHeight="1">
      <c r="A410" s="267">
        <v>195412.0</v>
      </c>
      <c r="B410" s="268">
        <v>0.0548</v>
      </c>
      <c r="C410" s="268">
        <f t="shared" si="4"/>
        <v>1.0548</v>
      </c>
    </row>
    <row r="411" ht="14.25" customHeight="1">
      <c r="A411" s="267">
        <v>195501.0</v>
      </c>
      <c r="B411" s="268">
        <v>0.006</v>
      </c>
      <c r="C411" s="268">
        <f t="shared" si="4"/>
        <v>1.006</v>
      </c>
    </row>
    <row r="412" ht="14.25" customHeight="1">
      <c r="A412" s="267">
        <v>195502.0</v>
      </c>
      <c r="B412" s="268">
        <v>0.0302</v>
      </c>
      <c r="C412" s="268">
        <f t="shared" si="4"/>
        <v>1.0302</v>
      </c>
    </row>
    <row r="413" ht="14.25" customHeight="1">
      <c r="A413" s="267">
        <v>195503.0</v>
      </c>
      <c r="B413" s="268">
        <v>-0.0016</v>
      </c>
      <c r="C413" s="268">
        <f t="shared" si="4"/>
        <v>0.9984</v>
      </c>
    </row>
    <row r="414" ht="14.25" customHeight="1">
      <c r="A414" s="267">
        <v>195504.0</v>
      </c>
      <c r="B414" s="268">
        <v>0.0311</v>
      </c>
      <c r="C414" s="268">
        <f t="shared" si="4"/>
        <v>1.0311</v>
      </c>
    </row>
    <row r="415" ht="14.25" customHeight="1">
      <c r="A415" s="267">
        <v>195505.0</v>
      </c>
      <c r="B415" s="268">
        <v>0.009300000000000001</v>
      </c>
      <c r="C415" s="268">
        <f t="shared" si="4"/>
        <v>1.0093</v>
      </c>
    </row>
    <row r="416" ht="14.25" customHeight="1">
      <c r="A416" s="267">
        <v>195506.0</v>
      </c>
      <c r="B416" s="268">
        <v>0.0655</v>
      </c>
      <c r="C416" s="268">
        <f t="shared" si="4"/>
        <v>1.0655</v>
      </c>
    </row>
    <row r="417" ht="14.25" customHeight="1">
      <c r="A417" s="267">
        <v>195507.0</v>
      </c>
      <c r="B417" s="268">
        <v>0.019</v>
      </c>
      <c r="C417" s="268">
        <f t="shared" si="4"/>
        <v>1.019</v>
      </c>
    </row>
    <row r="418" ht="14.25" customHeight="1">
      <c r="A418" s="267">
        <v>195508.0</v>
      </c>
      <c r="B418" s="268">
        <v>0.0021</v>
      </c>
      <c r="C418" s="268">
        <f t="shared" si="4"/>
        <v>1.0021</v>
      </c>
    </row>
    <row r="419" ht="14.25" customHeight="1">
      <c r="A419" s="267">
        <v>195509.0</v>
      </c>
      <c r="B419" s="268">
        <v>-0.0036</v>
      </c>
      <c r="C419" s="268">
        <f t="shared" si="4"/>
        <v>0.9964</v>
      </c>
    </row>
    <row r="420" ht="14.25" customHeight="1">
      <c r="A420" s="267">
        <v>195510.0</v>
      </c>
      <c r="B420" s="268">
        <v>-0.0268</v>
      </c>
      <c r="C420" s="268">
        <f t="shared" si="4"/>
        <v>0.9732</v>
      </c>
    </row>
    <row r="421" ht="14.25" customHeight="1">
      <c r="A421" s="267">
        <v>195511.0</v>
      </c>
      <c r="B421" s="268">
        <v>0.0703</v>
      </c>
      <c r="C421" s="268">
        <f t="shared" si="4"/>
        <v>1.0703</v>
      </c>
    </row>
    <row r="422" ht="14.25" customHeight="1">
      <c r="A422" s="267">
        <v>195512.0</v>
      </c>
      <c r="B422" s="268">
        <v>0.0149</v>
      </c>
      <c r="C422" s="268">
        <f t="shared" si="4"/>
        <v>1.0149</v>
      </c>
    </row>
    <row r="423" ht="14.25" customHeight="1">
      <c r="A423" s="267">
        <v>195601.0</v>
      </c>
      <c r="B423" s="268">
        <v>-0.030299999999999997</v>
      </c>
      <c r="C423" s="268">
        <f t="shared" si="4"/>
        <v>0.9697</v>
      </c>
    </row>
    <row r="424" ht="14.25" customHeight="1">
      <c r="A424" s="267">
        <v>195602.0</v>
      </c>
      <c r="B424" s="268">
        <v>0.0377</v>
      </c>
      <c r="C424" s="268">
        <f t="shared" si="4"/>
        <v>1.0377</v>
      </c>
    </row>
    <row r="425" ht="14.25" customHeight="1">
      <c r="A425" s="267">
        <v>195603.0</v>
      </c>
      <c r="B425" s="268">
        <v>0.0664</v>
      </c>
      <c r="C425" s="268">
        <f t="shared" si="4"/>
        <v>1.0664</v>
      </c>
    </row>
    <row r="426" ht="14.25" customHeight="1">
      <c r="A426" s="267">
        <v>195604.0</v>
      </c>
      <c r="B426" s="268">
        <v>0.0028000000000000004</v>
      </c>
      <c r="C426" s="268">
        <f t="shared" si="4"/>
        <v>1.0028</v>
      </c>
    </row>
    <row r="427" ht="14.25" customHeight="1">
      <c r="A427" s="267">
        <v>195605.0</v>
      </c>
      <c r="B427" s="268">
        <v>-0.052000000000000005</v>
      </c>
      <c r="C427" s="268">
        <f t="shared" si="4"/>
        <v>0.948</v>
      </c>
    </row>
    <row r="428" ht="14.25" customHeight="1">
      <c r="A428" s="267">
        <v>195606.0</v>
      </c>
      <c r="B428" s="268">
        <v>0.0348</v>
      </c>
      <c r="C428" s="268">
        <f t="shared" si="4"/>
        <v>1.0348</v>
      </c>
    </row>
    <row r="429" ht="14.25" customHeight="1">
      <c r="A429" s="267">
        <v>195607.0</v>
      </c>
      <c r="B429" s="268">
        <v>0.0484</v>
      </c>
      <c r="C429" s="268">
        <f t="shared" si="4"/>
        <v>1.0484</v>
      </c>
    </row>
    <row r="430" ht="14.25" customHeight="1">
      <c r="A430" s="267">
        <v>195608.0</v>
      </c>
      <c r="B430" s="268">
        <v>-0.0318</v>
      </c>
      <c r="C430" s="268">
        <f t="shared" si="4"/>
        <v>0.9682</v>
      </c>
    </row>
    <row r="431" ht="14.25" customHeight="1">
      <c r="A431" s="267">
        <v>195609.0</v>
      </c>
      <c r="B431" s="268">
        <v>-0.051399999999999994</v>
      </c>
      <c r="C431" s="268">
        <f t="shared" si="4"/>
        <v>0.9486</v>
      </c>
    </row>
    <row r="432" ht="14.25" customHeight="1">
      <c r="A432" s="267">
        <v>195610.0</v>
      </c>
      <c r="B432" s="268">
        <v>0.0052</v>
      </c>
      <c r="C432" s="268">
        <f t="shared" si="4"/>
        <v>1.0052</v>
      </c>
    </row>
    <row r="433" ht="14.25" customHeight="1">
      <c r="A433" s="267">
        <v>195611.0</v>
      </c>
      <c r="B433" s="268">
        <v>0.0036</v>
      </c>
      <c r="C433" s="268">
        <f t="shared" si="4"/>
        <v>1.0036</v>
      </c>
    </row>
    <row r="434" ht="14.25" customHeight="1">
      <c r="A434" s="267">
        <v>195612.0</v>
      </c>
      <c r="B434" s="268">
        <v>0.0316</v>
      </c>
      <c r="C434" s="268">
        <f t="shared" si="4"/>
        <v>1.0316</v>
      </c>
    </row>
    <row r="435" ht="14.25" customHeight="1">
      <c r="A435" s="267">
        <v>195701.0</v>
      </c>
      <c r="B435" s="268">
        <v>-0.0358</v>
      </c>
      <c r="C435" s="268">
        <f t="shared" si="4"/>
        <v>0.9642</v>
      </c>
    </row>
    <row r="436" ht="14.25" customHeight="1">
      <c r="A436" s="267">
        <v>195702.0</v>
      </c>
      <c r="B436" s="268">
        <v>-0.0206</v>
      </c>
      <c r="C436" s="268">
        <f t="shared" si="4"/>
        <v>0.9794</v>
      </c>
    </row>
    <row r="437" ht="14.25" customHeight="1">
      <c r="A437" s="267">
        <v>195703.0</v>
      </c>
      <c r="B437" s="268">
        <v>0.0213</v>
      </c>
      <c r="C437" s="268">
        <f t="shared" si="4"/>
        <v>1.0213</v>
      </c>
    </row>
    <row r="438" ht="14.25" customHeight="1">
      <c r="A438" s="267">
        <v>195704.0</v>
      </c>
      <c r="B438" s="268">
        <v>0.0426</v>
      </c>
      <c r="C438" s="268">
        <f t="shared" si="4"/>
        <v>1.0426</v>
      </c>
    </row>
    <row r="439" ht="14.25" customHeight="1">
      <c r="A439" s="267">
        <v>195705.0</v>
      </c>
      <c r="B439" s="268">
        <v>0.0345</v>
      </c>
      <c r="C439" s="268">
        <f t="shared" si="4"/>
        <v>1.0345</v>
      </c>
    </row>
    <row r="440" ht="14.25" customHeight="1">
      <c r="A440" s="267">
        <v>195706.0</v>
      </c>
      <c r="B440" s="268">
        <v>-0.0074</v>
      </c>
      <c r="C440" s="268">
        <f t="shared" si="4"/>
        <v>0.9926</v>
      </c>
    </row>
    <row r="441" ht="14.25" customHeight="1">
      <c r="A441" s="267">
        <v>195707.0</v>
      </c>
      <c r="B441" s="268">
        <v>0.0066</v>
      </c>
      <c r="C441" s="268">
        <f t="shared" si="4"/>
        <v>1.0066</v>
      </c>
    </row>
    <row r="442" ht="14.25" customHeight="1">
      <c r="A442" s="267">
        <v>195708.0</v>
      </c>
      <c r="B442" s="268">
        <v>-0.051100000000000007</v>
      </c>
      <c r="C442" s="268">
        <f t="shared" si="4"/>
        <v>0.9489</v>
      </c>
    </row>
    <row r="443" ht="14.25" customHeight="1">
      <c r="A443" s="267">
        <v>195709.0</v>
      </c>
      <c r="B443" s="268">
        <v>-0.059800000000000006</v>
      </c>
      <c r="C443" s="268">
        <f t="shared" si="4"/>
        <v>0.9402</v>
      </c>
    </row>
    <row r="444" ht="14.25" customHeight="1">
      <c r="A444" s="267">
        <v>195710.0</v>
      </c>
      <c r="B444" s="268">
        <v>-0.0432</v>
      </c>
      <c r="C444" s="268">
        <f t="shared" si="4"/>
        <v>0.9568</v>
      </c>
    </row>
    <row r="445" ht="14.25" customHeight="1">
      <c r="A445" s="267">
        <v>195711.0</v>
      </c>
      <c r="B445" s="268">
        <v>0.023</v>
      </c>
      <c r="C445" s="268">
        <f t="shared" si="4"/>
        <v>1.023</v>
      </c>
    </row>
    <row r="446" ht="14.25" customHeight="1">
      <c r="A446" s="267">
        <v>195712.0</v>
      </c>
      <c r="B446" s="268">
        <v>-0.0391</v>
      </c>
      <c r="C446" s="268">
        <f t="shared" si="4"/>
        <v>0.9609</v>
      </c>
    </row>
    <row r="447" ht="14.25" customHeight="1">
      <c r="A447" s="267">
        <v>195801.0</v>
      </c>
      <c r="B447" s="268">
        <v>0.0466</v>
      </c>
      <c r="C447" s="268">
        <f t="shared" si="4"/>
        <v>1.0466</v>
      </c>
    </row>
    <row r="448" ht="14.25" customHeight="1">
      <c r="A448" s="267">
        <v>195802.0</v>
      </c>
      <c r="B448" s="268">
        <v>-0.0152</v>
      </c>
      <c r="C448" s="268">
        <f t="shared" si="4"/>
        <v>0.9848</v>
      </c>
    </row>
    <row r="449" ht="14.25" customHeight="1">
      <c r="A449" s="267">
        <v>195803.0</v>
      </c>
      <c r="B449" s="268">
        <v>0.0327</v>
      </c>
      <c r="C449" s="268">
        <f t="shared" si="4"/>
        <v>1.0327</v>
      </c>
    </row>
    <row r="450" ht="14.25" customHeight="1">
      <c r="A450" s="267">
        <v>195804.0</v>
      </c>
      <c r="B450" s="268">
        <v>0.030899999999999997</v>
      </c>
      <c r="C450" s="268">
        <f t="shared" si="4"/>
        <v>1.0309</v>
      </c>
    </row>
    <row r="451" ht="14.25" customHeight="1">
      <c r="A451" s="267">
        <v>195805.0</v>
      </c>
      <c r="B451" s="268">
        <v>0.0231</v>
      </c>
      <c r="C451" s="268">
        <f t="shared" si="4"/>
        <v>1.0231</v>
      </c>
    </row>
    <row r="452" ht="14.25" customHeight="1">
      <c r="A452" s="267">
        <v>195806.0</v>
      </c>
      <c r="B452" s="268">
        <v>0.029300000000000003</v>
      </c>
      <c r="C452" s="268">
        <f t="shared" si="4"/>
        <v>1.0293</v>
      </c>
    </row>
    <row r="453" ht="14.25" customHeight="1">
      <c r="A453" s="267">
        <v>195807.0</v>
      </c>
      <c r="B453" s="268">
        <v>0.043899999999999995</v>
      </c>
      <c r="C453" s="268">
        <f t="shared" si="4"/>
        <v>1.0439</v>
      </c>
    </row>
    <row r="454" ht="14.25" customHeight="1">
      <c r="A454" s="267">
        <v>195808.0</v>
      </c>
      <c r="B454" s="268">
        <v>0.0191</v>
      </c>
      <c r="C454" s="268">
        <f t="shared" si="4"/>
        <v>1.0191</v>
      </c>
    </row>
    <row r="455" ht="14.25" customHeight="1">
      <c r="A455" s="267">
        <v>195809.0</v>
      </c>
      <c r="B455" s="268">
        <v>0.0466</v>
      </c>
      <c r="C455" s="268">
        <f t="shared" si="4"/>
        <v>1.0466</v>
      </c>
    </row>
    <row r="456" ht="14.25" customHeight="1">
      <c r="A456" s="267">
        <v>195810.0</v>
      </c>
      <c r="B456" s="268">
        <v>0.0253</v>
      </c>
      <c r="C456" s="268">
        <f t="shared" si="4"/>
        <v>1.0253</v>
      </c>
    </row>
    <row r="457" ht="14.25" customHeight="1">
      <c r="A457" s="267">
        <v>195811.0</v>
      </c>
      <c r="B457" s="268">
        <v>0.0301</v>
      </c>
      <c r="C457" s="268">
        <f t="shared" si="4"/>
        <v>1.0301</v>
      </c>
    </row>
    <row r="458" ht="14.25" customHeight="1">
      <c r="A458" s="267">
        <v>195812.0</v>
      </c>
      <c r="B458" s="268">
        <v>0.051500000000000004</v>
      </c>
      <c r="C458" s="268">
        <f t="shared" si="4"/>
        <v>1.0515</v>
      </c>
    </row>
    <row r="459" ht="14.25" customHeight="1">
      <c r="A459" s="267">
        <v>195901.0</v>
      </c>
      <c r="B459" s="268">
        <v>0.0070999999999999995</v>
      </c>
      <c r="C459" s="268">
        <f t="shared" si="4"/>
        <v>1.0071</v>
      </c>
    </row>
    <row r="460" ht="14.25" customHeight="1">
      <c r="A460" s="267">
        <v>195902.0</v>
      </c>
      <c r="B460" s="268">
        <v>0.0095</v>
      </c>
      <c r="C460" s="268">
        <f t="shared" si="4"/>
        <v>1.0095</v>
      </c>
    </row>
    <row r="461" ht="14.25" customHeight="1">
      <c r="A461" s="267">
        <v>195903.0</v>
      </c>
      <c r="B461" s="268">
        <v>0.0028000000000000004</v>
      </c>
      <c r="C461" s="268">
        <f t="shared" si="4"/>
        <v>1.0028</v>
      </c>
    </row>
    <row r="462" ht="14.25" customHeight="1">
      <c r="A462" s="267">
        <v>195904.0</v>
      </c>
      <c r="B462" s="268">
        <v>0.0366</v>
      </c>
      <c r="C462" s="268">
        <f t="shared" si="4"/>
        <v>1.0366</v>
      </c>
    </row>
    <row r="463" ht="14.25" customHeight="1">
      <c r="A463" s="267">
        <v>195905.0</v>
      </c>
      <c r="B463" s="268">
        <v>0.0173</v>
      </c>
      <c r="C463" s="268">
        <f t="shared" si="4"/>
        <v>1.0173</v>
      </c>
    </row>
    <row r="464" ht="14.25" customHeight="1">
      <c r="A464" s="267">
        <v>195906.0</v>
      </c>
      <c r="B464" s="268">
        <v>-0.0025</v>
      </c>
      <c r="C464" s="268">
        <f t="shared" si="4"/>
        <v>0.9975</v>
      </c>
    </row>
    <row r="465" ht="14.25" customHeight="1">
      <c r="A465" s="267">
        <v>195907.0</v>
      </c>
      <c r="B465" s="268">
        <v>0.0317</v>
      </c>
      <c r="C465" s="268">
        <f t="shared" si="4"/>
        <v>1.0317</v>
      </c>
    </row>
    <row r="466" ht="14.25" customHeight="1">
      <c r="A466" s="267">
        <v>195908.0</v>
      </c>
      <c r="B466" s="268">
        <v>-0.0139</v>
      </c>
      <c r="C466" s="268">
        <f t="shared" si="4"/>
        <v>0.9861</v>
      </c>
    </row>
    <row r="467" ht="14.25" customHeight="1">
      <c r="A467" s="267">
        <v>195909.0</v>
      </c>
      <c r="B467" s="268">
        <v>-0.048</v>
      </c>
      <c r="C467" s="268">
        <f t="shared" si="4"/>
        <v>0.952</v>
      </c>
    </row>
    <row r="468" ht="14.25" customHeight="1">
      <c r="A468" s="267">
        <v>195910.0</v>
      </c>
      <c r="B468" s="268">
        <v>0.0128</v>
      </c>
      <c r="C468" s="268">
        <f t="shared" si="4"/>
        <v>1.0128</v>
      </c>
    </row>
    <row r="469" ht="14.25" customHeight="1">
      <c r="A469" s="267">
        <v>195911.0</v>
      </c>
      <c r="B469" s="268">
        <v>0.016</v>
      </c>
      <c r="C469" s="268">
        <f t="shared" si="4"/>
        <v>1.016</v>
      </c>
    </row>
    <row r="470" ht="14.25" customHeight="1">
      <c r="A470" s="267">
        <v>195912.0</v>
      </c>
      <c r="B470" s="268">
        <v>0.0245</v>
      </c>
      <c r="C470" s="268">
        <f t="shared" si="4"/>
        <v>1.0245</v>
      </c>
    </row>
    <row r="471" ht="14.25" customHeight="1">
      <c r="A471" s="267">
        <v>196001.0</v>
      </c>
      <c r="B471" s="268">
        <v>-0.0698</v>
      </c>
      <c r="C471" s="268">
        <f t="shared" si="4"/>
        <v>0.9302</v>
      </c>
    </row>
    <row r="472" ht="14.25" customHeight="1">
      <c r="A472" s="267">
        <v>196002.0</v>
      </c>
      <c r="B472" s="268">
        <v>0.011699999999999999</v>
      </c>
      <c r="C472" s="268">
        <f t="shared" si="4"/>
        <v>1.0117</v>
      </c>
    </row>
    <row r="473" ht="14.25" customHeight="1">
      <c r="A473" s="267">
        <v>196003.0</v>
      </c>
      <c r="B473" s="268">
        <v>-0.0163</v>
      </c>
      <c r="C473" s="268">
        <f t="shared" si="4"/>
        <v>0.9837</v>
      </c>
    </row>
    <row r="474" ht="14.25" customHeight="1">
      <c r="A474" s="267">
        <v>196004.0</v>
      </c>
      <c r="B474" s="268">
        <v>-0.0171</v>
      </c>
      <c r="C474" s="268">
        <f t="shared" si="4"/>
        <v>0.9829</v>
      </c>
    </row>
    <row r="475" ht="14.25" customHeight="1">
      <c r="A475" s="267">
        <v>196005.0</v>
      </c>
      <c r="B475" s="268">
        <v>0.031200000000000002</v>
      </c>
      <c r="C475" s="268">
        <f t="shared" si="4"/>
        <v>1.0312</v>
      </c>
    </row>
    <row r="476" ht="14.25" customHeight="1">
      <c r="A476" s="267">
        <v>196006.0</v>
      </c>
      <c r="B476" s="268">
        <v>0.0208</v>
      </c>
      <c r="C476" s="268">
        <f t="shared" si="4"/>
        <v>1.0208</v>
      </c>
    </row>
    <row r="477" ht="14.25" customHeight="1">
      <c r="A477" s="267">
        <v>196007.0</v>
      </c>
      <c r="B477" s="268">
        <v>-0.023700000000000002</v>
      </c>
      <c r="C477" s="268">
        <f t="shared" si="4"/>
        <v>0.9763</v>
      </c>
    </row>
    <row r="478" ht="14.25" customHeight="1">
      <c r="A478" s="267">
        <v>196008.0</v>
      </c>
      <c r="B478" s="268">
        <v>0.0301</v>
      </c>
      <c r="C478" s="268">
        <f t="shared" si="4"/>
        <v>1.0301</v>
      </c>
    </row>
    <row r="479" ht="14.25" customHeight="1">
      <c r="A479" s="267">
        <v>196009.0</v>
      </c>
      <c r="B479" s="268">
        <v>-0.0599</v>
      </c>
      <c r="C479" s="268">
        <f t="shared" si="4"/>
        <v>0.9401</v>
      </c>
    </row>
    <row r="480" ht="14.25" customHeight="1">
      <c r="A480" s="267">
        <v>196010.0</v>
      </c>
      <c r="B480" s="268">
        <v>-0.0070999999999999995</v>
      </c>
      <c r="C480" s="268">
        <f t="shared" si="4"/>
        <v>0.9929</v>
      </c>
    </row>
    <row r="481" ht="14.25" customHeight="1">
      <c r="A481" s="267">
        <v>196011.0</v>
      </c>
      <c r="B481" s="268">
        <v>0.046900000000000004</v>
      </c>
      <c r="C481" s="268">
        <f t="shared" si="4"/>
        <v>1.0469</v>
      </c>
    </row>
    <row r="482" ht="14.25" customHeight="1">
      <c r="A482" s="267">
        <v>196012.0</v>
      </c>
      <c r="B482" s="268">
        <v>0.0471</v>
      </c>
      <c r="C482" s="268">
        <f t="shared" si="4"/>
        <v>1.0471</v>
      </c>
    </row>
    <row r="483" ht="14.25" customHeight="1">
      <c r="A483" s="267">
        <v>196101.0</v>
      </c>
      <c r="B483" s="268">
        <v>0.062</v>
      </c>
      <c r="C483" s="268">
        <f t="shared" si="4"/>
        <v>1.062</v>
      </c>
    </row>
    <row r="484" ht="14.25" customHeight="1">
      <c r="A484" s="267">
        <v>196102.0</v>
      </c>
      <c r="B484" s="268">
        <v>0.035699999999999996</v>
      </c>
      <c r="C484" s="268">
        <f t="shared" si="4"/>
        <v>1.0357</v>
      </c>
    </row>
    <row r="485" ht="14.25" customHeight="1">
      <c r="A485" s="267">
        <v>196103.0</v>
      </c>
      <c r="B485" s="268">
        <v>0.028900000000000002</v>
      </c>
      <c r="C485" s="268">
        <f t="shared" si="4"/>
        <v>1.0289</v>
      </c>
    </row>
    <row r="486" ht="14.25" customHeight="1">
      <c r="A486" s="267">
        <v>196104.0</v>
      </c>
      <c r="B486" s="268">
        <v>0.0029</v>
      </c>
      <c r="C486" s="268">
        <f t="shared" si="4"/>
        <v>1.0029</v>
      </c>
    </row>
    <row r="487" ht="14.25" customHeight="1">
      <c r="A487" s="267">
        <v>196105.0</v>
      </c>
      <c r="B487" s="268">
        <v>0.024</v>
      </c>
      <c r="C487" s="268">
        <f t="shared" si="4"/>
        <v>1.024</v>
      </c>
    </row>
    <row r="488" ht="14.25" customHeight="1">
      <c r="A488" s="267">
        <v>196106.0</v>
      </c>
      <c r="B488" s="268">
        <v>-0.0308</v>
      </c>
      <c r="C488" s="268">
        <f t="shared" si="4"/>
        <v>0.9692</v>
      </c>
    </row>
    <row r="489" ht="14.25" customHeight="1">
      <c r="A489" s="267">
        <v>196107.0</v>
      </c>
      <c r="B489" s="268">
        <v>0.028300000000000002</v>
      </c>
      <c r="C489" s="268">
        <f t="shared" si="4"/>
        <v>1.0283</v>
      </c>
    </row>
    <row r="490" ht="14.25" customHeight="1">
      <c r="A490" s="267">
        <v>196108.0</v>
      </c>
      <c r="B490" s="268">
        <v>0.025699999999999997</v>
      </c>
      <c r="C490" s="268">
        <f t="shared" si="4"/>
        <v>1.0257</v>
      </c>
    </row>
    <row r="491" ht="14.25" customHeight="1">
      <c r="A491" s="267">
        <v>196109.0</v>
      </c>
      <c r="B491" s="268">
        <v>-0.0215</v>
      </c>
      <c r="C491" s="268">
        <f t="shared" si="4"/>
        <v>0.9785</v>
      </c>
    </row>
    <row r="492" ht="14.25" customHeight="1">
      <c r="A492" s="267">
        <v>196110.0</v>
      </c>
      <c r="B492" s="268">
        <v>0.025699999999999997</v>
      </c>
      <c r="C492" s="268">
        <f t="shared" si="4"/>
        <v>1.0257</v>
      </c>
    </row>
    <row r="493" ht="14.25" customHeight="1">
      <c r="A493" s="267">
        <v>196111.0</v>
      </c>
      <c r="B493" s="268">
        <v>0.044500000000000005</v>
      </c>
      <c r="C493" s="268">
        <f t="shared" si="4"/>
        <v>1.0445</v>
      </c>
    </row>
    <row r="494" ht="14.25" customHeight="1">
      <c r="A494" s="267">
        <v>196112.0</v>
      </c>
      <c r="B494" s="268">
        <v>-0.0018</v>
      </c>
      <c r="C494" s="268">
        <f t="shared" si="4"/>
        <v>0.9982</v>
      </c>
    </row>
    <row r="495" ht="14.25" customHeight="1">
      <c r="A495" s="267">
        <v>196201.0</v>
      </c>
      <c r="B495" s="268">
        <v>-0.0387</v>
      </c>
      <c r="C495" s="268">
        <f t="shared" si="4"/>
        <v>0.9613</v>
      </c>
    </row>
    <row r="496" ht="14.25" customHeight="1">
      <c r="A496" s="267">
        <v>196202.0</v>
      </c>
      <c r="B496" s="268">
        <v>0.0181</v>
      </c>
      <c r="C496" s="268">
        <f t="shared" si="4"/>
        <v>1.0181</v>
      </c>
    </row>
    <row r="497" ht="14.25" customHeight="1">
      <c r="A497" s="267">
        <v>196203.0</v>
      </c>
      <c r="B497" s="268">
        <v>-0.0068000000000000005</v>
      </c>
      <c r="C497" s="268">
        <f t="shared" si="4"/>
        <v>0.9932</v>
      </c>
    </row>
    <row r="498" ht="14.25" customHeight="1">
      <c r="A498" s="267">
        <v>196204.0</v>
      </c>
      <c r="B498" s="268">
        <v>-0.0659</v>
      </c>
      <c r="C498" s="268">
        <f t="shared" si="4"/>
        <v>0.9341</v>
      </c>
    </row>
    <row r="499" ht="14.25" customHeight="1">
      <c r="A499" s="267">
        <v>196205.0</v>
      </c>
      <c r="B499" s="268">
        <v>-0.08650000000000001</v>
      </c>
      <c r="C499" s="268">
        <f t="shared" si="4"/>
        <v>0.9135</v>
      </c>
    </row>
    <row r="500" ht="14.25" customHeight="1">
      <c r="A500" s="267">
        <v>196206.0</v>
      </c>
      <c r="B500" s="268">
        <v>-0.08470000000000001</v>
      </c>
      <c r="C500" s="268">
        <f t="shared" si="4"/>
        <v>0.9153</v>
      </c>
    </row>
    <row r="501" ht="14.25" customHeight="1">
      <c r="A501" s="267">
        <v>196207.0</v>
      </c>
      <c r="B501" s="268">
        <v>0.06280000000000001</v>
      </c>
      <c r="C501" s="268">
        <f t="shared" si="4"/>
        <v>1.0628</v>
      </c>
    </row>
    <row r="502" ht="14.25" customHeight="1">
      <c r="A502" s="267">
        <v>196208.0</v>
      </c>
      <c r="B502" s="268">
        <v>0.0213</v>
      </c>
      <c r="C502" s="268">
        <f t="shared" si="4"/>
        <v>1.0213</v>
      </c>
    </row>
    <row r="503" ht="14.25" customHeight="1">
      <c r="A503" s="267">
        <v>196209.0</v>
      </c>
      <c r="B503" s="268">
        <v>-0.052199999999999996</v>
      </c>
      <c r="C503" s="268">
        <f t="shared" si="4"/>
        <v>0.9478</v>
      </c>
    </row>
    <row r="504" ht="14.25" customHeight="1">
      <c r="A504" s="267">
        <v>196210.0</v>
      </c>
      <c r="B504" s="268">
        <v>-5.0E-4</v>
      </c>
      <c r="C504" s="268">
        <f t="shared" si="4"/>
        <v>0.9995</v>
      </c>
    </row>
    <row r="505" ht="14.25" customHeight="1">
      <c r="A505" s="267">
        <v>196211.0</v>
      </c>
      <c r="B505" s="268">
        <v>0.10869999999999999</v>
      </c>
      <c r="C505" s="268">
        <f t="shared" si="4"/>
        <v>1.1087</v>
      </c>
    </row>
    <row r="506" ht="14.25" customHeight="1">
      <c r="A506" s="267">
        <v>196212.0</v>
      </c>
      <c r="B506" s="268">
        <v>0.0101</v>
      </c>
      <c r="C506" s="268">
        <f t="shared" si="4"/>
        <v>1.0101</v>
      </c>
    </row>
    <row r="507" ht="14.25" customHeight="1">
      <c r="A507" s="267">
        <v>196301.0</v>
      </c>
      <c r="B507" s="268">
        <v>0.0493</v>
      </c>
      <c r="C507" s="268">
        <f t="shared" si="4"/>
        <v>1.0493</v>
      </c>
    </row>
    <row r="508" ht="14.25" customHeight="1">
      <c r="A508" s="267">
        <v>196302.0</v>
      </c>
      <c r="B508" s="268">
        <v>-0.023799999999999998</v>
      </c>
      <c r="C508" s="268">
        <f t="shared" si="4"/>
        <v>0.9762</v>
      </c>
    </row>
    <row r="509" ht="14.25" customHeight="1">
      <c r="A509" s="267">
        <v>196303.0</v>
      </c>
      <c r="B509" s="268">
        <v>0.0308</v>
      </c>
      <c r="C509" s="268">
        <f t="shared" si="4"/>
        <v>1.0308</v>
      </c>
    </row>
    <row r="510" ht="14.25" customHeight="1">
      <c r="A510" s="267">
        <v>196304.0</v>
      </c>
      <c r="B510" s="268">
        <v>0.0451</v>
      </c>
      <c r="C510" s="268">
        <f t="shared" si="4"/>
        <v>1.0451</v>
      </c>
    </row>
    <row r="511" ht="14.25" customHeight="1">
      <c r="A511" s="267">
        <v>196305.0</v>
      </c>
      <c r="B511" s="268">
        <v>0.0176</v>
      </c>
      <c r="C511" s="268">
        <f t="shared" si="4"/>
        <v>1.0176</v>
      </c>
    </row>
    <row r="512" ht="14.25" customHeight="1">
      <c r="A512" s="267">
        <v>196306.0</v>
      </c>
      <c r="B512" s="268">
        <v>-0.02</v>
      </c>
      <c r="C512" s="268">
        <f t="shared" si="4"/>
        <v>0.98</v>
      </c>
    </row>
    <row r="513" ht="14.25" customHeight="1">
      <c r="A513" s="267">
        <v>196307.0</v>
      </c>
      <c r="B513" s="268">
        <v>-0.0039000000000000003</v>
      </c>
      <c r="C513" s="268">
        <f t="shared" si="4"/>
        <v>0.9961</v>
      </c>
    </row>
    <row r="514" ht="14.25" customHeight="1">
      <c r="A514" s="267">
        <v>196308.0</v>
      </c>
      <c r="B514" s="268">
        <v>0.0507</v>
      </c>
      <c r="C514" s="268">
        <f t="shared" si="4"/>
        <v>1.0507</v>
      </c>
    </row>
    <row r="515" ht="14.25" customHeight="1">
      <c r="A515" s="267">
        <v>196309.0</v>
      </c>
      <c r="B515" s="268">
        <v>-0.015700000000000002</v>
      </c>
      <c r="C515" s="268">
        <f t="shared" si="4"/>
        <v>0.9843</v>
      </c>
    </row>
    <row r="516" ht="14.25" customHeight="1">
      <c r="A516" s="267">
        <v>196310.0</v>
      </c>
      <c r="B516" s="268">
        <v>0.0253</v>
      </c>
      <c r="C516" s="268">
        <f t="shared" si="4"/>
        <v>1.0253</v>
      </c>
    </row>
    <row r="517" ht="14.25" customHeight="1">
      <c r="A517" s="267">
        <v>196311.0</v>
      </c>
      <c r="B517" s="268">
        <v>-0.0085</v>
      </c>
      <c r="C517" s="268">
        <f t="shared" si="4"/>
        <v>0.9915</v>
      </c>
    </row>
    <row r="518" ht="14.25" customHeight="1">
      <c r="A518" s="267">
        <v>196312.0</v>
      </c>
      <c r="B518" s="268">
        <v>0.0183</v>
      </c>
      <c r="C518" s="268">
        <f t="shared" si="4"/>
        <v>1.0183</v>
      </c>
    </row>
    <row r="519" ht="14.25" customHeight="1">
      <c r="A519" s="267">
        <v>196401.0</v>
      </c>
      <c r="B519" s="268">
        <v>0.022400000000000003</v>
      </c>
      <c r="C519" s="268">
        <f t="shared" si="4"/>
        <v>1.0224</v>
      </c>
    </row>
    <row r="520" ht="14.25" customHeight="1">
      <c r="A520" s="267">
        <v>196402.0</v>
      </c>
      <c r="B520" s="268">
        <v>0.0154</v>
      </c>
      <c r="C520" s="268">
        <f t="shared" si="4"/>
        <v>1.0154</v>
      </c>
    </row>
    <row r="521" ht="14.25" customHeight="1">
      <c r="A521" s="267">
        <v>196403.0</v>
      </c>
      <c r="B521" s="268">
        <v>0.0141</v>
      </c>
      <c r="C521" s="268">
        <f t="shared" si="4"/>
        <v>1.0141</v>
      </c>
    </row>
    <row r="522" ht="14.25" customHeight="1">
      <c r="A522" s="267">
        <v>196404.0</v>
      </c>
      <c r="B522" s="268">
        <v>0.001</v>
      </c>
      <c r="C522" s="268">
        <f t="shared" si="4"/>
        <v>1.001</v>
      </c>
    </row>
    <row r="523" ht="14.25" customHeight="1">
      <c r="A523" s="267">
        <v>196405.0</v>
      </c>
      <c r="B523" s="268">
        <v>0.014199999999999999</v>
      </c>
      <c r="C523" s="268">
        <f t="shared" si="4"/>
        <v>1.0142</v>
      </c>
    </row>
    <row r="524" ht="14.25" customHeight="1">
      <c r="A524" s="267">
        <v>196406.0</v>
      </c>
      <c r="B524" s="268">
        <v>0.0127</v>
      </c>
      <c r="C524" s="268">
        <f t="shared" si="4"/>
        <v>1.0127</v>
      </c>
    </row>
    <row r="525" ht="14.25" customHeight="1">
      <c r="A525" s="267">
        <v>196407.0</v>
      </c>
      <c r="B525" s="268">
        <v>0.0174</v>
      </c>
      <c r="C525" s="268">
        <f t="shared" si="4"/>
        <v>1.0174</v>
      </c>
    </row>
    <row r="526" ht="14.25" customHeight="1">
      <c r="A526" s="267">
        <v>196408.0</v>
      </c>
      <c r="B526" s="268">
        <v>-0.0144</v>
      </c>
      <c r="C526" s="268">
        <f t="shared" si="4"/>
        <v>0.9856</v>
      </c>
    </row>
    <row r="527" ht="14.25" customHeight="1">
      <c r="A527" s="267">
        <v>196409.0</v>
      </c>
      <c r="B527" s="268">
        <v>0.0269</v>
      </c>
      <c r="C527" s="268">
        <f t="shared" si="4"/>
        <v>1.0269</v>
      </c>
    </row>
    <row r="528" ht="14.25" customHeight="1">
      <c r="A528" s="267">
        <v>196410.0</v>
      </c>
      <c r="B528" s="268">
        <v>0.0059</v>
      </c>
      <c r="C528" s="268">
        <f t="shared" si="4"/>
        <v>1.0059</v>
      </c>
    </row>
    <row r="529" ht="14.25" customHeight="1">
      <c r="A529" s="267">
        <v>196411.0</v>
      </c>
      <c r="B529" s="268">
        <v>0.0</v>
      </c>
      <c r="C529" s="268">
        <f t="shared" si="4"/>
        <v>1</v>
      </c>
    </row>
    <row r="530" ht="14.25" customHeight="1">
      <c r="A530" s="267">
        <v>196412.0</v>
      </c>
      <c r="B530" s="268">
        <v>3.0E-4</v>
      </c>
      <c r="C530" s="268">
        <f t="shared" si="4"/>
        <v>1.0003</v>
      </c>
    </row>
    <row r="531" ht="14.25" customHeight="1">
      <c r="A531" s="267">
        <v>196501.0</v>
      </c>
      <c r="B531" s="268">
        <v>0.0354</v>
      </c>
      <c r="C531" s="268">
        <f t="shared" si="4"/>
        <v>1.0354</v>
      </c>
    </row>
    <row r="532" ht="14.25" customHeight="1">
      <c r="A532" s="267">
        <v>196502.0</v>
      </c>
      <c r="B532" s="268">
        <v>0.0044</v>
      </c>
      <c r="C532" s="268">
        <f t="shared" si="4"/>
        <v>1.0044</v>
      </c>
    </row>
    <row r="533" ht="14.25" customHeight="1">
      <c r="A533" s="267">
        <v>196503.0</v>
      </c>
      <c r="B533" s="268">
        <v>-0.0134</v>
      </c>
      <c r="C533" s="268">
        <f t="shared" si="4"/>
        <v>0.9866</v>
      </c>
    </row>
    <row r="534" ht="14.25" customHeight="1">
      <c r="A534" s="267">
        <v>196504.0</v>
      </c>
      <c r="B534" s="268">
        <v>0.0311</v>
      </c>
      <c r="C534" s="268">
        <f t="shared" si="4"/>
        <v>1.0311</v>
      </c>
    </row>
    <row r="535" ht="14.25" customHeight="1">
      <c r="A535" s="267">
        <v>196505.0</v>
      </c>
      <c r="B535" s="268">
        <v>-0.0077</v>
      </c>
      <c r="C535" s="268">
        <f t="shared" si="4"/>
        <v>0.9923</v>
      </c>
    </row>
    <row r="536" ht="14.25" customHeight="1">
      <c r="A536" s="267">
        <v>196506.0</v>
      </c>
      <c r="B536" s="268">
        <v>-0.055099999999999996</v>
      </c>
      <c r="C536" s="268">
        <f t="shared" si="4"/>
        <v>0.9449</v>
      </c>
    </row>
    <row r="537" ht="14.25" customHeight="1">
      <c r="A537" s="267">
        <v>196507.0</v>
      </c>
      <c r="B537" s="268">
        <v>0.0143</v>
      </c>
      <c r="C537" s="268">
        <f t="shared" si="4"/>
        <v>1.0143</v>
      </c>
    </row>
    <row r="538" ht="14.25" customHeight="1">
      <c r="A538" s="267">
        <v>196508.0</v>
      </c>
      <c r="B538" s="268">
        <v>0.0273</v>
      </c>
      <c r="C538" s="268">
        <f t="shared" si="4"/>
        <v>1.0273</v>
      </c>
    </row>
    <row r="539" ht="14.25" customHeight="1">
      <c r="A539" s="267">
        <v>196509.0</v>
      </c>
      <c r="B539" s="268">
        <v>0.0286</v>
      </c>
      <c r="C539" s="268">
        <f t="shared" si="4"/>
        <v>1.0286</v>
      </c>
    </row>
    <row r="540" ht="14.25" customHeight="1">
      <c r="A540" s="267">
        <v>196510.0</v>
      </c>
      <c r="B540" s="268">
        <v>0.026000000000000002</v>
      </c>
      <c r="C540" s="268">
        <f t="shared" si="4"/>
        <v>1.026</v>
      </c>
    </row>
    <row r="541" ht="14.25" customHeight="1">
      <c r="A541" s="267">
        <v>196511.0</v>
      </c>
      <c r="B541" s="268">
        <v>-3.0E-4</v>
      </c>
      <c r="C541" s="268">
        <f t="shared" si="4"/>
        <v>0.9997</v>
      </c>
    </row>
    <row r="542" ht="14.25" customHeight="1">
      <c r="A542" s="267">
        <v>196512.0</v>
      </c>
      <c r="B542" s="268">
        <v>0.0101</v>
      </c>
      <c r="C542" s="268">
        <f t="shared" si="4"/>
        <v>1.0101</v>
      </c>
    </row>
    <row r="543" ht="14.25" customHeight="1">
      <c r="A543" s="267">
        <v>196601.0</v>
      </c>
      <c r="B543" s="268">
        <v>0.0072</v>
      </c>
      <c r="C543" s="268">
        <f t="shared" si="4"/>
        <v>1.0072</v>
      </c>
    </row>
    <row r="544" ht="14.25" customHeight="1">
      <c r="A544" s="267">
        <v>196602.0</v>
      </c>
      <c r="B544" s="268">
        <v>-0.0121</v>
      </c>
      <c r="C544" s="268">
        <f t="shared" si="4"/>
        <v>0.9879</v>
      </c>
    </row>
    <row r="545" ht="14.25" customHeight="1">
      <c r="A545" s="267">
        <v>196603.0</v>
      </c>
      <c r="B545" s="268">
        <v>-0.025099999999999997</v>
      </c>
      <c r="C545" s="268">
        <f t="shared" si="4"/>
        <v>0.9749</v>
      </c>
    </row>
    <row r="546" ht="14.25" customHeight="1">
      <c r="A546" s="267">
        <v>196604.0</v>
      </c>
      <c r="B546" s="268">
        <v>0.021400000000000002</v>
      </c>
      <c r="C546" s="268">
        <f t="shared" si="4"/>
        <v>1.0214</v>
      </c>
    </row>
    <row r="547" ht="14.25" customHeight="1">
      <c r="A547" s="267">
        <v>196605.0</v>
      </c>
      <c r="B547" s="268">
        <v>-0.056600000000000004</v>
      </c>
      <c r="C547" s="268">
        <f t="shared" si="4"/>
        <v>0.9434</v>
      </c>
    </row>
    <row r="548" ht="14.25" customHeight="1">
      <c r="A548" s="267">
        <v>196606.0</v>
      </c>
      <c r="B548" s="268">
        <v>-0.0144</v>
      </c>
      <c r="C548" s="268">
        <f t="shared" si="4"/>
        <v>0.9856</v>
      </c>
    </row>
    <row r="549" ht="14.25" customHeight="1">
      <c r="A549" s="267">
        <v>196607.0</v>
      </c>
      <c r="B549" s="268">
        <v>-0.0163</v>
      </c>
      <c r="C549" s="268">
        <f t="shared" si="4"/>
        <v>0.9837</v>
      </c>
    </row>
    <row r="550" ht="14.25" customHeight="1">
      <c r="A550" s="267">
        <v>196608.0</v>
      </c>
      <c r="B550" s="268">
        <v>-0.0791</v>
      </c>
      <c r="C550" s="268">
        <f t="shared" si="4"/>
        <v>0.9209</v>
      </c>
    </row>
    <row r="551" ht="14.25" customHeight="1">
      <c r="A551" s="267">
        <v>196609.0</v>
      </c>
      <c r="B551" s="268">
        <v>-0.0106</v>
      </c>
      <c r="C551" s="268">
        <f t="shared" si="4"/>
        <v>0.9894</v>
      </c>
    </row>
    <row r="552" ht="14.25" customHeight="1">
      <c r="A552" s="267">
        <v>196610.0</v>
      </c>
      <c r="B552" s="268">
        <v>0.038599999999999995</v>
      </c>
      <c r="C552" s="268">
        <f t="shared" si="4"/>
        <v>1.0386</v>
      </c>
    </row>
    <row r="553" ht="14.25" customHeight="1">
      <c r="A553" s="267">
        <v>196611.0</v>
      </c>
      <c r="B553" s="268">
        <v>0.013999999999999999</v>
      </c>
      <c r="C553" s="268">
        <f t="shared" si="4"/>
        <v>1.014</v>
      </c>
    </row>
    <row r="554" ht="14.25" customHeight="1">
      <c r="A554" s="267">
        <v>196612.0</v>
      </c>
      <c r="B554" s="268">
        <v>0.0013</v>
      </c>
      <c r="C554" s="268">
        <f t="shared" si="4"/>
        <v>1.0013</v>
      </c>
    </row>
    <row r="555" ht="14.25" customHeight="1">
      <c r="A555" s="267">
        <v>196701.0</v>
      </c>
      <c r="B555" s="268">
        <v>0.0815</v>
      </c>
      <c r="C555" s="268">
        <f t="shared" si="4"/>
        <v>1.0815</v>
      </c>
    </row>
    <row r="556" ht="14.25" customHeight="1">
      <c r="A556" s="267">
        <v>196702.0</v>
      </c>
      <c r="B556" s="268">
        <v>0.0078000000000000005</v>
      </c>
      <c r="C556" s="268">
        <f t="shared" si="4"/>
        <v>1.0078</v>
      </c>
    </row>
    <row r="557" ht="14.25" customHeight="1">
      <c r="A557" s="267">
        <v>196703.0</v>
      </c>
      <c r="B557" s="268">
        <v>0.039900000000000005</v>
      </c>
      <c r="C557" s="268">
        <f t="shared" si="4"/>
        <v>1.0399</v>
      </c>
    </row>
    <row r="558" ht="14.25" customHeight="1">
      <c r="A558" s="267">
        <v>196704.0</v>
      </c>
      <c r="B558" s="268">
        <v>0.038900000000000004</v>
      </c>
      <c r="C558" s="268">
        <f t="shared" si="4"/>
        <v>1.0389</v>
      </c>
    </row>
    <row r="559" ht="14.25" customHeight="1">
      <c r="A559" s="267">
        <v>196705.0</v>
      </c>
      <c r="B559" s="268">
        <v>-0.0433</v>
      </c>
      <c r="C559" s="268">
        <f t="shared" si="4"/>
        <v>0.9567</v>
      </c>
    </row>
    <row r="560" ht="14.25" customHeight="1">
      <c r="A560" s="267">
        <v>196706.0</v>
      </c>
      <c r="B560" s="268">
        <v>0.0241</v>
      </c>
      <c r="C560" s="268">
        <f t="shared" si="4"/>
        <v>1.0241</v>
      </c>
    </row>
    <row r="561" ht="14.25" customHeight="1">
      <c r="A561" s="267">
        <v>196707.0</v>
      </c>
      <c r="B561" s="268">
        <v>0.0458</v>
      </c>
      <c r="C561" s="268">
        <f t="shared" si="4"/>
        <v>1.0458</v>
      </c>
    </row>
    <row r="562" ht="14.25" customHeight="1">
      <c r="A562" s="267">
        <v>196708.0</v>
      </c>
      <c r="B562" s="268">
        <v>-0.0089</v>
      </c>
      <c r="C562" s="268">
        <f t="shared" si="4"/>
        <v>0.9911</v>
      </c>
    </row>
    <row r="563" ht="14.25" customHeight="1">
      <c r="A563" s="267">
        <v>196709.0</v>
      </c>
      <c r="B563" s="268">
        <v>0.0311</v>
      </c>
      <c r="C563" s="268">
        <f t="shared" si="4"/>
        <v>1.0311</v>
      </c>
    </row>
    <row r="564" ht="14.25" customHeight="1">
      <c r="A564" s="267">
        <v>196710.0</v>
      </c>
      <c r="B564" s="268">
        <v>-0.030899999999999997</v>
      </c>
      <c r="C564" s="268">
        <f t="shared" si="4"/>
        <v>0.9691</v>
      </c>
    </row>
    <row r="565" ht="14.25" customHeight="1">
      <c r="A565" s="267">
        <v>196711.0</v>
      </c>
      <c r="B565" s="268">
        <v>0.0037</v>
      </c>
      <c r="C565" s="268">
        <f t="shared" si="4"/>
        <v>1.0037</v>
      </c>
    </row>
    <row r="566" ht="14.25" customHeight="1">
      <c r="A566" s="267">
        <v>196712.0</v>
      </c>
      <c r="B566" s="268">
        <v>0.0305</v>
      </c>
      <c r="C566" s="268">
        <f t="shared" si="4"/>
        <v>1.0305</v>
      </c>
    </row>
    <row r="567" ht="14.25" customHeight="1">
      <c r="A567" s="267">
        <v>196801.0</v>
      </c>
      <c r="B567" s="268">
        <v>-0.0406</v>
      </c>
      <c r="C567" s="268">
        <f t="shared" si="4"/>
        <v>0.9594</v>
      </c>
    </row>
    <row r="568" ht="14.25" customHeight="1">
      <c r="A568" s="267">
        <v>196802.0</v>
      </c>
      <c r="B568" s="268">
        <v>-0.0375</v>
      </c>
      <c r="C568" s="268">
        <f t="shared" si="4"/>
        <v>0.9625</v>
      </c>
    </row>
    <row r="569" ht="14.25" customHeight="1">
      <c r="A569" s="267">
        <v>196803.0</v>
      </c>
      <c r="B569" s="268">
        <v>0.002</v>
      </c>
      <c r="C569" s="268">
        <f t="shared" si="4"/>
        <v>1.002</v>
      </c>
    </row>
    <row r="570" ht="14.25" customHeight="1">
      <c r="A570" s="267">
        <v>196804.0</v>
      </c>
      <c r="B570" s="268">
        <v>0.09050000000000001</v>
      </c>
      <c r="C570" s="268">
        <f t="shared" si="4"/>
        <v>1.0905</v>
      </c>
    </row>
    <row r="571" ht="14.25" customHeight="1">
      <c r="A571" s="267">
        <v>196805.0</v>
      </c>
      <c r="B571" s="268">
        <v>0.022799999999999997</v>
      </c>
      <c r="C571" s="268">
        <f t="shared" si="4"/>
        <v>1.0228</v>
      </c>
    </row>
    <row r="572" ht="14.25" customHeight="1">
      <c r="A572" s="267">
        <v>196806.0</v>
      </c>
      <c r="B572" s="268">
        <v>0.0069</v>
      </c>
      <c r="C572" s="268">
        <f t="shared" si="4"/>
        <v>1.0069</v>
      </c>
    </row>
    <row r="573" ht="14.25" customHeight="1">
      <c r="A573" s="267">
        <v>196807.0</v>
      </c>
      <c r="B573" s="268">
        <v>-0.027200000000000002</v>
      </c>
      <c r="C573" s="268">
        <f t="shared" si="4"/>
        <v>0.9728</v>
      </c>
    </row>
    <row r="574" ht="14.25" customHeight="1">
      <c r="A574" s="267">
        <v>196808.0</v>
      </c>
      <c r="B574" s="268">
        <v>0.0134</v>
      </c>
      <c r="C574" s="268">
        <f t="shared" si="4"/>
        <v>1.0134</v>
      </c>
    </row>
    <row r="575" ht="14.25" customHeight="1">
      <c r="A575" s="267">
        <v>196809.0</v>
      </c>
      <c r="B575" s="268">
        <v>0.0403</v>
      </c>
      <c r="C575" s="268">
        <f t="shared" si="4"/>
        <v>1.0403</v>
      </c>
    </row>
    <row r="576" ht="14.25" customHeight="1">
      <c r="A576" s="267">
        <v>196810.0</v>
      </c>
      <c r="B576" s="268">
        <v>0.0042</v>
      </c>
      <c r="C576" s="268">
        <f t="shared" si="4"/>
        <v>1.0042</v>
      </c>
    </row>
    <row r="577" ht="14.25" customHeight="1">
      <c r="A577" s="267">
        <v>196811.0</v>
      </c>
      <c r="B577" s="268">
        <v>0.054299999999999994</v>
      </c>
      <c r="C577" s="268">
        <f t="shared" si="4"/>
        <v>1.0543</v>
      </c>
    </row>
    <row r="578" ht="14.25" customHeight="1">
      <c r="A578" s="267">
        <v>196812.0</v>
      </c>
      <c r="B578" s="268">
        <v>-0.0394</v>
      </c>
      <c r="C578" s="268">
        <f t="shared" si="4"/>
        <v>0.9606</v>
      </c>
    </row>
    <row r="579" ht="14.25" customHeight="1">
      <c r="A579" s="267">
        <v>196901.0</v>
      </c>
      <c r="B579" s="268">
        <v>-0.0125</v>
      </c>
      <c r="C579" s="268">
        <f t="shared" si="4"/>
        <v>0.9875</v>
      </c>
    </row>
    <row r="580" ht="14.25" customHeight="1">
      <c r="A580" s="267">
        <v>196902.0</v>
      </c>
      <c r="B580" s="268">
        <v>-0.0584</v>
      </c>
      <c r="C580" s="268">
        <f t="shared" si="4"/>
        <v>0.9416</v>
      </c>
    </row>
    <row r="581" ht="14.25" customHeight="1">
      <c r="A581" s="267">
        <v>196903.0</v>
      </c>
      <c r="B581" s="268">
        <v>0.0264</v>
      </c>
      <c r="C581" s="268">
        <f t="shared" si="4"/>
        <v>1.0264</v>
      </c>
    </row>
    <row r="582" ht="14.25" customHeight="1">
      <c r="A582" s="267">
        <v>196904.0</v>
      </c>
      <c r="B582" s="268">
        <v>0.0146</v>
      </c>
      <c r="C582" s="268">
        <f t="shared" si="4"/>
        <v>1.0146</v>
      </c>
    </row>
    <row r="583" ht="14.25" customHeight="1">
      <c r="A583" s="267">
        <v>196905.0</v>
      </c>
      <c r="B583" s="268">
        <v>-0.001</v>
      </c>
      <c r="C583" s="268">
        <f t="shared" si="4"/>
        <v>0.999</v>
      </c>
    </row>
    <row r="584" ht="14.25" customHeight="1">
      <c r="A584" s="267">
        <v>196906.0</v>
      </c>
      <c r="B584" s="268">
        <v>-0.0718</v>
      </c>
      <c r="C584" s="268">
        <f t="shared" si="4"/>
        <v>0.9282</v>
      </c>
    </row>
    <row r="585" ht="14.25" customHeight="1">
      <c r="A585" s="267">
        <v>196907.0</v>
      </c>
      <c r="B585" s="268">
        <v>-0.07</v>
      </c>
      <c r="C585" s="268">
        <f t="shared" si="4"/>
        <v>0.93</v>
      </c>
    </row>
    <row r="586" ht="14.25" customHeight="1">
      <c r="A586" s="267">
        <v>196908.0</v>
      </c>
      <c r="B586" s="268">
        <v>0.046799999999999994</v>
      </c>
      <c r="C586" s="268">
        <f t="shared" si="4"/>
        <v>1.0468</v>
      </c>
    </row>
    <row r="587" ht="14.25" customHeight="1">
      <c r="A587" s="267">
        <v>196909.0</v>
      </c>
      <c r="B587" s="268">
        <v>-0.0298</v>
      </c>
      <c r="C587" s="268">
        <f t="shared" si="4"/>
        <v>0.9702</v>
      </c>
    </row>
    <row r="588" ht="14.25" customHeight="1">
      <c r="A588" s="267">
        <v>196910.0</v>
      </c>
      <c r="B588" s="268">
        <v>0.0506</v>
      </c>
      <c r="C588" s="268">
        <f t="shared" si="4"/>
        <v>1.0506</v>
      </c>
    </row>
    <row r="589" ht="14.25" customHeight="1">
      <c r="A589" s="267">
        <v>196911.0</v>
      </c>
      <c r="B589" s="268">
        <v>-0.0379</v>
      </c>
      <c r="C589" s="268">
        <f t="shared" si="4"/>
        <v>0.9621</v>
      </c>
    </row>
    <row r="590" ht="14.25" customHeight="1">
      <c r="A590" s="267">
        <v>196912.0</v>
      </c>
      <c r="B590" s="268">
        <v>-0.0263</v>
      </c>
      <c r="C590" s="268">
        <f t="shared" si="4"/>
        <v>0.9737</v>
      </c>
    </row>
    <row r="591" ht="14.25" customHeight="1">
      <c r="A591" s="267">
        <v>197001.0</v>
      </c>
      <c r="B591" s="268">
        <v>-0.081</v>
      </c>
      <c r="C591" s="268">
        <f t="shared" si="4"/>
        <v>0.919</v>
      </c>
    </row>
    <row r="592" ht="14.25" customHeight="1">
      <c r="A592" s="267">
        <v>197002.0</v>
      </c>
      <c r="B592" s="268">
        <v>0.0513</v>
      </c>
      <c r="C592" s="268">
        <f t="shared" si="4"/>
        <v>1.0513</v>
      </c>
    </row>
    <row r="593" ht="14.25" customHeight="1">
      <c r="A593" s="267">
        <v>197003.0</v>
      </c>
      <c r="B593" s="268">
        <v>-0.0106</v>
      </c>
      <c r="C593" s="268">
        <f t="shared" si="4"/>
        <v>0.9894</v>
      </c>
    </row>
    <row r="594" ht="14.25" customHeight="1">
      <c r="A594" s="267">
        <v>197004.0</v>
      </c>
      <c r="B594" s="268">
        <v>-0.11</v>
      </c>
      <c r="C594" s="268">
        <f t="shared" si="4"/>
        <v>0.89</v>
      </c>
    </row>
    <row r="595" ht="14.25" customHeight="1">
      <c r="A595" s="267">
        <v>197005.0</v>
      </c>
      <c r="B595" s="268">
        <v>-0.0692</v>
      </c>
      <c r="C595" s="268">
        <f t="shared" si="4"/>
        <v>0.9308</v>
      </c>
    </row>
    <row r="596" ht="14.25" customHeight="1">
      <c r="A596" s="267">
        <v>197006.0</v>
      </c>
      <c r="B596" s="268">
        <v>-0.0579</v>
      </c>
      <c r="C596" s="268">
        <f t="shared" si="4"/>
        <v>0.9421</v>
      </c>
    </row>
    <row r="597" ht="14.25" customHeight="1">
      <c r="A597" s="267">
        <v>197007.0</v>
      </c>
      <c r="B597" s="268">
        <v>0.0693</v>
      </c>
      <c r="C597" s="268">
        <f t="shared" si="4"/>
        <v>1.0693</v>
      </c>
    </row>
    <row r="598" ht="14.25" customHeight="1">
      <c r="A598" s="267">
        <v>197008.0</v>
      </c>
      <c r="B598" s="268">
        <v>0.0449</v>
      </c>
      <c r="C598" s="268">
        <f t="shared" si="4"/>
        <v>1.0449</v>
      </c>
    </row>
    <row r="599" ht="14.25" customHeight="1">
      <c r="A599" s="267">
        <v>197009.0</v>
      </c>
      <c r="B599" s="268">
        <v>0.0418</v>
      </c>
      <c r="C599" s="268">
        <f t="shared" si="4"/>
        <v>1.0418</v>
      </c>
    </row>
    <row r="600" ht="14.25" customHeight="1">
      <c r="A600" s="267">
        <v>197010.0</v>
      </c>
      <c r="B600" s="268">
        <v>-0.022799999999999997</v>
      </c>
      <c r="C600" s="268">
        <f t="shared" si="4"/>
        <v>0.9772</v>
      </c>
    </row>
    <row r="601" ht="14.25" customHeight="1">
      <c r="A601" s="267">
        <v>197011.0</v>
      </c>
      <c r="B601" s="268">
        <v>0.046</v>
      </c>
      <c r="C601" s="268">
        <f t="shared" si="4"/>
        <v>1.046</v>
      </c>
    </row>
    <row r="602" ht="14.25" customHeight="1">
      <c r="A602" s="267">
        <v>197012.0</v>
      </c>
      <c r="B602" s="268">
        <v>0.0572</v>
      </c>
      <c r="C602" s="268">
        <f t="shared" si="4"/>
        <v>1.0572</v>
      </c>
    </row>
    <row r="603" ht="14.25" customHeight="1">
      <c r="A603" s="267">
        <v>197101.0</v>
      </c>
      <c r="B603" s="268">
        <v>0.0484</v>
      </c>
      <c r="C603" s="268">
        <f t="shared" si="4"/>
        <v>1.0484</v>
      </c>
    </row>
    <row r="604" ht="14.25" customHeight="1">
      <c r="A604" s="267">
        <v>197102.0</v>
      </c>
      <c r="B604" s="268">
        <v>0.0141</v>
      </c>
      <c r="C604" s="268">
        <f t="shared" si="4"/>
        <v>1.0141</v>
      </c>
    </row>
    <row r="605" ht="14.25" customHeight="1">
      <c r="A605" s="267">
        <v>197103.0</v>
      </c>
      <c r="B605" s="268">
        <v>0.041299999999999996</v>
      </c>
      <c r="C605" s="268">
        <f t="shared" si="4"/>
        <v>1.0413</v>
      </c>
    </row>
    <row r="606" ht="14.25" customHeight="1">
      <c r="A606" s="267">
        <v>197104.0</v>
      </c>
      <c r="B606" s="268">
        <v>0.0315</v>
      </c>
      <c r="C606" s="268">
        <f t="shared" si="4"/>
        <v>1.0315</v>
      </c>
    </row>
    <row r="607" ht="14.25" customHeight="1">
      <c r="A607" s="267">
        <v>197105.0</v>
      </c>
      <c r="B607" s="268">
        <v>-0.0398</v>
      </c>
      <c r="C607" s="268">
        <f t="shared" si="4"/>
        <v>0.9602</v>
      </c>
    </row>
    <row r="608" ht="14.25" customHeight="1">
      <c r="A608" s="267">
        <v>197106.0</v>
      </c>
      <c r="B608" s="268">
        <v>-0.001</v>
      </c>
      <c r="C608" s="268">
        <f t="shared" si="4"/>
        <v>0.999</v>
      </c>
    </row>
    <row r="609" ht="14.25" customHeight="1">
      <c r="A609" s="267">
        <v>197107.0</v>
      </c>
      <c r="B609" s="268">
        <v>-0.045</v>
      </c>
      <c r="C609" s="268">
        <f t="shared" si="4"/>
        <v>0.955</v>
      </c>
    </row>
    <row r="610" ht="14.25" customHeight="1">
      <c r="A610" s="267">
        <v>197108.0</v>
      </c>
      <c r="B610" s="268">
        <v>0.0379</v>
      </c>
      <c r="C610" s="268">
        <f t="shared" si="4"/>
        <v>1.0379</v>
      </c>
    </row>
    <row r="611" ht="14.25" customHeight="1">
      <c r="A611" s="267">
        <v>197109.0</v>
      </c>
      <c r="B611" s="268">
        <v>-0.0085</v>
      </c>
      <c r="C611" s="268">
        <f t="shared" si="4"/>
        <v>0.9915</v>
      </c>
    </row>
    <row r="612" ht="14.25" customHeight="1">
      <c r="A612" s="267">
        <v>197110.0</v>
      </c>
      <c r="B612" s="268">
        <v>-0.044199999999999996</v>
      </c>
      <c r="C612" s="268">
        <f t="shared" si="4"/>
        <v>0.9558</v>
      </c>
    </row>
    <row r="613" ht="14.25" customHeight="1">
      <c r="A613" s="267">
        <v>197111.0</v>
      </c>
      <c r="B613" s="268">
        <v>-0.0046</v>
      </c>
      <c r="C613" s="268">
        <f t="shared" si="4"/>
        <v>0.9954</v>
      </c>
    </row>
    <row r="614" ht="14.25" customHeight="1">
      <c r="A614" s="267">
        <v>197112.0</v>
      </c>
      <c r="B614" s="268">
        <v>0.08710000000000001</v>
      </c>
      <c r="C614" s="268">
        <f t="shared" si="4"/>
        <v>1.0871</v>
      </c>
    </row>
    <row r="615" ht="14.25" customHeight="1">
      <c r="A615" s="267">
        <v>197201.0</v>
      </c>
      <c r="B615" s="268">
        <v>0.024900000000000002</v>
      </c>
      <c r="C615" s="268">
        <f t="shared" si="4"/>
        <v>1.0249</v>
      </c>
    </row>
    <row r="616" ht="14.25" customHeight="1">
      <c r="A616" s="267">
        <v>197202.0</v>
      </c>
      <c r="B616" s="268">
        <v>0.0287</v>
      </c>
      <c r="C616" s="268">
        <f t="shared" si="4"/>
        <v>1.0287</v>
      </c>
    </row>
    <row r="617" ht="14.25" customHeight="1">
      <c r="A617" s="267">
        <v>197203.0</v>
      </c>
      <c r="B617" s="268">
        <v>0.0063</v>
      </c>
      <c r="C617" s="268">
        <f t="shared" si="4"/>
        <v>1.0063</v>
      </c>
    </row>
    <row r="618" ht="14.25" customHeight="1">
      <c r="A618" s="267">
        <v>197204.0</v>
      </c>
      <c r="B618" s="268">
        <v>0.0029</v>
      </c>
      <c r="C618" s="268">
        <f t="shared" si="4"/>
        <v>1.0029</v>
      </c>
    </row>
    <row r="619" ht="14.25" customHeight="1">
      <c r="A619" s="267">
        <v>197205.0</v>
      </c>
      <c r="B619" s="268">
        <v>0.0125</v>
      </c>
      <c r="C619" s="268">
        <f t="shared" si="4"/>
        <v>1.0125</v>
      </c>
    </row>
    <row r="620" ht="14.25" customHeight="1">
      <c r="A620" s="267">
        <v>197206.0</v>
      </c>
      <c r="B620" s="268">
        <v>-0.024300000000000002</v>
      </c>
      <c r="C620" s="268">
        <f t="shared" si="4"/>
        <v>0.9757</v>
      </c>
    </row>
    <row r="621" ht="14.25" customHeight="1">
      <c r="A621" s="267">
        <v>197207.0</v>
      </c>
      <c r="B621" s="268">
        <v>-0.008</v>
      </c>
      <c r="C621" s="268">
        <f t="shared" si="4"/>
        <v>0.992</v>
      </c>
    </row>
    <row r="622" ht="14.25" customHeight="1">
      <c r="A622" s="267">
        <v>197208.0</v>
      </c>
      <c r="B622" s="268">
        <v>0.0326</v>
      </c>
      <c r="C622" s="268">
        <f t="shared" si="4"/>
        <v>1.0326</v>
      </c>
    </row>
    <row r="623" ht="14.25" customHeight="1">
      <c r="A623" s="267">
        <v>197209.0</v>
      </c>
      <c r="B623" s="268">
        <v>-0.011399999999999999</v>
      </c>
      <c r="C623" s="268">
        <f t="shared" si="4"/>
        <v>0.9886</v>
      </c>
    </row>
    <row r="624" ht="14.25" customHeight="1">
      <c r="A624" s="267">
        <v>197210.0</v>
      </c>
      <c r="B624" s="268">
        <v>0.0052</v>
      </c>
      <c r="C624" s="268">
        <f t="shared" si="4"/>
        <v>1.0052</v>
      </c>
    </row>
    <row r="625" ht="14.25" customHeight="1">
      <c r="A625" s="267">
        <v>197211.0</v>
      </c>
      <c r="B625" s="268">
        <v>0.046</v>
      </c>
      <c r="C625" s="268">
        <f t="shared" si="4"/>
        <v>1.046</v>
      </c>
    </row>
    <row r="626" ht="14.25" customHeight="1">
      <c r="A626" s="267">
        <v>197212.0</v>
      </c>
      <c r="B626" s="268">
        <v>0.0062</v>
      </c>
      <c r="C626" s="268">
        <f t="shared" si="4"/>
        <v>1.0062</v>
      </c>
    </row>
    <row r="627" ht="14.25" customHeight="1">
      <c r="A627" s="267">
        <v>197301.0</v>
      </c>
      <c r="B627" s="268">
        <v>-0.0329</v>
      </c>
      <c r="C627" s="268">
        <f t="shared" si="4"/>
        <v>0.9671</v>
      </c>
    </row>
    <row r="628" ht="14.25" customHeight="1">
      <c r="A628" s="267">
        <v>197302.0</v>
      </c>
      <c r="B628" s="268">
        <v>-0.048499999999999995</v>
      </c>
      <c r="C628" s="268">
        <f t="shared" si="4"/>
        <v>0.9515</v>
      </c>
    </row>
    <row r="629" ht="14.25" customHeight="1">
      <c r="A629" s="267">
        <v>197303.0</v>
      </c>
      <c r="B629" s="268">
        <v>-0.013000000000000001</v>
      </c>
      <c r="C629" s="268">
        <f t="shared" si="4"/>
        <v>0.987</v>
      </c>
    </row>
    <row r="630" ht="14.25" customHeight="1">
      <c r="A630" s="267">
        <v>197304.0</v>
      </c>
      <c r="B630" s="268">
        <v>-0.056799999999999996</v>
      </c>
      <c r="C630" s="268">
        <f t="shared" si="4"/>
        <v>0.9432</v>
      </c>
    </row>
    <row r="631" ht="14.25" customHeight="1">
      <c r="A631" s="267">
        <v>197305.0</v>
      </c>
      <c r="B631" s="268">
        <v>-0.0294</v>
      </c>
      <c r="C631" s="268">
        <f t="shared" si="4"/>
        <v>0.9706</v>
      </c>
    </row>
    <row r="632" ht="14.25" customHeight="1">
      <c r="A632" s="267">
        <v>197306.0</v>
      </c>
      <c r="B632" s="268">
        <v>-0.015600000000000001</v>
      </c>
      <c r="C632" s="268">
        <f t="shared" si="4"/>
        <v>0.9844</v>
      </c>
    </row>
    <row r="633" ht="14.25" customHeight="1">
      <c r="A633" s="267">
        <v>197307.0</v>
      </c>
      <c r="B633" s="268">
        <v>0.050499999999999996</v>
      </c>
      <c r="C633" s="268">
        <f t="shared" si="4"/>
        <v>1.0505</v>
      </c>
    </row>
    <row r="634" ht="14.25" customHeight="1">
      <c r="A634" s="267">
        <v>197308.0</v>
      </c>
      <c r="B634" s="268">
        <v>-0.0382</v>
      </c>
      <c r="C634" s="268">
        <f t="shared" si="4"/>
        <v>0.9618</v>
      </c>
    </row>
    <row r="635" ht="14.25" customHeight="1">
      <c r="A635" s="267">
        <v>197309.0</v>
      </c>
      <c r="B635" s="268">
        <v>0.0475</v>
      </c>
      <c r="C635" s="268">
        <f t="shared" si="4"/>
        <v>1.0475</v>
      </c>
    </row>
    <row r="636" ht="14.25" customHeight="1">
      <c r="A636" s="267">
        <v>197310.0</v>
      </c>
      <c r="B636" s="268">
        <v>-0.0083</v>
      </c>
      <c r="C636" s="268">
        <f t="shared" si="4"/>
        <v>0.9917</v>
      </c>
    </row>
    <row r="637" ht="14.25" customHeight="1">
      <c r="A637" s="267">
        <v>197311.0</v>
      </c>
      <c r="B637" s="268">
        <v>-0.1275</v>
      </c>
      <c r="C637" s="268">
        <f t="shared" si="4"/>
        <v>0.8725</v>
      </c>
    </row>
    <row r="638" ht="14.25" customHeight="1">
      <c r="A638" s="267">
        <v>197312.0</v>
      </c>
      <c r="B638" s="268">
        <v>0.0060999999999999995</v>
      </c>
      <c r="C638" s="268">
        <f t="shared" si="4"/>
        <v>1.0061</v>
      </c>
    </row>
    <row r="639" ht="14.25" customHeight="1">
      <c r="A639" s="267">
        <v>197401.0</v>
      </c>
      <c r="B639" s="268">
        <v>-0.0017000000000000001</v>
      </c>
      <c r="C639" s="268">
        <f t="shared" si="4"/>
        <v>0.9983</v>
      </c>
    </row>
    <row r="640" ht="14.25" customHeight="1">
      <c r="A640" s="267">
        <v>197402.0</v>
      </c>
      <c r="B640" s="268">
        <v>-0.004699999999999999</v>
      </c>
      <c r="C640" s="268">
        <f t="shared" si="4"/>
        <v>0.9953</v>
      </c>
    </row>
    <row r="641" ht="14.25" customHeight="1">
      <c r="A641" s="267">
        <v>197403.0</v>
      </c>
      <c r="B641" s="268">
        <v>-0.0281</v>
      </c>
      <c r="C641" s="268">
        <f t="shared" si="4"/>
        <v>0.9719</v>
      </c>
    </row>
    <row r="642" ht="14.25" customHeight="1">
      <c r="A642" s="267">
        <v>197404.0</v>
      </c>
      <c r="B642" s="268">
        <v>-0.0529</v>
      </c>
      <c r="C642" s="268">
        <f t="shared" si="4"/>
        <v>0.9471</v>
      </c>
    </row>
    <row r="643" ht="14.25" customHeight="1">
      <c r="A643" s="267">
        <v>197405.0</v>
      </c>
      <c r="B643" s="268">
        <v>-0.046799999999999994</v>
      </c>
      <c r="C643" s="268">
        <f t="shared" si="4"/>
        <v>0.9532</v>
      </c>
    </row>
    <row r="644" ht="14.25" customHeight="1">
      <c r="A644" s="267">
        <v>197406.0</v>
      </c>
      <c r="B644" s="268">
        <v>-0.028300000000000002</v>
      </c>
      <c r="C644" s="268">
        <f t="shared" si="4"/>
        <v>0.9717</v>
      </c>
    </row>
    <row r="645" ht="14.25" customHeight="1">
      <c r="A645" s="267">
        <v>197407.0</v>
      </c>
      <c r="B645" s="268">
        <v>-0.0805</v>
      </c>
      <c r="C645" s="268">
        <f t="shared" si="4"/>
        <v>0.9195</v>
      </c>
    </row>
    <row r="646" ht="14.25" customHeight="1">
      <c r="A646" s="267">
        <v>197408.0</v>
      </c>
      <c r="B646" s="268">
        <v>-0.0935</v>
      </c>
      <c r="C646" s="268">
        <f t="shared" si="4"/>
        <v>0.9065</v>
      </c>
    </row>
    <row r="647" ht="14.25" customHeight="1">
      <c r="A647" s="267">
        <v>197409.0</v>
      </c>
      <c r="B647" s="268">
        <v>-0.1177</v>
      </c>
      <c r="C647" s="268">
        <f t="shared" si="4"/>
        <v>0.8823</v>
      </c>
    </row>
    <row r="648" ht="14.25" customHeight="1">
      <c r="A648" s="267">
        <v>197410.0</v>
      </c>
      <c r="B648" s="268">
        <v>0.161</v>
      </c>
      <c r="C648" s="268">
        <f t="shared" si="4"/>
        <v>1.161</v>
      </c>
    </row>
    <row r="649" ht="14.25" customHeight="1">
      <c r="A649" s="267">
        <v>197411.0</v>
      </c>
      <c r="B649" s="268">
        <v>-0.0451</v>
      </c>
      <c r="C649" s="268">
        <f t="shared" si="4"/>
        <v>0.9549</v>
      </c>
    </row>
    <row r="650" ht="14.25" customHeight="1">
      <c r="A650" s="267">
        <v>197412.0</v>
      </c>
      <c r="B650" s="268">
        <v>-0.0345</v>
      </c>
      <c r="C650" s="268">
        <f t="shared" si="4"/>
        <v>0.9655</v>
      </c>
    </row>
    <row r="651" ht="14.25" customHeight="1">
      <c r="A651" s="267">
        <v>197501.0</v>
      </c>
      <c r="B651" s="268">
        <v>0.1366</v>
      </c>
      <c r="C651" s="268">
        <f t="shared" si="4"/>
        <v>1.1366</v>
      </c>
    </row>
    <row r="652" ht="14.25" customHeight="1">
      <c r="A652" s="267">
        <v>197502.0</v>
      </c>
      <c r="B652" s="268">
        <v>0.0556</v>
      </c>
      <c r="C652" s="268">
        <f t="shared" si="4"/>
        <v>1.0556</v>
      </c>
    </row>
    <row r="653" ht="14.25" customHeight="1">
      <c r="A653" s="267">
        <v>197503.0</v>
      </c>
      <c r="B653" s="268">
        <v>0.026600000000000002</v>
      </c>
      <c r="C653" s="268">
        <f t="shared" si="4"/>
        <v>1.0266</v>
      </c>
    </row>
    <row r="654" ht="14.25" customHeight="1">
      <c r="A654" s="267">
        <v>197504.0</v>
      </c>
      <c r="B654" s="268">
        <v>0.042300000000000004</v>
      </c>
      <c r="C654" s="268">
        <f t="shared" si="4"/>
        <v>1.0423</v>
      </c>
    </row>
    <row r="655" ht="14.25" customHeight="1">
      <c r="A655" s="267">
        <v>197505.0</v>
      </c>
      <c r="B655" s="268">
        <v>0.0519</v>
      </c>
      <c r="C655" s="268">
        <f t="shared" si="4"/>
        <v>1.0519</v>
      </c>
    </row>
    <row r="656" ht="14.25" customHeight="1">
      <c r="A656" s="267">
        <v>197506.0</v>
      </c>
      <c r="B656" s="268">
        <v>0.0483</v>
      </c>
      <c r="C656" s="268">
        <f t="shared" si="4"/>
        <v>1.0483</v>
      </c>
    </row>
    <row r="657" ht="14.25" customHeight="1">
      <c r="A657" s="267">
        <v>197507.0</v>
      </c>
      <c r="B657" s="268">
        <v>-0.0659</v>
      </c>
      <c r="C657" s="268">
        <f t="shared" si="4"/>
        <v>0.9341</v>
      </c>
    </row>
    <row r="658" ht="14.25" customHeight="1">
      <c r="A658" s="267">
        <v>197508.0</v>
      </c>
      <c r="B658" s="268">
        <v>-0.0285</v>
      </c>
      <c r="C658" s="268">
        <f t="shared" si="4"/>
        <v>0.9715</v>
      </c>
    </row>
    <row r="659" ht="14.25" customHeight="1">
      <c r="A659" s="267">
        <v>197509.0</v>
      </c>
      <c r="B659" s="268">
        <v>-0.0426</v>
      </c>
      <c r="C659" s="268">
        <f t="shared" si="4"/>
        <v>0.9574</v>
      </c>
    </row>
    <row r="660" ht="14.25" customHeight="1">
      <c r="A660" s="267">
        <v>197510.0</v>
      </c>
      <c r="B660" s="268">
        <v>0.053099999999999994</v>
      </c>
      <c r="C660" s="268">
        <f t="shared" si="4"/>
        <v>1.0531</v>
      </c>
    </row>
    <row r="661" ht="14.25" customHeight="1">
      <c r="A661" s="267">
        <v>197511.0</v>
      </c>
      <c r="B661" s="268">
        <v>0.0264</v>
      </c>
      <c r="C661" s="268">
        <f t="shared" si="4"/>
        <v>1.0264</v>
      </c>
    </row>
    <row r="662" ht="14.25" customHeight="1">
      <c r="A662" s="267">
        <v>197512.0</v>
      </c>
      <c r="B662" s="268">
        <v>-0.016</v>
      </c>
      <c r="C662" s="268">
        <f t="shared" si="4"/>
        <v>0.984</v>
      </c>
    </row>
    <row r="663" ht="14.25" customHeight="1">
      <c r="A663" s="267">
        <v>197601.0</v>
      </c>
      <c r="B663" s="268">
        <v>0.1216</v>
      </c>
      <c r="C663" s="268">
        <f t="shared" si="4"/>
        <v>1.1216</v>
      </c>
    </row>
    <row r="664" ht="14.25" customHeight="1">
      <c r="A664" s="267">
        <v>197602.0</v>
      </c>
      <c r="B664" s="268">
        <v>0.0032</v>
      </c>
      <c r="C664" s="268">
        <f t="shared" si="4"/>
        <v>1.0032</v>
      </c>
    </row>
    <row r="665" ht="14.25" customHeight="1">
      <c r="A665" s="267">
        <v>197603.0</v>
      </c>
      <c r="B665" s="268">
        <v>0.0232</v>
      </c>
      <c r="C665" s="268">
        <f t="shared" si="4"/>
        <v>1.0232</v>
      </c>
    </row>
    <row r="666" ht="14.25" customHeight="1">
      <c r="A666" s="267">
        <v>197604.0</v>
      </c>
      <c r="B666" s="268">
        <v>-0.0149</v>
      </c>
      <c r="C666" s="268">
        <f t="shared" si="4"/>
        <v>0.9851</v>
      </c>
    </row>
    <row r="667" ht="14.25" customHeight="1">
      <c r="A667" s="267">
        <v>197605.0</v>
      </c>
      <c r="B667" s="268">
        <v>-0.0134</v>
      </c>
      <c r="C667" s="268">
        <f t="shared" si="4"/>
        <v>0.9866</v>
      </c>
    </row>
    <row r="668" ht="14.25" customHeight="1">
      <c r="A668" s="267">
        <v>197606.0</v>
      </c>
      <c r="B668" s="268">
        <v>0.0405</v>
      </c>
      <c r="C668" s="268">
        <f t="shared" si="4"/>
        <v>1.0405</v>
      </c>
    </row>
    <row r="669" ht="14.25" customHeight="1">
      <c r="A669" s="267">
        <v>197607.0</v>
      </c>
      <c r="B669" s="268">
        <v>-0.010700000000000001</v>
      </c>
      <c r="C669" s="268">
        <f t="shared" si="4"/>
        <v>0.9893</v>
      </c>
    </row>
    <row r="670" ht="14.25" customHeight="1">
      <c r="A670" s="267">
        <v>197608.0</v>
      </c>
      <c r="B670" s="268">
        <v>-0.005600000000000001</v>
      </c>
      <c r="C670" s="268">
        <f t="shared" si="4"/>
        <v>0.9944</v>
      </c>
    </row>
    <row r="671" ht="14.25" customHeight="1">
      <c r="A671" s="267">
        <v>197609.0</v>
      </c>
      <c r="B671" s="268">
        <v>0.0207</v>
      </c>
      <c r="C671" s="268">
        <f t="shared" si="4"/>
        <v>1.0207</v>
      </c>
    </row>
    <row r="672" ht="14.25" customHeight="1">
      <c r="A672" s="267">
        <v>197610.0</v>
      </c>
      <c r="B672" s="268">
        <v>-0.0242</v>
      </c>
      <c r="C672" s="268">
        <f t="shared" si="4"/>
        <v>0.9758</v>
      </c>
    </row>
    <row r="673" ht="14.25" customHeight="1">
      <c r="A673" s="267">
        <v>197611.0</v>
      </c>
      <c r="B673" s="268">
        <v>0.0036</v>
      </c>
      <c r="C673" s="268">
        <f t="shared" si="4"/>
        <v>1.0036</v>
      </c>
    </row>
    <row r="674" ht="14.25" customHeight="1">
      <c r="A674" s="267">
        <v>197612.0</v>
      </c>
      <c r="B674" s="268">
        <v>0.0565</v>
      </c>
      <c r="C674" s="268">
        <f t="shared" si="4"/>
        <v>1.0565</v>
      </c>
    </row>
    <row r="675" ht="14.25" customHeight="1">
      <c r="A675" s="267">
        <v>197701.0</v>
      </c>
      <c r="B675" s="268">
        <v>-0.0405</v>
      </c>
      <c r="C675" s="268">
        <f t="shared" si="4"/>
        <v>0.9595</v>
      </c>
    </row>
    <row r="676" ht="14.25" customHeight="1">
      <c r="A676" s="267">
        <v>197702.0</v>
      </c>
      <c r="B676" s="268">
        <v>-0.0194</v>
      </c>
      <c r="C676" s="268">
        <f t="shared" si="4"/>
        <v>0.9806</v>
      </c>
    </row>
    <row r="677" ht="14.25" customHeight="1">
      <c r="A677" s="267">
        <v>197703.0</v>
      </c>
      <c r="B677" s="268">
        <v>-0.0137</v>
      </c>
      <c r="C677" s="268">
        <f t="shared" si="4"/>
        <v>0.9863</v>
      </c>
    </row>
    <row r="678" ht="14.25" customHeight="1">
      <c r="A678" s="267">
        <v>197704.0</v>
      </c>
      <c r="B678" s="268">
        <v>0.0015</v>
      </c>
      <c r="C678" s="268">
        <f t="shared" si="4"/>
        <v>1.0015</v>
      </c>
    </row>
    <row r="679" ht="14.25" customHeight="1">
      <c r="A679" s="267">
        <v>197705.0</v>
      </c>
      <c r="B679" s="268">
        <v>-0.014499999999999999</v>
      </c>
      <c r="C679" s="268">
        <f t="shared" si="4"/>
        <v>0.9855</v>
      </c>
    </row>
    <row r="680" ht="14.25" customHeight="1">
      <c r="A680" s="267">
        <v>197706.0</v>
      </c>
      <c r="B680" s="268">
        <v>0.0471</v>
      </c>
      <c r="C680" s="268">
        <f t="shared" si="4"/>
        <v>1.0471</v>
      </c>
    </row>
    <row r="681" ht="14.25" customHeight="1">
      <c r="A681" s="267">
        <v>197707.0</v>
      </c>
      <c r="B681" s="268">
        <v>-0.0169</v>
      </c>
      <c r="C681" s="268">
        <f t="shared" si="4"/>
        <v>0.9831</v>
      </c>
    </row>
    <row r="682" ht="14.25" customHeight="1">
      <c r="A682" s="267">
        <v>197708.0</v>
      </c>
      <c r="B682" s="268">
        <v>-0.0175</v>
      </c>
      <c r="C682" s="268">
        <f t="shared" si="4"/>
        <v>0.9825</v>
      </c>
    </row>
    <row r="683" ht="14.25" customHeight="1">
      <c r="A683" s="267">
        <v>197709.0</v>
      </c>
      <c r="B683" s="268">
        <v>-0.0027</v>
      </c>
      <c r="C683" s="268">
        <f t="shared" si="4"/>
        <v>0.9973</v>
      </c>
    </row>
    <row r="684" ht="14.25" customHeight="1">
      <c r="A684" s="267">
        <v>197710.0</v>
      </c>
      <c r="B684" s="268">
        <v>-0.0438</v>
      </c>
      <c r="C684" s="268">
        <f t="shared" si="4"/>
        <v>0.9562</v>
      </c>
    </row>
    <row r="685" ht="14.25" customHeight="1">
      <c r="A685" s="267">
        <v>197711.0</v>
      </c>
      <c r="B685" s="268">
        <v>0.04</v>
      </c>
      <c r="C685" s="268">
        <f t="shared" si="4"/>
        <v>1.04</v>
      </c>
    </row>
    <row r="686" ht="14.25" customHeight="1">
      <c r="A686" s="267">
        <v>197712.0</v>
      </c>
      <c r="B686" s="268">
        <v>0.0027</v>
      </c>
      <c r="C686" s="268">
        <f t="shared" si="4"/>
        <v>1.0027</v>
      </c>
    </row>
    <row r="687" ht="14.25" customHeight="1">
      <c r="A687" s="267">
        <v>197801.0</v>
      </c>
      <c r="B687" s="268">
        <v>-0.0601</v>
      </c>
      <c r="C687" s="268">
        <f t="shared" si="4"/>
        <v>0.9399</v>
      </c>
    </row>
    <row r="688" ht="14.25" customHeight="1">
      <c r="A688" s="267">
        <v>197802.0</v>
      </c>
      <c r="B688" s="268">
        <v>-0.0138</v>
      </c>
      <c r="C688" s="268">
        <f t="shared" si="4"/>
        <v>0.9862</v>
      </c>
    </row>
    <row r="689" ht="14.25" customHeight="1">
      <c r="A689" s="267">
        <v>197803.0</v>
      </c>
      <c r="B689" s="268">
        <v>0.0285</v>
      </c>
      <c r="C689" s="268">
        <f t="shared" si="4"/>
        <v>1.0285</v>
      </c>
    </row>
    <row r="690" ht="14.25" customHeight="1">
      <c r="A690" s="267">
        <v>197804.0</v>
      </c>
      <c r="B690" s="268">
        <v>0.0788</v>
      </c>
      <c r="C690" s="268">
        <f t="shared" si="4"/>
        <v>1.0788</v>
      </c>
    </row>
    <row r="691" ht="14.25" customHeight="1">
      <c r="A691" s="267">
        <v>197805.0</v>
      </c>
      <c r="B691" s="268">
        <v>0.0176</v>
      </c>
      <c r="C691" s="268">
        <f t="shared" si="4"/>
        <v>1.0176</v>
      </c>
    </row>
    <row r="692" ht="14.25" customHeight="1">
      <c r="A692" s="267">
        <v>197806.0</v>
      </c>
      <c r="B692" s="268">
        <v>-0.0169</v>
      </c>
      <c r="C692" s="268">
        <f t="shared" si="4"/>
        <v>0.9831</v>
      </c>
    </row>
    <row r="693" ht="14.25" customHeight="1">
      <c r="A693" s="267">
        <v>197807.0</v>
      </c>
      <c r="B693" s="268">
        <v>0.051100000000000007</v>
      </c>
      <c r="C693" s="268">
        <f t="shared" si="4"/>
        <v>1.0511</v>
      </c>
    </row>
    <row r="694" ht="14.25" customHeight="1">
      <c r="A694" s="267">
        <v>197808.0</v>
      </c>
      <c r="B694" s="268">
        <v>0.0375</v>
      </c>
      <c r="C694" s="268">
        <f t="shared" si="4"/>
        <v>1.0375</v>
      </c>
    </row>
    <row r="695" ht="14.25" customHeight="1">
      <c r="A695" s="267">
        <v>197809.0</v>
      </c>
      <c r="B695" s="268">
        <v>-0.0143</v>
      </c>
      <c r="C695" s="268">
        <f t="shared" si="4"/>
        <v>0.9857</v>
      </c>
    </row>
    <row r="696" ht="14.25" customHeight="1">
      <c r="A696" s="267">
        <v>197810.0</v>
      </c>
      <c r="B696" s="268">
        <v>-0.1191</v>
      </c>
      <c r="C696" s="268">
        <f t="shared" si="4"/>
        <v>0.8809</v>
      </c>
    </row>
    <row r="697" ht="14.25" customHeight="1">
      <c r="A697" s="267">
        <v>197811.0</v>
      </c>
      <c r="B697" s="268">
        <v>0.0271</v>
      </c>
      <c r="C697" s="268">
        <f t="shared" si="4"/>
        <v>1.0271</v>
      </c>
    </row>
    <row r="698" ht="14.25" customHeight="1">
      <c r="A698" s="267">
        <v>197812.0</v>
      </c>
      <c r="B698" s="268">
        <v>0.0088</v>
      </c>
      <c r="C698" s="268">
        <f t="shared" si="4"/>
        <v>1.0088</v>
      </c>
    </row>
    <row r="699" ht="14.25" customHeight="1">
      <c r="A699" s="267">
        <v>197901.0</v>
      </c>
      <c r="B699" s="268">
        <v>0.042300000000000004</v>
      </c>
      <c r="C699" s="268">
        <f t="shared" si="4"/>
        <v>1.0423</v>
      </c>
    </row>
    <row r="700" ht="14.25" customHeight="1">
      <c r="A700" s="267">
        <v>197902.0</v>
      </c>
      <c r="B700" s="268">
        <v>-0.0356</v>
      </c>
      <c r="C700" s="268">
        <f t="shared" si="4"/>
        <v>0.9644</v>
      </c>
    </row>
    <row r="701" ht="14.25" customHeight="1">
      <c r="A701" s="267">
        <v>197903.0</v>
      </c>
      <c r="B701" s="268">
        <v>0.056799999999999996</v>
      </c>
      <c r="C701" s="268">
        <f t="shared" si="4"/>
        <v>1.0568</v>
      </c>
    </row>
    <row r="702" ht="14.25" customHeight="1">
      <c r="A702" s="267">
        <v>197904.0</v>
      </c>
      <c r="B702" s="268">
        <v>-6.0E-4</v>
      </c>
      <c r="C702" s="268">
        <f t="shared" si="4"/>
        <v>0.9994</v>
      </c>
    </row>
    <row r="703" ht="14.25" customHeight="1">
      <c r="A703" s="267">
        <v>197905.0</v>
      </c>
      <c r="B703" s="268">
        <v>-0.022099999999999998</v>
      </c>
      <c r="C703" s="268">
        <f t="shared" si="4"/>
        <v>0.9779</v>
      </c>
    </row>
    <row r="704" ht="14.25" customHeight="1">
      <c r="A704" s="267">
        <v>197906.0</v>
      </c>
      <c r="B704" s="268">
        <v>0.0385</v>
      </c>
      <c r="C704" s="268">
        <f t="shared" si="4"/>
        <v>1.0385</v>
      </c>
    </row>
    <row r="705" ht="14.25" customHeight="1">
      <c r="A705" s="267">
        <v>197907.0</v>
      </c>
      <c r="B705" s="268">
        <v>0.008199999999999999</v>
      </c>
      <c r="C705" s="268">
        <f t="shared" si="4"/>
        <v>1.0082</v>
      </c>
    </row>
    <row r="706" ht="14.25" customHeight="1">
      <c r="A706" s="267">
        <v>197908.0</v>
      </c>
      <c r="B706" s="268">
        <v>0.0553</v>
      </c>
      <c r="C706" s="268">
        <f t="shared" si="4"/>
        <v>1.0553</v>
      </c>
    </row>
    <row r="707" ht="14.25" customHeight="1">
      <c r="A707" s="267">
        <v>197909.0</v>
      </c>
      <c r="B707" s="268">
        <v>-0.008199999999999999</v>
      </c>
      <c r="C707" s="268">
        <f t="shared" si="4"/>
        <v>0.9918</v>
      </c>
    </row>
    <row r="708" ht="14.25" customHeight="1">
      <c r="A708" s="267">
        <v>197910.0</v>
      </c>
      <c r="B708" s="268">
        <v>-0.081</v>
      </c>
      <c r="C708" s="268">
        <f t="shared" si="4"/>
        <v>0.919</v>
      </c>
    </row>
    <row r="709" ht="14.25" customHeight="1">
      <c r="A709" s="267">
        <v>197911.0</v>
      </c>
      <c r="B709" s="268">
        <v>0.0521</v>
      </c>
      <c r="C709" s="268">
        <f t="shared" si="4"/>
        <v>1.0521</v>
      </c>
    </row>
    <row r="710" ht="14.25" customHeight="1">
      <c r="A710" s="267">
        <v>197912.0</v>
      </c>
      <c r="B710" s="268">
        <v>0.0179</v>
      </c>
      <c r="C710" s="268">
        <f t="shared" si="4"/>
        <v>1.0179</v>
      </c>
    </row>
    <row r="711" ht="14.25" customHeight="1">
      <c r="A711" s="267">
        <v>198001.0</v>
      </c>
      <c r="B711" s="268">
        <v>0.055099999999999996</v>
      </c>
      <c r="C711" s="268">
        <f t="shared" si="4"/>
        <v>1.0551</v>
      </c>
    </row>
    <row r="712" ht="14.25" customHeight="1">
      <c r="A712" s="267">
        <v>198002.0</v>
      </c>
      <c r="B712" s="268">
        <v>-0.012199999999999999</v>
      </c>
      <c r="C712" s="268">
        <f t="shared" si="4"/>
        <v>0.9878</v>
      </c>
    </row>
    <row r="713" ht="14.25" customHeight="1">
      <c r="A713" s="267">
        <v>198003.0</v>
      </c>
      <c r="B713" s="268">
        <v>-0.129</v>
      </c>
      <c r="C713" s="268">
        <f t="shared" si="4"/>
        <v>0.871</v>
      </c>
    </row>
    <row r="714" ht="14.25" customHeight="1">
      <c r="A714" s="267">
        <v>198004.0</v>
      </c>
      <c r="B714" s="268">
        <v>0.0397</v>
      </c>
      <c r="C714" s="268">
        <f t="shared" si="4"/>
        <v>1.0397</v>
      </c>
    </row>
    <row r="715" ht="14.25" customHeight="1">
      <c r="A715" s="267">
        <v>198005.0</v>
      </c>
      <c r="B715" s="268">
        <v>0.0526</v>
      </c>
      <c r="C715" s="268">
        <f t="shared" si="4"/>
        <v>1.0526</v>
      </c>
    </row>
    <row r="716" ht="14.25" customHeight="1">
      <c r="A716" s="267">
        <v>198006.0</v>
      </c>
      <c r="B716" s="268">
        <v>0.030600000000000002</v>
      </c>
      <c r="C716" s="268">
        <f t="shared" si="4"/>
        <v>1.0306</v>
      </c>
    </row>
    <row r="717" ht="14.25" customHeight="1">
      <c r="A717" s="267">
        <v>198007.0</v>
      </c>
      <c r="B717" s="268">
        <v>0.0649</v>
      </c>
      <c r="C717" s="268">
        <f t="shared" si="4"/>
        <v>1.0649</v>
      </c>
    </row>
    <row r="718" ht="14.25" customHeight="1">
      <c r="A718" s="267">
        <v>198008.0</v>
      </c>
      <c r="B718" s="268">
        <v>0.018000000000000002</v>
      </c>
      <c r="C718" s="268">
        <f t="shared" si="4"/>
        <v>1.018</v>
      </c>
    </row>
    <row r="719" ht="14.25" customHeight="1">
      <c r="A719" s="267">
        <v>198009.0</v>
      </c>
      <c r="B719" s="268">
        <v>0.0219</v>
      </c>
      <c r="C719" s="268">
        <f t="shared" si="4"/>
        <v>1.0219</v>
      </c>
    </row>
    <row r="720" ht="14.25" customHeight="1">
      <c r="A720" s="267">
        <v>198010.0</v>
      </c>
      <c r="B720" s="268">
        <v>0.0106</v>
      </c>
      <c r="C720" s="268">
        <f t="shared" si="4"/>
        <v>1.0106</v>
      </c>
    </row>
    <row r="721" ht="14.25" customHeight="1">
      <c r="A721" s="267">
        <v>198011.0</v>
      </c>
      <c r="B721" s="268">
        <v>0.0959</v>
      </c>
      <c r="C721" s="268">
        <f t="shared" si="4"/>
        <v>1.0959</v>
      </c>
    </row>
    <row r="722" ht="14.25" customHeight="1">
      <c r="A722" s="267">
        <v>198012.0</v>
      </c>
      <c r="B722" s="268">
        <v>-0.0452</v>
      </c>
      <c r="C722" s="268">
        <f t="shared" si="4"/>
        <v>0.9548</v>
      </c>
    </row>
    <row r="723" ht="14.25" customHeight="1">
      <c r="A723" s="267">
        <v>198101.0</v>
      </c>
      <c r="B723" s="268">
        <v>-0.0504</v>
      </c>
      <c r="C723" s="268">
        <f t="shared" si="4"/>
        <v>0.9496</v>
      </c>
    </row>
    <row r="724" ht="14.25" customHeight="1">
      <c r="A724" s="267">
        <v>198102.0</v>
      </c>
      <c r="B724" s="268">
        <v>0.005699999999999999</v>
      </c>
      <c r="C724" s="268">
        <f t="shared" si="4"/>
        <v>1.0057</v>
      </c>
    </row>
    <row r="725" ht="14.25" customHeight="1">
      <c r="A725" s="267">
        <v>198103.0</v>
      </c>
      <c r="B725" s="268">
        <v>0.0356</v>
      </c>
      <c r="C725" s="268">
        <f t="shared" si="4"/>
        <v>1.0356</v>
      </c>
    </row>
    <row r="726" ht="14.25" customHeight="1">
      <c r="A726" s="267">
        <v>198104.0</v>
      </c>
      <c r="B726" s="268">
        <v>-0.021099999999999997</v>
      </c>
      <c r="C726" s="268">
        <f t="shared" si="4"/>
        <v>0.9789</v>
      </c>
    </row>
    <row r="727" ht="14.25" customHeight="1">
      <c r="A727" s="267">
        <v>198105.0</v>
      </c>
      <c r="B727" s="268">
        <v>0.0011</v>
      </c>
      <c r="C727" s="268">
        <f t="shared" si="4"/>
        <v>1.0011</v>
      </c>
    </row>
    <row r="728" ht="14.25" customHeight="1">
      <c r="A728" s="267">
        <v>198106.0</v>
      </c>
      <c r="B728" s="268">
        <v>-0.0236</v>
      </c>
      <c r="C728" s="268">
        <f t="shared" si="4"/>
        <v>0.9764</v>
      </c>
    </row>
    <row r="729" ht="14.25" customHeight="1">
      <c r="A729" s="267">
        <v>198107.0</v>
      </c>
      <c r="B729" s="268">
        <v>-0.0154</v>
      </c>
      <c r="C729" s="268">
        <f t="shared" si="4"/>
        <v>0.9846</v>
      </c>
    </row>
    <row r="730" ht="14.25" customHeight="1">
      <c r="A730" s="267">
        <v>198108.0</v>
      </c>
      <c r="B730" s="268">
        <v>-0.0704</v>
      </c>
      <c r="C730" s="268">
        <f t="shared" si="4"/>
        <v>0.9296</v>
      </c>
    </row>
    <row r="731" ht="14.25" customHeight="1">
      <c r="A731" s="267">
        <v>198109.0</v>
      </c>
      <c r="B731" s="268">
        <v>-0.0717</v>
      </c>
      <c r="C731" s="268">
        <f t="shared" si="4"/>
        <v>0.9283</v>
      </c>
    </row>
    <row r="732" ht="14.25" customHeight="1">
      <c r="A732" s="267">
        <v>198110.0</v>
      </c>
      <c r="B732" s="268">
        <v>0.0492</v>
      </c>
      <c r="C732" s="268">
        <f t="shared" si="4"/>
        <v>1.0492</v>
      </c>
    </row>
    <row r="733" ht="14.25" customHeight="1">
      <c r="A733" s="267">
        <v>198111.0</v>
      </c>
      <c r="B733" s="268">
        <v>0.0336</v>
      </c>
      <c r="C733" s="268">
        <f t="shared" si="4"/>
        <v>1.0336</v>
      </c>
    </row>
    <row r="734" ht="14.25" customHeight="1">
      <c r="A734" s="267">
        <v>198112.0</v>
      </c>
      <c r="B734" s="268">
        <v>-0.0365</v>
      </c>
      <c r="C734" s="268">
        <f t="shared" si="4"/>
        <v>0.9635</v>
      </c>
    </row>
    <row r="735" ht="14.25" customHeight="1">
      <c r="A735" s="267">
        <v>198201.0</v>
      </c>
      <c r="B735" s="268">
        <v>-0.032400000000000005</v>
      </c>
      <c r="C735" s="268">
        <f t="shared" si="4"/>
        <v>0.9676</v>
      </c>
    </row>
    <row r="736" ht="14.25" customHeight="1">
      <c r="A736" s="267">
        <v>198202.0</v>
      </c>
      <c r="B736" s="268">
        <v>-0.058600000000000006</v>
      </c>
      <c r="C736" s="268">
        <f t="shared" si="4"/>
        <v>0.9414</v>
      </c>
    </row>
    <row r="737" ht="14.25" customHeight="1">
      <c r="A737" s="267">
        <v>198203.0</v>
      </c>
      <c r="B737" s="268">
        <v>-0.0187</v>
      </c>
      <c r="C737" s="268">
        <f t="shared" si="4"/>
        <v>0.9813</v>
      </c>
    </row>
    <row r="738" ht="14.25" customHeight="1">
      <c r="A738" s="267">
        <v>198204.0</v>
      </c>
      <c r="B738" s="268">
        <v>0.0327</v>
      </c>
      <c r="C738" s="268">
        <f t="shared" si="4"/>
        <v>1.0327</v>
      </c>
    </row>
    <row r="739" ht="14.25" customHeight="1">
      <c r="A739" s="267">
        <v>198205.0</v>
      </c>
      <c r="B739" s="268">
        <v>-0.039900000000000005</v>
      </c>
      <c r="C739" s="268">
        <f t="shared" si="4"/>
        <v>0.9601</v>
      </c>
    </row>
    <row r="740" ht="14.25" customHeight="1">
      <c r="A740" s="267">
        <v>198206.0</v>
      </c>
      <c r="B740" s="268">
        <v>-0.030899999999999997</v>
      </c>
      <c r="C740" s="268">
        <f t="shared" si="4"/>
        <v>0.9691</v>
      </c>
    </row>
    <row r="741" ht="14.25" customHeight="1">
      <c r="A741" s="267">
        <v>198207.0</v>
      </c>
      <c r="B741" s="268">
        <v>-0.0319</v>
      </c>
      <c r="C741" s="268">
        <f t="shared" si="4"/>
        <v>0.9681</v>
      </c>
    </row>
    <row r="742" ht="14.25" customHeight="1">
      <c r="A742" s="267">
        <v>198208.0</v>
      </c>
      <c r="B742" s="268">
        <v>0.1114</v>
      </c>
      <c r="C742" s="268">
        <f t="shared" si="4"/>
        <v>1.1114</v>
      </c>
    </row>
    <row r="743" ht="14.25" customHeight="1">
      <c r="A743" s="267">
        <v>198209.0</v>
      </c>
      <c r="B743" s="268">
        <v>0.0129</v>
      </c>
      <c r="C743" s="268">
        <f t="shared" si="4"/>
        <v>1.0129</v>
      </c>
    </row>
    <row r="744" ht="14.25" customHeight="1">
      <c r="A744" s="267">
        <v>198210.0</v>
      </c>
      <c r="B744" s="268">
        <v>0.113</v>
      </c>
      <c r="C744" s="268">
        <f t="shared" si="4"/>
        <v>1.113</v>
      </c>
    </row>
    <row r="745" ht="14.25" customHeight="1">
      <c r="A745" s="267">
        <v>198211.0</v>
      </c>
      <c r="B745" s="268">
        <v>0.0467</v>
      </c>
      <c r="C745" s="268">
        <f t="shared" si="4"/>
        <v>1.0467</v>
      </c>
    </row>
    <row r="746" ht="14.25" customHeight="1">
      <c r="A746" s="267">
        <v>198212.0</v>
      </c>
      <c r="B746" s="268">
        <v>0.0055000000000000005</v>
      </c>
      <c r="C746" s="268">
        <f t="shared" si="4"/>
        <v>1.0055</v>
      </c>
    </row>
    <row r="747" ht="14.25" customHeight="1">
      <c r="A747" s="267">
        <v>198301.0</v>
      </c>
      <c r="B747" s="268">
        <v>0.036000000000000004</v>
      </c>
      <c r="C747" s="268">
        <f t="shared" si="4"/>
        <v>1.036</v>
      </c>
    </row>
    <row r="748" ht="14.25" customHeight="1">
      <c r="A748" s="267">
        <v>198302.0</v>
      </c>
      <c r="B748" s="268">
        <v>0.0259</v>
      </c>
      <c r="C748" s="268">
        <f t="shared" si="4"/>
        <v>1.0259</v>
      </c>
    </row>
    <row r="749" ht="14.25" customHeight="1">
      <c r="A749" s="267">
        <v>198303.0</v>
      </c>
      <c r="B749" s="268">
        <v>0.0282</v>
      </c>
      <c r="C749" s="268">
        <f t="shared" si="4"/>
        <v>1.0282</v>
      </c>
    </row>
    <row r="750" ht="14.25" customHeight="1">
      <c r="A750" s="267">
        <v>198304.0</v>
      </c>
      <c r="B750" s="268">
        <v>0.0667</v>
      </c>
      <c r="C750" s="268">
        <f t="shared" si="4"/>
        <v>1.0667</v>
      </c>
    </row>
    <row r="751" ht="14.25" customHeight="1">
      <c r="A751" s="267">
        <v>198305.0</v>
      </c>
      <c r="B751" s="268">
        <v>0.0052</v>
      </c>
      <c r="C751" s="268">
        <f t="shared" si="4"/>
        <v>1.0052</v>
      </c>
    </row>
    <row r="752" ht="14.25" customHeight="1">
      <c r="A752" s="267">
        <v>198306.0</v>
      </c>
      <c r="B752" s="268">
        <v>0.030699999999999998</v>
      </c>
      <c r="C752" s="268">
        <f t="shared" si="4"/>
        <v>1.0307</v>
      </c>
    </row>
    <row r="753" ht="14.25" customHeight="1">
      <c r="A753" s="267">
        <v>198307.0</v>
      </c>
      <c r="B753" s="268">
        <v>-0.0407</v>
      </c>
      <c r="C753" s="268">
        <f t="shared" si="4"/>
        <v>0.9593</v>
      </c>
    </row>
    <row r="754" ht="14.25" customHeight="1">
      <c r="A754" s="267">
        <v>198308.0</v>
      </c>
      <c r="B754" s="268">
        <v>-0.005</v>
      </c>
      <c r="C754" s="268">
        <f t="shared" si="4"/>
        <v>0.995</v>
      </c>
    </row>
    <row r="755" ht="14.25" customHeight="1">
      <c r="A755" s="267">
        <v>198309.0</v>
      </c>
      <c r="B755" s="268">
        <v>0.0091</v>
      </c>
      <c r="C755" s="268">
        <f t="shared" si="4"/>
        <v>1.0091</v>
      </c>
    </row>
    <row r="756" ht="14.25" customHeight="1">
      <c r="A756" s="267">
        <v>198310.0</v>
      </c>
      <c r="B756" s="268">
        <v>-0.0344</v>
      </c>
      <c r="C756" s="268">
        <f t="shared" si="4"/>
        <v>0.9656</v>
      </c>
    </row>
    <row r="757" ht="14.25" customHeight="1">
      <c r="A757" s="267">
        <v>198311.0</v>
      </c>
      <c r="B757" s="268">
        <v>0.0216</v>
      </c>
      <c r="C757" s="268">
        <f t="shared" si="4"/>
        <v>1.0216</v>
      </c>
    </row>
    <row r="758" ht="14.25" customHeight="1">
      <c r="A758" s="267">
        <v>198312.0</v>
      </c>
      <c r="B758" s="268">
        <v>-0.0178</v>
      </c>
      <c r="C758" s="268">
        <f t="shared" si="4"/>
        <v>0.9822</v>
      </c>
    </row>
    <row r="759" ht="14.25" customHeight="1">
      <c r="A759" s="267">
        <v>198401.0</v>
      </c>
      <c r="B759" s="268">
        <v>-0.0192</v>
      </c>
      <c r="C759" s="268">
        <f t="shared" si="4"/>
        <v>0.9808</v>
      </c>
    </row>
    <row r="760" ht="14.25" customHeight="1">
      <c r="A760" s="267">
        <v>198402.0</v>
      </c>
      <c r="B760" s="268">
        <v>-0.0482</v>
      </c>
      <c r="C760" s="268">
        <f t="shared" si="4"/>
        <v>0.9518</v>
      </c>
    </row>
    <row r="761" ht="14.25" customHeight="1">
      <c r="A761" s="267">
        <v>198403.0</v>
      </c>
      <c r="B761" s="268">
        <v>0.0063</v>
      </c>
      <c r="C761" s="268">
        <f t="shared" si="4"/>
        <v>1.0063</v>
      </c>
    </row>
    <row r="762" ht="14.25" customHeight="1">
      <c r="A762" s="267">
        <v>198404.0</v>
      </c>
      <c r="B762" s="268">
        <v>-0.0051</v>
      </c>
      <c r="C762" s="268">
        <f t="shared" si="4"/>
        <v>0.9949</v>
      </c>
    </row>
    <row r="763" ht="14.25" customHeight="1">
      <c r="A763" s="267">
        <v>198405.0</v>
      </c>
      <c r="B763" s="268">
        <v>-0.059699999999999996</v>
      </c>
      <c r="C763" s="268">
        <f t="shared" si="4"/>
        <v>0.9403</v>
      </c>
    </row>
    <row r="764" ht="14.25" customHeight="1">
      <c r="A764" s="267">
        <v>198406.0</v>
      </c>
      <c r="B764" s="268">
        <v>0.0182</v>
      </c>
      <c r="C764" s="268">
        <f t="shared" si="4"/>
        <v>1.0182</v>
      </c>
    </row>
    <row r="765" ht="14.25" customHeight="1">
      <c r="A765" s="267">
        <v>198407.0</v>
      </c>
      <c r="B765" s="268">
        <v>-0.0274</v>
      </c>
      <c r="C765" s="268">
        <f t="shared" si="4"/>
        <v>0.9726</v>
      </c>
    </row>
    <row r="766" ht="14.25" customHeight="1">
      <c r="A766" s="267">
        <v>198408.0</v>
      </c>
      <c r="B766" s="268">
        <v>0.10279999999999999</v>
      </c>
      <c r="C766" s="268">
        <f t="shared" si="4"/>
        <v>1.1028</v>
      </c>
    </row>
    <row r="767" ht="14.25" customHeight="1">
      <c r="A767" s="267">
        <v>198409.0</v>
      </c>
      <c r="B767" s="268">
        <v>-0.008</v>
      </c>
      <c r="C767" s="268">
        <f t="shared" si="4"/>
        <v>0.992</v>
      </c>
    </row>
    <row r="768" ht="14.25" customHeight="1">
      <c r="A768" s="267">
        <v>198410.0</v>
      </c>
      <c r="B768" s="268">
        <v>-0.0084</v>
      </c>
      <c r="C768" s="268">
        <f t="shared" si="4"/>
        <v>0.9916</v>
      </c>
    </row>
    <row r="769" ht="14.25" customHeight="1">
      <c r="A769" s="267">
        <v>198411.0</v>
      </c>
      <c r="B769" s="268">
        <v>-0.0176</v>
      </c>
      <c r="C769" s="268">
        <f t="shared" si="4"/>
        <v>0.9824</v>
      </c>
    </row>
    <row r="770" ht="14.25" customHeight="1">
      <c r="A770" s="267">
        <v>198412.0</v>
      </c>
      <c r="B770" s="268">
        <v>0.0184</v>
      </c>
      <c r="C770" s="268">
        <f t="shared" si="4"/>
        <v>1.0184</v>
      </c>
    </row>
    <row r="771" ht="14.25" customHeight="1">
      <c r="A771" s="267">
        <v>198501.0</v>
      </c>
      <c r="B771" s="268">
        <v>0.0799</v>
      </c>
      <c r="C771" s="268">
        <f t="shared" si="4"/>
        <v>1.0799</v>
      </c>
    </row>
    <row r="772" ht="14.25" customHeight="1">
      <c r="A772" s="267">
        <v>198502.0</v>
      </c>
      <c r="B772" s="268">
        <v>0.012199999999999999</v>
      </c>
      <c r="C772" s="268">
        <f t="shared" si="4"/>
        <v>1.0122</v>
      </c>
    </row>
    <row r="773" ht="14.25" customHeight="1">
      <c r="A773" s="267">
        <v>198503.0</v>
      </c>
      <c r="B773" s="268">
        <v>-0.0084</v>
      </c>
      <c r="C773" s="268">
        <f t="shared" si="4"/>
        <v>0.9916</v>
      </c>
    </row>
    <row r="774" ht="14.25" customHeight="1">
      <c r="A774" s="267">
        <v>198504.0</v>
      </c>
      <c r="B774" s="268">
        <v>-0.0096</v>
      </c>
      <c r="C774" s="268">
        <f t="shared" si="4"/>
        <v>0.9904</v>
      </c>
    </row>
    <row r="775" ht="14.25" customHeight="1">
      <c r="A775" s="267">
        <v>198505.0</v>
      </c>
      <c r="B775" s="268">
        <v>0.0509</v>
      </c>
      <c r="C775" s="268">
        <f t="shared" si="4"/>
        <v>1.0509</v>
      </c>
    </row>
    <row r="776" ht="14.25" customHeight="1">
      <c r="A776" s="267">
        <v>198506.0</v>
      </c>
      <c r="B776" s="268">
        <v>0.0127</v>
      </c>
      <c r="C776" s="268">
        <f t="shared" si="4"/>
        <v>1.0127</v>
      </c>
    </row>
    <row r="777" ht="14.25" customHeight="1">
      <c r="A777" s="267">
        <v>198507.0</v>
      </c>
      <c r="B777" s="268">
        <v>-0.0074</v>
      </c>
      <c r="C777" s="268">
        <f t="shared" si="4"/>
        <v>0.9926</v>
      </c>
    </row>
    <row r="778" ht="14.25" customHeight="1">
      <c r="A778" s="267">
        <v>198508.0</v>
      </c>
      <c r="B778" s="268">
        <v>-0.0102</v>
      </c>
      <c r="C778" s="268">
        <f t="shared" si="4"/>
        <v>0.9898</v>
      </c>
    </row>
    <row r="779" ht="14.25" customHeight="1">
      <c r="A779" s="267">
        <v>198509.0</v>
      </c>
      <c r="B779" s="268">
        <v>-0.0454</v>
      </c>
      <c r="C779" s="268">
        <f t="shared" si="4"/>
        <v>0.9546</v>
      </c>
    </row>
    <row r="780" ht="14.25" customHeight="1">
      <c r="A780" s="267">
        <v>198510.0</v>
      </c>
      <c r="B780" s="268">
        <v>0.04019999999999999</v>
      </c>
      <c r="C780" s="268">
        <f t="shared" si="4"/>
        <v>1.0402</v>
      </c>
    </row>
    <row r="781" ht="14.25" customHeight="1">
      <c r="A781" s="267">
        <v>198511.0</v>
      </c>
      <c r="B781" s="268">
        <v>0.06480000000000001</v>
      </c>
      <c r="C781" s="268">
        <f t="shared" si="4"/>
        <v>1.0648</v>
      </c>
    </row>
    <row r="782" ht="14.25" customHeight="1">
      <c r="A782" s="267">
        <v>198512.0</v>
      </c>
      <c r="B782" s="268">
        <v>0.0388</v>
      </c>
      <c r="C782" s="268">
        <f t="shared" si="4"/>
        <v>1.0388</v>
      </c>
    </row>
    <row r="783" ht="14.25" customHeight="1">
      <c r="A783" s="267">
        <v>198601.0</v>
      </c>
      <c r="B783" s="268">
        <v>0.006500000000000001</v>
      </c>
      <c r="C783" s="268">
        <f t="shared" si="4"/>
        <v>1.0065</v>
      </c>
    </row>
    <row r="784" ht="14.25" customHeight="1">
      <c r="A784" s="267">
        <v>198602.0</v>
      </c>
      <c r="B784" s="268">
        <v>0.0713</v>
      </c>
      <c r="C784" s="268">
        <f t="shared" si="4"/>
        <v>1.0713</v>
      </c>
    </row>
    <row r="785" ht="14.25" customHeight="1">
      <c r="A785" s="267">
        <v>198603.0</v>
      </c>
      <c r="B785" s="268">
        <v>0.048799999999999996</v>
      </c>
      <c r="C785" s="268">
        <f t="shared" si="4"/>
        <v>1.0488</v>
      </c>
    </row>
    <row r="786" ht="14.25" customHeight="1">
      <c r="A786" s="267">
        <v>198604.0</v>
      </c>
      <c r="B786" s="268">
        <v>-0.0131</v>
      </c>
      <c r="C786" s="268">
        <f t="shared" si="4"/>
        <v>0.9869</v>
      </c>
    </row>
    <row r="787" ht="14.25" customHeight="1">
      <c r="A787" s="267">
        <v>198605.0</v>
      </c>
      <c r="B787" s="268">
        <v>0.0462</v>
      </c>
      <c r="C787" s="268">
        <f t="shared" si="4"/>
        <v>1.0462</v>
      </c>
    </row>
    <row r="788" ht="14.25" customHeight="1">
      <c r="A788" s="267">
        <v>198606.0</v>
      </c>
      <c r="B788" s="268">
        <v>0.0103</v>
      </c>
      <c r="C788" s="268">
        <f t="shared" si="4"/>
        <v>1.0103</v>
      </c>
    </row>
    <row r="789" ht="14.25" customHeight="1">
      <c r="A789" s="267">
        <v>198607.0</v>
      </c>
      <c r="B789" s="268">
        <v>-0.0645</v>
      </c>
      <c r="C789" s="268">
        <f t="shared" si="4"/>
        <v>0.9355</v>
      </c>
    </row>
    <row r="790" ht="14.25" customHeight="1">
      <c r="A790" s="267">
        <v>198608.0</v>
      </c>
      <c r="B790" s="268">
        <v>0.060700000000000004</v>
      </c>
      <c r="C790" s="268">
        <f t="shared" si="4"/>
        <v>1.0607</v>
      </c>
    </row>
    <row r="791" ht="14.25" customHeight="1">
      <c r="A791" s="267">
        <v>198609.0</v>
      </c>
      <c r="B791" s="268">
        <v>-0.086</v>
      </c>
      <c r="C791" s="268">
        <f t="shared" si="4"/>
        <v>0.914</v>
      </c>
    </row>
    <row r="792" ht="14.25" customHeight="1">
      <c r="A792" s="267">
        <v>198610.0</v>
      </c>
      <c r="B792" s="268">
        <v>0.0466</v>
      </c>
      <c r="C792" s="268">
        <f t="shared" si="4"/>
        <v>1.0466</v>
      </c>
    </row>
    <row r="793" ht="14.25" customHeight="1">
      <c r="A793" s="267">
        <v>198611.0</v>
      </c>
      <c r="B793" s="268">
        <v>0.011699999999999999</v>
      </c>
      <c r="C793" s="268">
        <f t="shared" si="4"/>
        <v>1.0117</v>
      </c>
    </row>
    <row r="794" ht="14.25" customHeight="1">
      <c r="A794" s="267">
        <v>198612.0</v>
      </c>
      <c r="B794" s="268">
        <v>-0.0327</v>
      </c>
      <c r="C794" s="268">
        <f t="shared" si="4"/>
        <v>0.9673</v>
      </c>
    </row>
    <row r="795" ht="14.25" customHeight="1">
      <c r="A795" s="267">
        <v>198701.0</v>
      </c>
      <c r="B795" s="268">
        <v>0.1247</v>
      </c>
      <c r="C795" s="268">
        <f t="shared" si="4"/>
        <v>1.1247</v>
      </c>
    </row>
    <row r="796" ht="14.25" customHeight="1">
      <c r="A796" s="267">
        <v>198702.0</v>
      </c>
      <c r="B796" s="268">
        <v>0.043899999999999995</v>
      </c>
      <c r="C796" s="268">
        <f t="shared" si="4"/>
        <v>1.0439</v>
      </c>
    </row>
    <row r="797" ht="14.25" customHeight="1">
      <c r="A797" s="267">
        <v>198703.0</v>
      </c>
      <c r="B797" s="268">
        <v>0.016399999999999998</v>
      </c>
      <c r="C797" s="268">
        <f t="shared" si="4"/>
        <v>1.0164</v>
      </c>
    </row>
    <row r="798" ht="14.25" customHeight="1">
      <c r="A798" s="267">
        <v>198704.0</v>
      </c>
      <c r="B798" s="268">
        <v>-0.021099999999999997</v>
      </c>
      <c r="C798" s="268">
        <f t="shared" si="4"/>
        <v>0.9789</v>
      </c>
    </row>
    <row r="799" ht="14.25" customHeight="1">
      <c r="A799" s="267">
        <v>198705.0</v>
      </c>
      <c r="B799" s="268">
        <v>0.0011</v>
      </c>
      <c r="C799" s="268">
        <f t="shared" si="4"/>
        <v>1.0011</v>
      </c>
    </row>
    <row r="800" ht="14.25" customHeight="1">
      <c r="A800" s="267">
        <v>198706.0</v>
      </c>
      <c r="B800" s="268">
        <v>0.0394</v>
      </c>
      <c r="C800" s="268">
        <f t="shared" si="4"/>
        <v>1.0394</v>
      </c>
    </row>
    <row r="801" ht="14.25" customHeight="1">
      <c r="A801" s="267">
        <v>198707.0</v>
      </c>
      <c r="B801" s="268">
        <v>0.0385</v>
      </c>
      <c r="C801" s="268">
        <f t="shared" si="4"/>
        <v>1.0385</v>
      </c>
    </row>
    <row r="802" ht="14.25" customHeight="1">
      <c r="A802" s="267">
        <v>198708.0</v>
      </c>
      <c r="B802" s="268">
        <v>0.0352</v>
      </c>
      <c r="C802" s="268">
        <f t="shared" si="4"/>
        <v>1.0352</v>
      </c>
    </row>
    <row r="803" ht="14.25" customHeight="1">
      <c r="A803" s="267">
        <v>198709.0</v>
      </c>
      <c r="B803" s="268">
        <v>-0.0259</v>
      </c>
      <c r="C803" s="268">
        <f t="shared" si="4"/>
        <v>0.9741</v>
      </c>
    </row>
    <row r="804" ht="14.25" customHeight="1">
      <c r="A804" s="267">
        <v>198710.0</v>
      </c>
      <c r="B804" s="268">
        <v>-0.2324</v>
      </c>
      <c r="C804" s="268">
        <f t="shared" si="4"/>
        <v>0.7676</v>
      </c>
    </row>
    <row r="805" ht="14.25" customHeight="1">
      <c r="A805" s="267">
        <v>198711.0</v>
      </c>
      <c r="B805" s="268">
        <v>-0.07769999999999999</v>
      </c>
      <c r="C805" s="268">
        <f t="shared" si="4"/>
        <v>0.9223</v>
      </c>
    </row>
    <row r="806" ht="14.25" customHeight="1">
      <c r="A806" s="267">
        <v>198712.0</v>
      </c>
      <c r="B806" s="268">
        <v>0.0681</v>
      </c>
      <c r="C806" s="268">
        <f t="shared" si="4"/>
        <v>1.0681</v>
      </c>
    </row>
    <row r="807" ht="14.25" customHeight="1">
      <c r="A807" s="267">
        <v>198801.0</v>
      </c>
      <c r="B807" s="268">
        <v>0.0421</v>
      </c>
      <c r="C807" s="268">
        <f t="shared" si="4"/>
        <v>1.0421</v>
      </c>
    </row>
    <row r="808" ht="14.25" customHeight="1">
      <c r="A808" s="267">
        <v>198802.0</v>
      </c>
      <c r="B808" s="268">
        <v>0.0475</v>
      </c>
      <c r="C808" s="268">
        <f t="shared" si="4"/>
        <v>1.0475</v>
      </c>
    </row>
    <row r="809" ht="14.25" customHeight="1">
      <c r="A809" s="267">
        <v>198803.0</v>
      </c>
      <c r="B809" s="268">
        <v>-0.0227</v>
      </c>
      <c r="C809" s="268">
        <f t="shared" si="4"/>
        <v>0.9773</v>
      </c>
    </row>
    <row r="810" ht="14.25" customHeight="1">
      <c r="A810" s="267">
        <v>198804.0</v>
      </c>
      <c r="B810" s="268">
        <v>0.005600000000000001</v>
      </c>
      <c r="C810" s="268">
        <f t="shared" si="4"/>
        <v>1.0056</v>
      </c>
    </row>
    <row r="811" ht="14.25" customHeight="1">
      <c r="A811" s="267">
        <v>198805.0</v>
      </c>
      <c r="B811" s="268">
        <v>-0.0029</v>
      </c>
      <c r="C811" s="268">
        <f t="shared" si="4"/>
        <v>0.9971</v>
      </c>
    </row>
    <row r="812" ht="14.25" customHeight="1">
      <c r="A812" s="267">
        <v>198806.0</v>
      </c>
      <c r="B812" s="268">
        <v>0.0479</v>
      </c>
      <c r="C812" s="268">
        <f t="shared" si="4"/>
        <v>1.0479</v>
      </c>
    </row>
    <row r="813" ht="14.25" customHeight="1">
      <c r="A813" s="267">
        <v>198807.0</v>
      </c>
      <c r="B813" s="268">
        <v>-0.0125</v>
      </c>
      <c r="C813" s="268">
        <f t="shared" si="4"/>
        <v>0.9875</v>
      </c>
    </row>
    <row r="814" ht="14.25" customHeight="1">
      <c r="A814" s="267">
        <v>198808.0</v>
      </c>
      <c r="B814" s="268">
        <v>-0.0331</v>
      </c>
      <c r="C814" s="268">
        <f t="shared" si="4"/>
        <v>0.9669</v>
      </c>
    </row>
    <row r="815" ht="14.25" customHeight="1">
      <c r="A815" s="267">
        <v>198809.0</v>
      </c>
      <c r="B815" s="268">
        <v>0.033</v>
      </c>
      <c r="C815" s="268">
        <f t="shared" si="4"/>
        <v>1.033</v>
      </c>
    </row>
    <row r="816" ht="14.25" customHeight="1">
      <c r="A816" s="267">
        <v>198810.0</v>
      </c>
      <c r="B816" s="268">
        <v>0.0115</v>
      </c>
      <c r="C816" s="268">
        <f t="shared" si="4"/>
        <v>1.0115</v>
      </c>
    </row>
    <row r="817" ht="14.25" customHeight="1">
      <c r="A817" s="267">
        <v>198811.0</v>
      </c>
      <c r="B817" s="268">
        <v>-0.0229</v>
      </c>
      <c r="C817" s="268">
        <f t="shared" si="4"/>
        <v>0.9771</v>
      </c>
    </row>
    <row r="818" ht="14.25" customHeight="1">
      <c r="A818" s="267">
        <v>198812.0</v>
      </c>
      <c r="B818" s="268">
        <v>0.0149</v>
      </c>
      <c r="C818" s="268">
        <f t="shared" si="4"/>
        <v>1.0149</v>
      </c>
    </row>
    <row r="819" ht="14.25" customHeight="1">
      <c r="A819" s="267">
        <v>198901.0</v>
      </c>
      <c r="B819" s="268">
        <v>0.061</v>
      </c>
      <c r="C819" s="268">
        <f t="shared" si="4"/>
        <v>1.061</v>
      </c>
    </row>
    <row r="820" ht="14.25" customHeight="1">
      <c r="A820" s="267">
        <v>198902.0</v>
      </c>
      <c r="B820" s="268">
        <v>-0.0225</v>
      </c>
      <c r="C820" s="268">
        <f t="shared" si="4"/>
        <v>0.9775</v>
      </c>
    </row>
    <row r="821" ht="14.25" customHeight="1">
      <c r="A821" s="267">
        <v>198903.0</v>
      </c>
      <c r="B821" s="268">
        <v>0.015700000000000002</v>
      </c>
      <c r="C821" s="268">
        <f t="shared" si="4"/>
        <v>1.0157</v>
      </c>
    </row>
    <row r="822" ht="14.25" customHeight="1">
      <c r="A822" s="267">
        <v>198904.0</v>
      </c>
      <c r="B822" s="268">
        <v>0.0433</v>
      </c>
      <c r="C822" s="268">
        <f t="shared" si="4"/>
        <v>1.0433</v>
      </c>
    </row>
    <row r="823" ht="14.25" customHeight="1">
      <c r="A823" s="267">
        <v>198905.0</v>
      </c>
      <c r="B823" s="268">
        <v>0.0335</v>
      </c>
      <c r="C823" s="268">
        <f t="shared" si="4"/>
        <v>1.0335</v>
      </c>
    </row>
    <row r="824" ht="14.25" customHeight="1">
      <c r="A824" s="267">
        <v>198906.0</v>
      </c>
      <c r="B824" s="268">
        <v>-0.013500000000000002</v>
      </c>
      <c r="C824" s="268">
        <f t="shared" si="4"/>
        <v>0.9865</v>
      </c>
    </row>
    <row r="825" ht="14.25" customHeight="1">
      <c r="A825" s="267">
        <v>198907.0</v>
      </c>
      <c r="B825" s="268">
        <v>0.07200000000000001</v>
      </c>
      <c r="C825" s="268">
        <f t="shared" si="4"/>
        <v>1.072</v>
      </c>
    </row>
    <row r="826" ht="14.25" customHeight="1">
      <c r="A826" s="267">
        <v>198908.0</v>
      </c>
      <c r="B826" s="268">
        <v>0.0144</v>
      </c>
      <c r="C826" s="268">
        <f t="shared" si="4"/>
        <v>1.0144</v>
      </c>
    </row>
    <row r="827" ht="14.25" customHeight="1">
      <c r="A827" s="267">
        <v>198909.0</v>
      </c>
      <c r="B827" s="268">
        <v>-0.0076</v>
      </c>
      <c r="C827" s="268">
        <f t="shared" si="4"/>
        <v>0.9924</v>
      </c>
    </row>
    <row r="828" ht="14.25" customHeight="1">
      <c r="A828" s="267">
        <v>198910.0</v>
      </c>
      <c r="B828" s="268">
        <v>-0.036699999999999997</v>
      </c>
      <c r="C828" s="268">
        <f t="shared" si="4"/>
        <v>0.9633</v>
      </c>
    </row>
    <row r="829" ht="14.25" customHeight="1">
      <c r="A829" s="267">
        <v>198911.0</v>
      </c>
      <c r="B829" s="268">
        <v>0.0103</v>
      </c>
      <c r="C829" s="268">
        <f t="shared" si="4"/>
        <v>1.0103</v>
      </c>
    </row>
    <row r="830" ht="14.25" customHeight="1">
      <c r="A830" s="267">
        <v>198912.0</v>
      </c>
      <c r="B830" s="268">
        <v>0.0116</v>
      </c>
      <c r="C830" s="268">
        <f t="shared" si="4"/>
        <v>1.0116</v>
      </c>
    </row>
    <row r="831" ht="14.25" customHeight="1">
      <c r="A831" s="267">
        <v>199001.0</v>
      </c>
      <c r="B831" s="268">
        <v>-0.0785</v>
      </c>
      <c r="C831" s="268">
        <f t="shared" si="4"/>
        <v>0.9215</v>
      </c>
    </row>
    <row r="832" ht="14.25" customHeight="1">
      <c r="A832" s="267">
        <v>199002.0</v>
      </c>
      <c r="B832" s="268">
        <v>0.0111</v>
      </c>
      <c r="C832" s="268">
        <f t="shared" si="4"/>
        <v>1.0111</v>
      </c>
    </row>
    <row r="833" ht="14.25" customHeight="1">
      <c r="A833" s="267">
        <v>199003.0</v>
      </c>
      <c r="B833" s="268">
        <v>0.0183</v>
      </c>
      <c r="C833" s="268">
        <f t="shared" si="4"/>
        <v>1.0183</v>
      </c>
    </row>
    <row r="834" ht="14.25" customHeight="1">
      <c r="A834" s="267">
        <v>199004.0</v>
      </c>
      <c r="B834" s="268">
        <v>-0.0336</v>
      </c>
      <c r="C834" s="268">
        <f t="shared" si="4"/>
        <v>0.9664</v>
      </c>
    </row>
    <row r="835" ht="14.25" customHeight="1">
      <c r="A835" s="267">
        <v>199005.0</v>
      </c>
      <c r="B835" s="268">
        <v>0.0842</v>
      </c>
      <c r="C835" s="268">
        <f t="shared" si="4"/>
        <v>1.0842</v>
      </c>
    </row>
    <row r="836" ht="14.25" customHeight="1">
      <c r="A836" s="267">
        <v>199006.0</v>
      </c>
      <c r="B836" s="268">
        <v>-0.0109</v>
      </c>
      <c r="C836" s="268">
        <f t="shared" si="4"/>
        <v>0.9891</v>
      </c>
    </row>
    <row r="837" ht="14.25" customHeight="1">
      <c r="A837" s="267">
        <v>199007.0</v>
      </c>
      <c r="B837" s="268">
        <v>-0.019</v>
      </c>
      <c r="C837" s="268">
        <f t="shared" si="4"/>
        <v>0.981</v>
      </c>
    </row>
    <row r="838" ht="14.25" customHeight="1">
      <c r="A838" s="267">
        <v>199008.0</v>
      </c>
      <c r="B838" s="268">
        <v>-0.1015</v>
      </c>
      <c r="C838" s="268">
        <f t="shared" si="4"/>
        <v>0.8985</v>
      </c>
    </row>
    <row r="839" ht="14.25" customHeight="1">
      <c r="A839" s="267">
        <v>199009.0</v>
      </c>
      <c r="B839" s="268">
        <v>-0.061200000000000004</v>
      </c>
      <c r="C839" s="268">
        <f t="shared" si="4"/>
        <v>0.9388</v>
      </c>
    </row>
    <row r="840" ht="14.25" customHeight="1">
      <c r="A840" s="267">
        <v>199010.0</v>
      </c>
      <c r="B840" s="268">
        <v>-0.0192</v>
      </c>
      <c r="C840" s="268">
        <f t="shared" si="4"/>
        <v>0.9808</v>
      </c>
    </row>
    <row r="841" ht="14.25" customHeight="1">
      <c r="A841" s="267">
        <v>199011.0</v>
      </c>
      <c r="B841" s="268">
        <v>0.0635</v>
      </c>
      <c r="C841" s="268">
        <f t="shared" si="4"/>
        <v>1.0635</v>
      </c>
    </row>
    <row r="842" ht="14.25" customHeight="1">
      <c r="A842" s="267">
        <v>199012.0</v>
      </c>
      <c r="B842" s="268">
        <v>0.0246</v>
      </c>
      <c r="C842" s="268">
        <f t="shared" si="4"/>
        <v>1.0246</v>
      </c>
    </row>
    <row r="843" ht="14.25" customHeight="1">
      <c r="A843" s="267">
        <v>199101.0</v>
      </c>
      <c r="B843" s="268">
        <v>0.046900000000000004</v>
      </c>
      <c r="C843" s="268">
        <f t="shared" si="4"/>
        <v>1.0469</v>
      </c>
    </row>
    <row r="844" ht="14.25" customHeight="1">
      <c r="A844" s="267">
        <v>199102.0</v>
      </c>
      <c r="B844" s="268">
        <v>0.0719</v>
      </c>
      <c r="C844" s="268">
        <f t="shared" si="4"/>
        <v>1.0719</v>
      </c>
    </row>
    <row r="845" ht="14.25" customHeight="1">
      <c r="A845" s="267">
        <v>199103.0</v>
      </c>
      <c r="B845" s="268">
        <v>0.0265</v>
      </c>
      <c r="C845" s="268">
        <f t="shared" si="4"/>
        <v>1.0265</v>
      </c>
    </row>
    <row r="846" ht="14.25" customHeight="1">
      <c r="A846" s="267">
        <v>199104.0</v>
      </c>
      <c r="B846" s="268">
        <v>-0.0028000000000000004</v>
      </c>
      <c r="C846" s="268">
        <f t="shared" si="4"/>
        <v>0.9972</v>
      </c>
    </row>
    <row r="847" ht="14.25" customHeight="1">
      <c r="A847" s="267">
        <v>199105.0</v>
      </c>
      <c r="B847" s="268">
        <v>0.0365</v>
      </c>
      <c r="C847" s="268">
        <f t="shared" si="4"/>
        <v>1.0365</v>
      </c>
    </row>
    <row r="848" ht="14.25" customHeight="1">
      <c r="A848" s="267">
        <v>199106.0</v>
      </c>
      <c r="B848" s="268">
        <v>-0.049400000000000006</v>
      </c>
      <c r="C848" s="268">
        <f t="shared" si="4"/>
        <v>0.9506</v>
      </c>
    </row>
    <row r="849" ht="14.25" customHeight="1">
      <c r="A849" s="267">
        <v>199107.0</v>
      </c>
      <c r="B849" s="268">
        <v>0.0424</v>
      </c>
      <c r="C849" s="268">
        <f t="shared" si="4"/>
        <v>1.0424</v>
      </c>
    </row>
    <row r="850" ht="14.25" customHeight="1">
      <c r="A850" s="267">
        <v>199108.0</v>
      </c>
      <c r="B850" s="268">
        <v>0.0232</v>
      </c>
      <c r="C850" s="268">
        <f t="shared" si="4"/>
        <v>1.0232</v>
      </c>
    </row>
    <row r="851" ht="14.25" customHeight="1">
      <c r="A851" s="267">
        <v>199109.0</v>
      </c>
      <c r="B851" s="268">
        <v>-0.0159</v>
      </c>
      <c r="C851" s="268">
        <f t="shared" si="4"/>
        <v>0.9841</v>
      </c>
    </row>
    <row r="852" ht="14.25" customHeight="1">
      <c r="A852" s="267">
        <v>199110.0</v>
      </c>
      <c r="B852" s="268">
        <v>0.0129</v>
      </c>
      <c r="C852" s="268">
        <f t="shared" si="4"/>
        <v>1.0129</v>
      </c>
    </row>
    <row r="853" ht="14.25" customHeight="1">
      <c r="A853" s="267">
        <v>199111.0</v>
      </c>
      <c r="B853" s="268">
        <v>-0.04190000000000001</v>
      </c>
      <c r="C853" s="268">
        <f t="shared" si="4"/>
        <v>0.9581</v>
      </c>
    </row>
    <row r="854" ht="14.25" customHeight="1">
      <c r="A854" s="267">
        <v>199112.0</v>
      </c>
      <c r="B854" s="268">
        <v>0.1084</v>
      </c>
      <c r="C854" s="268">
        <f t="shared" si="4"/>
        <v>1.1084</v>
      </c>
    </row>
    <row r="855" ht="14.25" customHeight="1">
      <c r="A855" s="267">
        <v>199201.0</v>
      </c>
      <c r="B855" s="268">
        <v>-0.0059</v>
      </c>
      <c r="C855" s="268">
        <f t="shared" si="4"/>
        <v>0.9941</v>
      </c>
    </row>
    <row r="856" ht="14.25" customHeight="1">
      <c r="A856" s="267">
        <v>199202.0</v>
      </c>
      <c r="B856" s="268">
        <v>0.0109</v>
      </c>
      <c r="C856" s="268">
        <f t="shared" si="4"/>
        <v>1.0109</v>
      </c>
    </row>
    <row r="857" ht="14.25" customHeight="1">
      <c r="A857" s="267">
        <v>199203.0</v>
      </c>
      <c r="B857" s="268">
        <v>-0.026600000000000002</v>
      </c>
      <c r="C857" s="268">
        <f t="shared" si="4"/>
        <v>0.9734</v>
      </c>
    </row>
    <row r="858" ht="14.25" customHeight="1">
      <c r="A858" s="267">
        <v>199204.0</v>
      </c>
      <c r="B858" s="268">
        <v>0.010700000000000001</v>
      </c>
      <c r="C858" s="268">
        <f t="shared" si="4"/>
        <v>1.0107</v>
      </c>
    </row>
    <row r="859" ht="14.25" customHeight="1">
      <c r="A859" s="267">
        <v>199205.0</v>
      </c>
      <c r="B859" s="268">
        <v>0.003</v>
      </c>
      <c r="C859" s="268">
        <f t="shared" si="4"/>
        <v>1.003</v>
      </c>
    </row>
    <row r="860" ht="14.25" customHeight="1">
      <c r="A860" s="267">
        <v>199206.0</v>
      </c>
      <c r="B860" s="268">
        <v>-0.023399999999999997</v>
      </c>
      <c r="C860" s="268">
        <f t="shared" si="4"/>
        <v>0.9766</v>
      </c>
    </row>
    <row r="861" ht="14.25" customHeight="1">
      <c r="A861" s="267">
        <v>199207.0</v>
      </c>
      <c r="B861" s="268">
        <v>0.0377</v>
      </c>
      <c r="C861" s="268">
        <f t="shared" si="4"/>
        <v>1.0377</v>
      </c>
    </row>
    <row r="862" ht="14.25" customHeight="1">
      <c r="A862" s="267">
        <v>199208.0</v>
      </c>
      <c r="B862" s="268">
        <v>-0.023799999999999998</v>
      </c>
      <c r="C862" s="268">
        <f t="shared" si="4"/>
        <v>0.9762</v>
      </c>
    </row>
    <row r="863" ht="14.25" customHeight="1">
      <c r="A863" s="267">
        <v>199209.0</v>
      </c>
      <c r="B863" s="268">
        <v>0.011899999999999999</v>
      </c>
      <c r="C863" s="268">
        <f t="shared" si="4"/>
        <v>1.0119</v>
      </c>
    </row>
    <row r="864" ht="14.25" customHeight="1">
      <c r="A864" s="267">
        <v>199210.0</v>
      </c>
      <c r="B864" s="268">
        <v>0.0102</v>
      </c>
      <c r="C864" s="268">
        <f t="shared" si="4"/>
        <v>1.0102</v>
      </c>
    </row>
    <row r="865" ht="14.25" customHeight="1">
      <c r="A865" s="267">
        <v>199211.0</v>
      </c>
      <c r="B865" s="268">
        <v>0.041299999999999996</v>
      </c>
      <c r="C865" s="268">
        <f t="shared" si="4"/>
        <v>1.0413</v>
      </c>
    </row>
    <row r="866" ht="14.25" customHeight="1">
      <c r="A866" s="267">
        <v>199212.0</v>
      </c>
      <c r="B866" s="268">
        <v>0.015300000000000001</v>
      </c>
      <c r="C866" s="268">
        <f t="shared" si="4"/>
        <v>1.0153</v>
      </c>
    </row>
    <row r="867" ht="14.25" customHeight="1">
      <c r="A867" s="267">
        <v>199301.0</v>
      </c>
      <c r="B867" s="268">
        <v>0.009300000000000001</v>
      </c>
      <c r="C867" s="268">
        <f t="shared" si="4"/>
        <v>1.0093</v>
      </c>
    </row>
    <row r="868" ht="14.25" customHeight="1">
      <c r="A868" s="267">
        <v>199302.0</v>
      </c>
      <c r="B868" s="268">
        <v>0.0012</v>
      </c>
      <c r="C868" s="268">
        <f t="shared" si="4"/>
        <v>1.0012</v>
      </c>
    </row>
    <row r="869" ht="14.25" customHeight="1">
      <c r="A869" s="267">
        <v>199303.0</v>
      </c>
      <c r="B869" s="268">
        <v>0.023</v>
      </c>
      <c r="C869" s="268">
        <f t="shared" si="4"/>
        <v>1.023</v>
      </c>
    </row>
    <row r="870" ht="14.25" customHeight="1">
      <c r="A870" s="267">
        <v>199304.0</v>
      </c>
      <c r="B870" s="268">
        <v>-0.0305</v>
      </c>
      <c r="C870" s="268">
        <f t="shared" si="4"/>
        <v>0.9695</v>
      </c>
    </row>
    <row r="871" ht="14.25" customHeight="1">
      <c r="A871" s="267">
        <v>199305.0</v>
      </c>
      <c r="B871" s="268">
        <v>0.028900000000000002</v>
      </c>
      <c r="C871" s="268">
        <f t="shared" si="4"/>
        <v>1.0289</v>
      </c>
    </row>
    <row r="872" ht="14.25" customHeight="1">
      <c r="A872" s="267">
        <v>199306.0</v>
      </c>
      <c r="B872" s="268">
        <v>0.0031</v>
      </c>
      <c r="C872" s="268">
        <f t="shared" si="4"/>
        <v>1.0031</v>
      </c>
    </row>
    <row r="873" ht="14.25" customHeight="1">
      <c r="A873" s="267">
        <v>199307.0</v>
      </c>
      <c r="B873" s="268">
        <v>-0.0034000000000000002</v>
      </c>
      <c r="C873" s="268">
        <f t="shared" si="4"/>
        <v>0.9966</v>
      </c>
    </row>
    <row r="874" ht="14.25" customHeight="1">
      <c r="A874" s="267">
        <v>199308.0</v>
      </c>
      <c r="B874" s="268">
        <v>0.0371</v>
      </c>
      <c r="C874" s="268">
        <f t="shared" si="4"/>
        <v>1.0371</v>
      </c>
    </row>
    <row r="875" ht="14.25" customHeight="1">
      <c r="A875" s="267">
        <v>199309.0</v>
      </c>
      <c r="B875" s="268">
        <v>-0.0012</v>
      </c>
      <c r="C875" s="268">
        <f t="shared" si="4"/>
        <v>0.9988</v>
      </c>
    </row>
    <row r="876" ht="14.25" customHeight="1">
      <c r="A876" s="267">
        <v>199310.0</v>
      </c>
      <c r="B876" s="268">
        <v>0.0141</v>
      </c>
      <c r="C876" s="268">
        <f t="shared" si="4"/>
        <v>1.0141</v>
      </c>
    </row>
    <row r="877" ht="14.25" customHeight="1">
      <c r="A877" s="267">
        <v>199311.0</v>
      </c>
      <c r="B877" s="268">
        <v>-0.0189</v>
      </c>
      <c r="C877" s="268">
        <f t="shared" si="4"/>
        <v>0.9811</v>
      </c>
    </row>
    <row r="878" ht="14.25" customHeight="1">
      <c r="A878" s="267">
        <v>199312.0</v>
      </c>
      <c r="B878" s="268">
        <v>0.0165</v>
      </c>
      <c r="C878" s="268">
        <f t="shared" si="4"/>
        <v>1.0165</v>
      </c>
    </row>
    <row r="879" ht="14.25" customHeight="1">
      <c r="A879" s="267">
        <v>199401.0</v>
      </c>
      <c r="B879" s="268">
        <v>0.0287</v>
      </c>
      <c r="C879" s="268">
        <f t="shared" si="4"/>
        <v>1.0287</v>
      </c>
    </row>
    <row r="880" ht="14.25" customHeight="1">
      <c r="A880" s="267">
        <v>199402.0</v>
      </c>
      <c r="B880" s="268">
        <v>-0.0255</v>
      </c>
      <c r="C880" s="268">
        <f t="shared" si="4"/>
        <v>0.9745</v>
      </c>
    </row>
    <row r="881" ht="14.25" customHeight="1">
      <c r="A881" s="267">
        <v>199403.0</v>
      </c>
      <c r="B881" s="268">
        <v>-0.0478</v>
      </c>
      <c r="C881" s="268">
        <f t="shared" si="4"/>
        <v>0.9522</v>
      </c>
    </row>
    <row r="882" ht="14.25" customHeight="1">
      <c r="A882" s="267">
        <v>199404.0</v>
      </c>
      <c r="B882" s="268">
        <v>0.0068000000000000005</v>
      </c>
      <c r="C882" s="268">
        <f t="shared" si="4"/>
        <v>1.0068</v>
      </c>
    </row>
    <row r="883" ht="14.25" customHeight="1">
      <c r="A883" s="267">
        <v>199405.0</v>
      </c>
      <c r="B883" s="268">
        <v>0.0058</v>
      </c>
      <c r="C883" s="268">
        <f t="shared" si="4"/>
        <v>1.0058</v>
      </c>
    </row>
    <row r="884" ht="14.25" customHeight="1">
      <c r="A884" s="267">
        <v>199406.0</v>
      </c>
      <c r="B884" s="268">
        <v>-0.030299999999999997</v>
      </c>
      <c r="C884" s="268">
        <f t="shared" si="4"/>
        <v>0.9697</v>
      </c>
    </row>
    <row r="885" ht="14.25" customHeight="1">
      <c r="A885" s="267">
        <v>199407.0</v>
      </c>
      <c r="B885" s="268">
        <v>0.0282</v>
      </c>
      <c r="C885" s="268">
        <f t="shared" si="4"/>
        <v>1.0282</v>
      </c>
    </row>
    <row r="886" ht="14.25" customHeight="1">
      <c r="A886" s="267">
        <v>199408.0</v>
      </c>
      <c r="B886" s="268">
        <v>0.0401</v>
      </c>
      <c r="C886" s="268">
        <f t="shared" si="4"/>
        <v>1.0401</v>
      </c>
    </row>
    <row r="887" ht="14.25" customHeight="1">
      <c r="A887" s="267">
        <v>199409.0</v>
      </c>
      <c r="B887" s="268">
        <v>-0.0231</v>
      </c>
      <c r="C887" s="268">
        <f t="shared" si="4"/>
        <v>0.9769</v>
      </c>
    </row>
    <row r="888" ht="14.25" customHeight="1">
      <c r="A888" s="267">
        <v>199410.0</v>
      </c>
      <c r="B888" s="268">
        <v>0.0134</v>
      </c>
      <c r="C888" s="268">
        <f t="shared" si="4"/>
        <v>1.0134</v>
      </c>
    </row>
    <row r="889" ht="14.25" customHeight="1">
      <c r="A889" s="267">
        <v>199411.0</v>
      </c>
      <c r="B889" s="268">
        <v>-0.0404</v>
      </c>
      <c r="C889" s="268">
        <f t="shared" si="4"/>
        <v>0.9596</v>
      </c>
    </row>
    <row r="890" ht="14.25" customHeight="1">
      <c r="A890" s="267">
        <v>199412.0</v>
      </c>
      <c r="B890" s="268">
        <v>0.0086</v>
      </c>
      <c r="C890" s="268">
        <f t="shared" si="4"/>
        <v>1.0086</v>
      </c>
    </row>
    <row r="891" ht="14.25" customHeight="1">
      <c r="A891" s="267">
        <v>199501.0</v>
      </c>
      <c r="B891" s="268">
        <v>0.018000000000000002</v>
      </c>
      <c r="C891" s="268">
        <f t="shared" si="4"/>
        <v>1.018</v>
      </c>
    </row>
    <row r="892" ht="14.25" customHeight="1">
      <c r="A892" s="267">
        <v>199502.0</v>
      </c>
      <c r="B892" s="268">
        <v>0.0363</v>
      </c>
      <c r="C892" s="268">
        <f t="shared" si="4"/>
        <v>1.0363</v>
      </c>
    </row>
    <row r="893" ht="14.25" customHeight="1">
      <c r="A893" s="267">
        <v>199503.0</v>
      </c>
      <c r="B893" s="268">
        <v>0.0219</v>
      </c>
      <c r="C893" s="268">
        <f t="shared" si="4"/>
        <v>1.0219</v>
      </c>
    </row>
    <row r="894" ht="14.25" customHeight="1">
      <c r="A894" s="267">
        <v>199504.0</v>
      </c>
      <c r="B894" s="268">
        <v>0.021099999999999997</v>
      </c>
      <c r="C894" s="268">
        <f t="shared" si="4"/>
        <v>1.0211</v>
      </c>
    </row>
    <row r="895" ht="14.25" customHeight="1">
      <c r="A895" s="267">
        <v>199505.0</v>
      </c>
      <c r="B895" s="268">
        <v>0.028999999999999998</v>
      </c>
      <c r="C895" s="268">
        <f t="shared" si="4"/>
        <v>1.029</v>
      </c>
    </row>
    <row r="896" ht="14.25" customHeight="1">
      <c r="A896" s="267">
        <v>199506.0</v>
      </c>
      <c r="B896" s="268">
        <v>0.027200000000000002</v>
      </c>
      <c r="C896" s="268">
        <f t="shared" si="4"/>
        <v>1.0272</v>
      </c>
    </row>
    <row r="897" ht="14.25" customHeight="1">
      <c r="A897" s="267">
        <v>199507.0</v>
      </c>
      <c r="B897" s="268">
        <v>0.037200000000000004</v>
      </c>
      <c r="C897" s="268">
        <f t="shared" si="4"/>
        <v>1.0372</v>
      </c>
    </row>
    <row r="898" ht="14.25" customHeight="1">
      <c r="A898" s="267">
        <v>199508.0</v>
      </c>
      <c r="B898" s="268">
        <v>0.0055000000000000005</v>
      </c>
      <c r="C898" s="268">
        <f t="shared" si="4"/>
        <v>1.0055</v>
      </c>
    </row>
    <row r="899" ht="14.25" customHeight="1">
      <c r="A899" s="267">
        <v>199509.0</v>
      </c>
      <c r="B899" s="268">
        <v>0.0335</v>
      </c>
      <c r="C899" s="268">
        <f t="shared" si="4"/>
        <v>1.0335</v>
      </c>
    </row>
    <row r="900" ht="14.25" customHeight="1">
      <c r="A900" s="267">
        <v>199510.0</v>
      </c>
      <c r="B900" s="268">
        <v>-0.0152</v>
      </c>
      <c r="C900" s="268">
        <f t="shared" si="4"/>
        <v>0.9848</v>
      </c>
    </row>
    <row r="901" ht="14.25" customHeight="1">
      <c r="A901" s="267">
        <v>199511.0</v>
      </c>
      <c r="B901" s="268">
        <v>0.039599999999999996</v>
      </c>
      <c r="C901" s="268">
        <f t="shared" si="4"/>
        <v>1.0396</v>
      </c>
    </row>
    <row r="902" ht="14.25" customHeight="1">
      <c r="A902" s="267">
        <v>199512.0</v>
      </c>
      <c r="B902" s="268">
        <v>0.0103</v>
      </c>
      <c r="C902" s="268">
        <f t="shared" si="4"/>
        <v>1.0103</v>
      </c>
    </row>
    <row r="903" ht="14.25" customHeight="1">
      <c r="A903" s="267">
        <v>199601.0</v>
      </c>
      <c r="B903" s="268">
        <v>0.0226</v>
      </c>
      <c r="C903" s="268">
        <f t="shared" si="4"/>
        <v>1.0226</v>
      </c>
    </row>
    <row r="904" ht="14.25" customHeight="1">
      <c r="A904" s="267">
        <v>199602.0</v>
      </c>
      <c r="B904" s="268">
        <v>0.013300000000000001</v>
      </c>
      <c r="C904" s="268">
        <f t="shared" si="4"/>
        <v>1.0133</v>
      </c>
    </row>
    <row r="905" ht="14.25" customHeight="1">
      <c r="A905" s="267">
        <v>199603.0</v>
      </c>
      <c r="B905" s="268">
        <v>0.0073</v>
      </c>
      <c r="C905" s="268">
        <f t="shared" si="4"/>
        <v>1.0073</v>
      </c>
    </row>
    <row r="906" ht="14.25" customHeight="1">
      <c r="A906" s="267">
        <v>199604.0</v>
      </c>
      <c r="B906" s="268">
        <v>0.0206</v>
      </c>
      <c r="C906" s="268">
        <f t="shared" si="4"/>
        <v>1.0206</v>
      </c>
    </row>
    <row r="907" ht="14.25" customHeight="1">
      <c r="A907" s="267">
        <v>199605.0</v>
      </c>
      <c r="B907" s="268">
        <v>0.0236</v>
      </c>
      <c r="C907" s="268">
        <f t="shared" si="4"/>
        <v>1.0236</v>
      </c>
    </row>
    <row r="908" ht="14.25" customHeight="1">
      <c r="A908" s="267">
        <v>199606.0</v>
      </c>
      <c r="B908" s="268">
        <v>-0.011399999999999999</v>
      </c>
      <c r="C908" s="268">
        <f t="shared" si="4"/>
        <v>0.9886</v>
      </c>
    </row>
    <row r="909" ht="14.25" customHeight="1">
      <c r="A909" s="267">
        <v>199607.0</v>
      </c>
      <c r="B909" s="268">
        <v>-0.059699999999999996</v>
      </c>
      <c r="C909" s="268">
        <f t="shared" si="4"/>
        <v>0.9403</v>
      </c>
    </row>
    <row r="910" ht="14.25" customHeight="1">
      <c r="A910" s="267">
        <v>199608.0</v>
      </c>
      <c r="B910" s="268">
        <v>0.0277</v>
      </c>
      <c r="C910" s="268">
        <f t="shared" si="4"/>
        <v>1.0277</v>
      </c>
    </row>
    <row r="911" ht="14.25" customHeight="1">
      <c r="A911" s="267">
        <v>199609.0</v>
      </c>
      <c r="B911" s="268">
        <v>0.0501</v>
      </c>
      <c r="C911" s="268">
        <f t="shared" si="4"/>
        <v>1.0501</v>
      </c>
    </row>
    <row r="912" ht="14.25" customHeight="1">
      <c r="A912" s="267">
        <v>199610.0</v>
      </c>
      <c r="B912" s="268">
        <v>0.0086</v>
      </c>
      <c r="C912" s="268">
        <f t="shared" si="4"/>
        <v>1.0086</v>
      </c>
    </row>
    <row r="913" ht="14.25" customHeight="1">
      <c r="A913" s="267">
        <v>199611.0</v>
      </c>
      <c r="B913" s="268">
        <v>0.0625</v>
      </c>
      <c r="C913" s="268">
        <f t="shared" si="4"/>
        <v>1.0625</v>
      </c>
    </row>
    <row r="914" ht="14.25" customHeight="1">
      <c r="A914" s="267">
        <v>199612.0</v>
      </c>
      <c r="B914" s="268">
        <v>-0.017</v>
      </c>
      <c r="C914" s="268">
        <f t="shared" si="4"/>
        <v>0.983</v>
      </c>
    </row>
    <row r="915" ht="14.25" customHeight="1">
      <c r="A915" s="267">
        <v>199701.0</v>
      </c>
      <c r="B915" s="268">
        <v>0.049800000000000004</v>
      </c>
      <c r="C915" s="268">
        <f t="shared" si="4"/>
        <v>1.0498</v>
      </c>
    </row>
    <row r="916" ht="14.25" customHeight="1">
      <c r="A916" s="267">
        <v>199702.0</v>
      </c>
      <c r="B916" s="268">
        <v>-0.0049</v>
      </c>
      <c r="C916" s="268">
        <f t="shared" si="4"/>
        <v>0.9951</v>
      </c>
    </row>
    <row r="917" ht="14.25" customHeight="1">
      <c r="A917" s="267">
        <v>199703.0</v>
      </c>
      <c r="B917" s="268">
        <v>-0.050199999999999995</v>
      </c>
      <c r="C917" s="268">
        <f t="shared" si="4"/>
        <v>0.9498</v>
      </c>
    </row>
    <row r="918" ht="14.25" customHeight="1">
      <c r="A918" s="267">
        <v>199704.0</v>
      </c>
      <c r="B918" s="268">
        <v>0.0404</v>
      </c>
      <c r="C918" s="268">
        <f t="shared" si="4"/>
        <v>1.0404</v>
      </c>
    </row>
    <row r="919" ht="14.25" customHeight="1">
      <c r="A919" s="267">
        <v>199705.0</v>
      </c>
      <c r="B919" s="268">
        <v>0.0674</v>
      </c>
      <c r="C919" s="268">
        <f t="shared" si="4"/>
        <v>1.0674</v>
      </c>
    </row>
    <row r="920" ht="14.25" customHeight="1">
      <c r="A920" s="267">
        <v>199706.0</v>
      </c>
      <c r="B920" s="268">
        <v>0.040999999999999995</v>
      </c>
      <c r="C920" s="268">
        <f t="shared" si="4"/>
        <v>1.041</v>
      </c>
    </row>
    <row r="921" ht="14.25" customHeight="1">
      <c r="A921" s="267">
        <v>199707.0</v>
      </c>
      <c r="B921" s="268">
        <v>0.0733</v>
      </c>
      <c r="C921" s="268">
        <f t="shared" si="4"/>
        <v>1.0733</v>
      </c>
    </row>
    <row r="922" ht="14.25" customHeight="1">
      <c r="A922" s="267">
        <v>199708.0</v>
      </c>
      <c r="B922" s="268">
        <v>-0.0415</v>
      </c>
      <c r="C922" s="268">
        <f t="shared" si="4"/>
        <v>0.9585</v>
      </c>
    </row>
    <row r="923" ht="14.25" customHeight="1">
      <c r="A923" s="267">
        <v>199709.0</v>
      </c>
      <c r="B923" s="268">
        <v>0.0535</v>
      </c>
      <c r="C923" s="268">
        <f t="shared" si="4"/>
        <v>1.0535</v>
      </c>
    </row>
    <row r="924" ht="14.25" customHeight="1">
      <c r="A924" s="267">
        <v>199710.0</v>
      </c>
      <c r="B924" s="268">
        <v>-0.038</v>
      </c>
      <c r="C924" s="268">
        <f t="shared" si="4"/>
        <v>0.962</v>
      </c>
    </row>
    <row r="925" ht="14.25" customHeight="1">
      <c r="A925" s="267">
        <v>199711.0</v>
      </c>
      <c r="B925" s="268">
        <v>0.0298</v>
      </c>
      <c r="C925" s="268">
        <f t="shared" si="4"/>
        <v>1.0298</v>
      </c>
    </row>
    <row r="926" ht="14.25" customHeight="1">
      <c r="A926" s="267">
        <v>199712.0</v>
      </c>
      <c r="B926" s="268">
        <v>0.0132</v>
      </c>
      <c r="C926" s="268">
        <f t="shared" si="4"/>
        <v>1.0132</v>
      </c>
    </row>
    <row r="927" ht="14.25" customHeight="1">
      <c r="A927" s="267">
        <v>199801.0</v>
      </c>
      <c r="B927" s="268">
        <v>0.0015</v>
      </c>
      <c r="C927" s="268">
        <f t="shared" si="4"/>
        <v>1.0015</v>
      </c>
    </row>
    <row r="928" ht="14.25" customHeight="1">
      <c r="A928" s="267">
        <v>199802.0</v>
      </c>
      <c r="B928" s="268">
        <v>0.0704</v>
      </c>
      <c r="C928" s="268">
        <f t="shared" si="4"/>
        <v>1.0704</v>
      </c>
    </row>
    <row r="929" ht="14.25" customHeight="1">
      <c r="A929" s="267">
        <v>199803.0</v>
      </c>
      <c r="B929" s="268">
        <v>0.047599999999999996</v>
      </c>
      <c r="C929" s="268">
        <f t="shared" si="4"/>
        <v>1.0476</v>
      </c>
    </row>
    <row r="930" ht="14.25" customHeight="1">
      <c r="A930" s="267">
        <v>199804.0</v>
      </c>
      <c r="B930" s="268">
        <v>0.0073</v>
      </c>
      <c r="C930" s="268">
        <f t="shared" si="4"/>
        <v>1.0073</v>
      </c>
    </row>
    <row r="931" ht="14.25" customHeight="1">
      <c r="A931" s="267">
        <v>199805.0</v>
      </c>
      <c r="B931" s="268">
        <v>-0.030699999999999998</v>
      </c>
      <c r="C931" s="268">
        <f t="shared" si="4"/>
        <v>0.9693</v>
      </c>
    </row>
    <row r="932" ht="14.25" customHeight="1">
      <c r="A932" s="267">
        <v>199806.0</v>
      </c>
      <c r="B932" s="268">
        <v>0.0318</v>
      </c>
      <c r="C932" s="268">
        <f t="shared" si="4"/>
        <v>1.0318</v>
      </c>
    </row>
    <row r="933" ht="14.25" customHeight="1">
      <c r="A933" s="267">
        <v>199807.0</v>
      </c>
      <c r="B933" s="268">
        <v>-0.0246</v>
      </c>
      <c r="C933" s="268">
        <f t="shared" si="4"/>
        <v>0.9754</v>
      </c>
    </row>
    <row r="934" ht="14.25" customHeight="1">
      <c r="A934" s="267">
        <v>199808.0</v>
      </c>
      <c r="B934" s="268">
        <v>-0.16079999999999997</v>
      </c>
      <c r="C934" s="268">
        <f t="shared" si="4"/>
        <v>0.8392</v>
      </c>
    </row>
    <row r="935" ht="14.25" customHeight="1">
      <c r="A935" s="267">
        <v>199809.0</v>
      </c>
      <c r="B935" s="268">
        <v>0.061500000000000006</v>
      </c>
      <c r="C935" s="268">
        <f t="shared" si="4"/>
        <v>1.0615</v>
      </c>
    </row>
    <row r="936" ht="14.25" customHeight="1">
      <c r="A936" s="267">
        <v>199810.0</v>
      </c>
      <c r="B936" s="268">
        <v>0.0713</v>
      </c>
      <c r="C936" s="268">
        <f t="shared" si="4"/>
        <v>1.0713</v>
      </c>
    </row>
    <row r="937" ht="14.25" customHeight="1">
      <c r="A937" s="267">
        <v>199811.0</v>
      </c>
      <c r="B937" s="268">
        <v>0.061</v>
      </c>
      <c r="C937" s="268">
        <f t="shared" si="4"/>
        <v>1.061</v>
      </c>
    </row>
    <row r="938" ht="14.25" customHeight="1">
      <c r="A938" s="267">
        <v>199812.0</v>
      </c>
      <c r="B938" s="268">
        <v>0.0616</v>
      </c>
      <c r="C938" s="268">
        <f t="shared" si="4"/>
        <v>1.0616</v>
      </c>
    </row>
    <row r="939" ht="14.25" customHeight="1">
      <c r="A939" s="267">
        <v>199901.0</v>
      </c>
      <c r="B939" s="268">
        <v>0.035</v>
      </c>
      <c r="C939" s="268">
        <f t="shared" si="4"/>
        <v>1.035</v>
      </c>
    </row>
    <row r="940" ht="14.25" customHeight="1">
      <c r="A940" s="267">
        <v>199902.0</v>
      </c>
      <c r="B940" s="268">
        <v>-0.0408</v>
      </c>
      <c r="C940" s="268">
        <f t="shared" si="4"/>
        <v>0.9592</v>
      </c>
    </row>
    <row r="941" ht="14.25" customHeight="1">
      <c r="A941" s="267">
        <v>199903.0</v>
      </c>
      <c r="B941" s="268">
        <v>0.0345</v>
      </c>
      <c r="C941" s="268">
        <f t="shared" si="4"/>
        <v>1.0345</v>
      </c>
    </row>
    <row r="942" ht="14.25" customHeight="1">
      <c r="A942" s="267">
        <v>199904.0</v>
      </c>
      <c r="B942" s="268">
        <v>0.0433</v>
      </c>
      <c r="C942" s="268">
        <f t="shared" si="4"/>
        <v>1.0433</v>
      </c>
    </row>
    <row r="943" ht="14.25" customHeight="1">
      <c r="A943" s="267">
        <v>199905.0</v>
      </c>
      <c r="B943" s="268">
        <v>-0.0246</v>
      </c>
      <c r="C943" s="268">
        <f t="shared" si="4"/>
        <v>0.9754</v>
      </c>
    </row>
    <row r="944" ht="14.25" customHeight="1">
      <c r="A944" s="267">
        <v>199906.0</v>
      </c>
      <c r="B944" s="268">
        <v>0.04769999999999999</v>
      </c>
      <c r="C944" s="268">
        <f t="shared" si="4"/>
        <v>1.0477</v>
      </c>
    </row>
    <row r="945" ht="14.25" customHeight="1">
      <c r="A945" s="267">
        <v>199907.0</v>
      </c>
      <c r="B945" s="268">
        <v>-0.0349</v>
      </c>
      <c r="C945" s="268">
        <f t="shared" si="4"/>
        <v>0.9651</v>
      </c>
    </row>
    <row r="946" ht="14.25" customHeight="1">
      <c r="A946" s="267">
        <v>199908.0</v>
      </c>
      <c r="B946" s="268">
        <v>-0.0138</v>
      </c>
      <c r="C946" s="268">
        <f t="shared" si="4"/>
        <v>0.9862</v>
      </c>
    </row>
    <row r="947" ht="14.25" customHeight="1">
      <c r="A947" s="267">
        <v>199909.0</v>
      </c>
      <c r="B947" s="268">
        <v>-0.0279</v>
      </c>
      <c r="C947" s="268">
        <f t="shared" si="4"/>
        <v>0.9721</v>
      </c>
    </row>
    <row r="948" ht="14.25" customHeight="1">
      <c r="A948" s="267">
        <v>199910.0</v>
      </c>
      <c r="B948" s="268">
        <v>0.061200000000000004</v>
      </c>
      <c r="C948" s="268">
        <f t="shared" si="4"/>
        <v>1.0612</v>
      </c>
    </row>
    <row r="949" ht="14.25" customHeight="1">
      <c r="A949" s="267">
        <v>199911.0</v>
      </c>
      <c r="B949" s="268">
        <v>0.0337</v>
      </c>
      <c r="C949" s="268">
        <f t="shared" si="4"/>
        <v>1.0337</v>
      </c>
    </row>
    <row r="950" ht="14.25" customHeight="1">
      <c r="A950" s="267">
        <v>199912.0</v>
      </c>
      <c r="B950" s="268">
        <v>0.07719999999999999</v>
      </c>
      <c r="C950" s="268">
        <f t="shared" si="4"/>
        <v>1.0772</v>
      </c>
    </row>
    <row r="951" ht="14.25" customHeight="1">
      <c r="A951" s="267">
        <v>200001.0</v>
      </c>
      <c r="B951" s="268">
        <v>-0.047400000000000005</v>
      </c>
      <c r="C951" s="268">
        <f t="shared" si="4"/>
        <v>0.9526</v>
      </c>
    </row>
    <row r="952" ht="14.25" customHeight="1">
      <c r="A952" s="267">
        <v>200002.0</v>
      </c>
      <c r="B952" s="268">
        <v>0.0245</v>
      </c>
      <c r="C952" s="268">
        <f t="shared" si="4"/>
        <v>1.0245</v>
      </c>
    </row>
    <row r="953" ht="14.25" customHeight="1">
      <c r="A953" s="267">
        <v>200003.0</v>
      </c>
      <c r="B953" s="268">
        <v>0.052000000000000005</v>
      </c>
      <c r="C953" s="268">
        <f t="shared" si="4"/>
        <v>1.052</v>
      </c>
    </row>
    <row r="954" ht="14.25" customHeight="1">
      <c r="A954" s="267">
        <v>200004.0</v>
      </c>
      <c r="B954" s="268">
        <v>-0.064</v>
      </c>
      <c r="C954" s="268">
        <f t="shared" si="4"/>
        <v>0.936</v>
      </c>
    </row>
    <row r="955" ht="14.25" customHeight="1">
      <c r="A955" s="267">
        <v>200005.0</v>
      </c>
      <c r="B955" s="268">
        <v>-0.044199999999999996</v>
      </c>
      <c r="C955" s="268">
        <f t="shared" si="4"/>
        <v>0.9558</v>
      </c>
    </row>
    <row r="956" ht="14.25" customHeight="1">
      <c r="A956" s="267">
        <v>200006.0</v>
      </c>
      <c r="B956" s="268">
        <v>0.0464</v>
      </c>
      <c r="C956" s="268">
        <f t="shared" si="4"/>
        <v>1.0464</v>
      </c>
    </row>
    <row r="957" ht="14.25" customHeight="1">
      <c r="A957" s="267">
        <v>200007.0</v>
      </c>
      <c r="B957" s="268">
        <v>-0.025099999999999997</v>
      </c>
      <c r="C957" s="268">
        <f t="shared" si="4"/>
        <v>0.9749</v>
      </c>
    </row>
    <row r="958" ht="14.25" customHeight="1">
      <c r="A958" s="267">
        <v>200008.0</v>
      </c>
      <c r="B958" s="268">
        <v>0.0703</v>
      </c>
      <c r="C958" s="268">
        <f t="shared" si="4"/>
        <v>1.0703</v>
      </c>
    </row>
    <row r="959" ht="14.25" customHeight="1">
      <c r="A959" s="267">
        <v>200009.0</v>
      </c>
      <c r="B959" s="268">
        <v>-0.0545</v>
      </c>
      <c r="C959" s="268">
        <f t="shared" si="4"/>
        <v>0.9455</v>
      </c>
    </row>
    <row r="960" ht="14.25" customHeight="1">
      <c r="A960" s="267">
        <v>200010.0</v>
      </c>
      <c r="B960" s="268">
        <v>-0.0276</v>
      </c>
      <c r="C960" s="268">
        <f t="shared" si="4"/>
        <v>0.9724</v>
      </c>
    </row>
    <row r="961" ht="14.25" customHeight="1">
      <c r="A961" s="267">
        <v>200011.0</v>
      </c>
      <c r="B961" s="268">
        <v>-0.1072</v>
      </c>
      <c r="C961" s="268">
        <f t="shared" si="4"/>
        <v>0.8928</v>
      </c>
    </row>
    <row r="962" ht="14.25" customHeight="1">
      <c r="A962" s="267">
        <v>200012.0</v>
      </c>
      <c r="B962" s="268">
        <v>0.011899999999999999</v>
      </c>
      <c r="C962" s="268">
        <f t="shared" si="4"/>
        <v>1.0119</v>
      </c>
    </row>
    <row r="963" ht="14.25" customHeight="1">
      <c r="A963" s="267">
        <v>200101.0</v>
      </c>
      <c r="B963" s="268">
        <v>0.0313</v>
      </c>
      <c r="C963" s="268">
        <f t="shared" si="4"/>
        <v>1.0313</v>
      </c>
    </row>
    <row r="964" ht="14.25" customHeight="1">
      <c r="A964" s="267">
        <v>200102.0</v>
      </c>
      <c r="B964" s="268">
        <v>-0.1005</v>
      </c>
      <c r="C964" s="268">
        <f t="shared" si="4"/>
        <v>0.8995</v>
      </c>
    </row>
    <row r="965" ht="14.25" customHeight="1">
      <c r="A965" s="267">
        <v>200103.0</v>
      </c>
      <c r="B965" s="268">
        <v>-0.0726</v>
      </c>
      <c r="C965" s="268">
        <f t="shared" si="4"/>
        <v>0.9274</v>
      </c>
    </row>
    <row r="966" ht="14.25" customHeight="1">
      <c r="A966" s="267">
        <v>200104.0</v>
      </c>
      <c r="B966" s="268">
        <v>0.0794</v>
      </c>
      <c r="C966" s="268">
        <f t="shared" si="4"/>
        <v>1.0794</v>
      </c>
    </row>
    <row r="967" ht="14.25" customHeight="1">
      <c r="A967" s="267">
        <v>200105.0</v>
      </c>
      <c r="B967" s="268">
        <v>0.0072</v>
      </c>
      <c r="C967" s="268">
        <f t="shared" si="4"/>
        <v>1.0072</v>
      </c>
    </row>
    <row r="968" ht="14.25" customHeight="1">
      <c r="A968" s="267">
        <v>200106.0</v>
      </c>
      <c r="B968" s="268">
        <v>-0.0194</v>
      </c>
      <c r="C968" s="268">
        <f t="shared" si="4"/>
        <v>0.9806</v>
      </c>
    </row>
    <row r="969" ht="14.25" customHeight="1">
      <c r="A969" s="267">
        <v>200107.0</v>
      </c>
      <c r="B969" s="268">
        <v>-0.0213</v>
      </c>
      <c r="C969" s="268">
        <f t="shared" si="4"/>
        <v>0.9787</v>
      </c>
    </row>
    <row r="970" ht="14.25" customHeight="1">
      <c r="A970" s="267">
        <v>200108.0</v>
      </c>
      <c r="B970" s="268">
        <v>-0.0646</v>
      </c>
      <c r="C970" s="268">
        <f t="shared" si="4"/>
        <v>0.9354</v>
      </c>
    </row>
    <row r="971" ht="14.25" customHeight="1">
      <c r="A971" s="267">
        <v>200109.0</v>
      </c>
      <c r="B971" s="268">
        <v>-0.0925</v>
      </c>
      <c r="C971" s="268">
        <f t="shared" si="4"/>
        <v>0.9075</v>
      </c>
    </row>
    <row r="972" ht="14.25" customHeight="1">
      <c r="A972" s="267">
        <v>200110.0</v>
      </c>
      <c r="B972" s="268">
        <v>0.0246</v>
      </c>
      <c r="C972" s="268">
        <f t="shared" si="4"/>
        <v>1.0246</v>
      </c>
    </row>
    <row r="973" ht="14.25" customHeight="1">
      <c r="A973" s="267">
        <v>200111.0</v>
      </c>
      <c r="B973" s="268">
        <v>0.0754</v>
      </c>
      <c r="C973" s="268">
        <f t="shared" si="4"/>
        <v>1.0754</v>
      </c>
    </row>
    <row r="974" ht="14.25" customHeight="1">
      <c r="A974" s="267">
        <v>200112.0</v>
      </c>
      <c r="B974" s="268">
        <v>0.0161</v>
      </c>
      <c r="C974" s="268">
        <f t="shared" si="4"/>
        <v>1.0161</v>
      </c>
    </row>
    <row r="975" ht="14.25" customHeight="1">
      <c r="A975" s="267">
        <v>200201.0</v>
      </c>
      <c r="B975" s="268">
        <v>-0.0144</v>
      </c>
      <c r="C975" s="268">
        <f t="shared" si="4"/>
        <v>0.9856</v>
      </c>
    </row>
    <row r="976" ht="14.25" customHeight="1">
      <c r="A976" s="267">
        <v>200202.0</v>
      </c>
      <c r="B976" s="268">
        <v>-0.0229</v>
      </c>
      <c r="C976" s="268">
        <f t="shared" si="4"/>
        <v>0.9771</v>
      </c>
    </row>
    <row r="977" ht="14.25" customHeight="1">
      <c r="A977" s="267">
        <v>200203.0</v>
      </c>
      <c r="B977" s="268">
        <v>0.0424</v>
      </c>
      <c r="C977" s="268">
        <f t="shared" si="4"/>
        <v>1.0424</v>
      </c>
    </row>
    <row r="978" ht="14.25" customHeight="1">
      <c r="A978" s="267">
        <v>200204.0</v>
      </c>
      <c r="B978" s="268">
        <v>-0.052000000000000005</v>
      </c>
      <c r="C978" s="268">
        <f t="shared" si="4"/>
        <v>0.948</v>
      </c>
    </row>
    <row r="979" ht="14.25" customHeight="1">
      <c r="A979" s="267">
        <v>200205.0</v>
      </c>
      <c r="B979" s="268">
        <v>-0.0138</v>
      </c>
      <c r="C979" s="268">
        <f t="shared" si="4"/>
        <v>0.9862</v>
      </c>
    </row>
    <row r="980" ht="14.25" customHeight="1">
      <c r="A980" s="267">
        <v>200206.0</v>
      </c>
      <c r="B980" s="268">
        <v>-0.0721</v>
      </c>
      <c r="C980" s="268">
        <f t="shared" si="4"/>
        <v>0.9279</v>
      </c>
    </row>
    <row r="981" ht="14.25" customHeight="1">
      <c r="A981" s="267">
        <v>200207.0</v>
      </c>
      <c r="B981" s="268">
        <v>-0.0818</v>
      </c>
      <c r="C981" s="268">
        <f t="shared" si="4"/>
        <v>0.9182</v>
      </c>
    </row>
    <row r="982" ht="14.25" customHeight="1">
      <c r="A982" s="267">
        <v>200208.0</v>
      </c>
      <c r="B982" s="268">
        <v>0.005</v>
      </c>
      <c r="C982" s="268">
        <f t="shared" si="4"/>
        <v>1.005</v>
      </c>
    </row>
    <row r="983" ht="14.25" customHeight="1">
      <c r="A983" s="267">
        <v>200209.0</v>
      </c>
      <c r="B983" s="268">
        <v>-0.1035</v>
      </c>
      <c r="C983" s="268">
        <f t="shared" si="4"/>
        <v>0.8965</v>
      </c>
    </row>
    <row r="984" ht="14.25" customHeight="1">
      <c r="A984" s="267">
        <v>200210.0</v>
      </c>
      <c r="B984" s="268">
        <v>0.0784</v>
      </c>
      <c r="C984" s="268">
        <f t="shared" si="4"/>
        <v>1.0784</v>
      </c>
    </row>
    <row r="985" ht="14.25" customHeight="1">
      <c r="A985" s="267">
        <v>200211.0</v>
      </c>
      <c r="B985" s="268">
        <v>0.0596</v>
      </c>
      <c r="C985" s="268">
        <f t="shared" si="4"/>
        <v>1.0596</v>
      </c>
    </row>
    <row r="986" ht="14.25" customHeight="1">
      <c r="A986" s="267">
        <v>200212.0</v>
      </c>
      <c r="B986" s="268">
        <v>-0.0576</v>
      </c>
      <c r="C986" s="268">
        <f t="shared" si="4"/>
        <v>0.9424</v>
      </c>
    </row>
    <row r="987" ht="14.25" customHeight="1">
      <c r="A987" s="267">
        <v>200301.0</v>
      </c>
      <c r="B987" s="268">
        <v>-0.025699999999999997</v>
      </c>
      <c r="C987" s="268">
        <f t="shared" si="4"/>
        <v>0.9743</v>
      </c>
    </row>
    <row r="988" ht="14.25" customHeight="1">
      <c r="A988" s="267">
        <v>200302.0</v>
      </c>
      <c r="B988" s="268">
        <v>-0.018799999999999997</v>
      </c>
      <c r="C988" s="268">
        <f t="shared" si="4"/>
        <v>0.9812</v>
      </c>
    </row>
    <row r="989" ht="14.25" customHeight="1">
      <c r="A989" s="267">
        <v>200303.0</v>
      </c>
      <c r="B989" s="268">
        <v>0.0109</v>
      </c>
      <c r="C989" s="268">
        <f t="shared" si="4"/>
        <v>1.0109</v>
      </c>
    </row>
    <row r="990" ht="14.25" customHeight="1">
      <c r="A990" s="267">
        <v>200304.0</v>
      </c>
      <c r="B990" s="268">
        <v>0.08220000000000001</v>
      </c>
      <c r="C990" s="268">
        <f t="shared" si="4"/>
        <v>1.0822</v>
      </c>
    </row>
    <row r="991" ht="14.25" customHeight="1">
      <c r="A991" s="267">
        <v>200305.0</v>
      </c>
      <c r="B991" s="268">
        <v>0.0605</v>
      </c>
      <c r="C991" s="268">
        <f t="shared" si="4"/>
        <v>1.0605</v>
      </c>
    </row>
    <row r="992" ht="14.25" customHeight="1">
      <c r="A992" s="267">
        <v>200306.0</v>
      </c>
      <c r="B992" s="268">
        <v>0.014199999999999999</v>
      </c>
      <c r="C992" s="268">
        <f t="shared" si="4"/>
        <v>1.0142</v>
      </c>
    </row>
    <row r="993" ht="14.25" customHeight="1">
      <c r="A993" s="267">
        <v>200307.0</v>
      </c>
      <c r="B993" s="268">
        <v>0.0235</v>
      </c>
      <c r="C993" s="268">
        <f t="shared" si="4"/>
        <v>1.0235</v>
      </c>
    </row>
    <row r="994" ht="14.25" customHeight="1">
      <c r="A994" s="267">
        <v>200308.0</v>
      </c>
      <c r="B994" s="268">
        <v>0.023399999999999997</v>
      </c>
      <c r="C994" s="268">
        <f t="shared" si="4"/>
        <v>1.0234</v>
      </c>
    </row>
    <row r="995" ht="14.25" customHeight="1">
      <c r="A995" s="267">
        <v>200309.0</v>
      </c>
      <c r="B995" s="268">
        <v>-0.0124</v>
      </c>
      <c r="C995" s="268">
        <f t="shared" si="4"/>
        <v>0.9876</v>
      </c>
    </row>
    <row r="996" ht="14.25" customHeight="1">
      <c r="A996" s="267">
        <v>200310.0</v>
      </c>
      <c r="B996" s="268">
        <v>0.0608</v>
      </c>
      <c r="C996" s="268">
        <f t="shared" si="4"/>
        <v>1.0608</v>
      </c>
    </row>
    <row r="997" ht="14.25" customHeight="1">
      <c r="A997" s="267">
        <v>200311.0</v>
      </c>
      <c r="B997" s="268">
        <v>0.013500000000000002</v>
      </c>
      <c r="C997" s="268">
        <f t="shared" si="4"/>
        <v>1.0135</v>
      </c>
    </row>
    <row r="998" ht="14.25" customHeight="1">
      <c r="A998" s="267">
        <v>200312.0</v>
      </c>
      <c r="B998" s="268">
        <v>0.0429</v>
      </c>
      <c r="C998" s="268">
        <f t="shared" si="4"/>
        <v>1.0429</v>
      </c>
    </row>
    <row r="999" ht="14.25" customHeight="1">
      <c r="A999" s="267">
        <v>200401.0</v>
      </c>
      <c r="B999" s="268">
        <v>0.0215</v>
      </c>
      <c r="C999" s="268">
        <f t="shared" si="4"/>
        <v>1.0215</v>
      </c>
    </row>
    <row r="1000" ht="14.25" customHeight="1">
      <c r="A1000" s="267">
        <v>200402.0</v>
      </c>
      <c r="B1000" s="268">
        <v>0.013999999999999999</v>
      </c>
      <c r="C1000" s="268">
        <f t="shared" si="4"/>
        <v>1.014</v>
      </c>
    </row>
    <row r="1001" ht="14.25" customHeight="1">
      <c r="A1001" s="267">
        <v>200403.0</v>
      </c>
      <c r="B1001" s="268">
        <v>-0.0132</v>
      </c>
      <c r="C1001" s="268">
        <f t="shared" si="4"/>
        <v>0.9868</v>
      </c>
    </row>
    <row r="1002" ht="14.25" customHeight="1">
      <c r="A1002" s="267">
        <v>200404.0</v>
      </c>
      <c r="B1002" s="268">
        <v>-0.0183</v>
      </c>
      <c r="C1002" s="268">
        <f t="shared" si="4"/>
        <v>0.9817</v>
      </c>
    </row>
    <row r="1003" ht="14.25" customHeight="1">
      <c r="A1003" s="267">
        <v>200405.0</v>
      </c>
      <c r="B1003" s="268">
        <v>0.011699999999999999</v>
      </c>
      <c r="C1003" s="268">
        <f t="shared" si="4"/>
        <v>1.0117</v>
      </c>
    </row>
    <row r="1004" ht="14.25" customHeight="1">
      <c r="A1004" s="267">
        <v>200406.0</v>
      </c>
      <c r="B1004" s="268">
        <v>0.018600000000000002</v>
      </c>
      <c r="C1004" s="268">
        <f t="shared" si="4"/>
        <v>1.0186</v>
      </c>
    </row>
    <row r="1005" ht="14.25" customHeight="1">
      <c r="A1005" s="267">
        <v>200407.0</v>
      </c>
      <c r="B1005" s="268">
        <v>-0.0406</v>
      </c>
      <c r="C1005" s="268">
        <f t="shared" si="4"/>
        <v>0.9594</v>
      </c>
    </row>
    <row r="1006" ht="14.25" customHeight="1">
      <c r="A1006" s="267">
        <v>200408.0</v>
      </c>
      <c r="B1006" s="268">
        <v>8.0E-4</v>
      </c>
      <c r="C1006" s="268">
        <f t="shared" si="4"/>
        <v>1.0008</v>
      </c>
    </row>
    <row r="1007" ht="14.25" customHeight="1">
      <c r="A1007" s="267">
        <v>200409.0</v>
      </c>
      <c r="B1007" s="268">
        <v>0.016</v>
      </c>
      <c r="C1007" s="268">
        <f t="shared" si="4"/>
        <v>1.016</v>
      </c>
    </row>
    <row r="1008" ht="14.25" customHeight="1">
      <c r="A1008" s="267">
        <v>200410.0</v>
      </c>
      <c r="B1008" s="268">
        <v>0.0143</v>
      </c>
      <c r="C1008" s="268">
        <f t="shared" si="4"/>
        <v>1.0143</v>
      </c>
    </row>
    <row r="1009" ht="14.25" customHeight="1">
      <c r="A1009" s="267">
        <v>200411.0</v>
      </c>
      <c r="B1009" s="268">
        <v>0.0454</v>
      </c>
      <c r="C1009" s="268">
        <f t="shared" si="4"/>
        <v>1.0454</v>
      </c>
    </row>
    <row r="1010" ht="14.25" customHeight="1">
      <c r="A1010" s="267">
        <v>200412.0</v>
      </c>
      <c r="B1010" s="268">
        <v>0.034300000000000004</v>
      </c>
      <c r="C1010" s="268">
        <f t="shared" si="4"/>
        <v>1.0343</v>
      </c>
    </row>
    <row r="1011" ht="14.25" customHeight="1">
      <c r="A1011" s="267">
        <v>200501.0</v>
      </c>
      <c r="B1011" s="268">
        <v>-0.0276</v>
      </c>
      <c r="C1011" s="268">
        <f t="shared" si="4"/>
        <v>0.9724</v>
      </c>
    </row>
    <row r="1012" ht="14.25" customHeight="1">
      <c r="A1012" s="267">
        <v>200502.0</v>
      </c>
      <c r="B1012" s="268">
        <v>0.0189</v>
      </c>
      <c r="C1012" s="268">
        <f t="shared" si="4"/>
        <v>1.0189</v>
      </c>
    </row>
    <row r="1013" ht="14.25" customHeight="1">
      <c r="A1013" s="267">
        <v>200503.0</v>
      </c>
      <c r="B1013" s="268">
        <v>-0.0197</v>
      </c>
      <c r="C1013" s="268">
        <f t="shared" si="4"/>
        <v>0.9803</v>
      </c>
    </row>
    <row r="1014" ht="14.25" customHeight="1">
      <c r="A1014" s="267">
        <v>200504.0</v>
      </c>
      <c r="B1014" s="268">
        <v>-0.026099999999999998</v>
      </c>
      <c r="C1014" s="268">
        <f t="shared" si="4"/>
        <v>0.9739</v>
      </c>
    </row>
    <row r="1015" ht="14.25" customHeight="1">
      <c r="A1015" s="267">
        <v>200505.0</v>
      </c>
      <c r="B1015" s="268">
        <v>0.0365</v>
      </c>
      <c r="C1015" s="268">
        <f t="shared" si="4"/>
        <v>1.0365</v>
      </c>
    </row>
    <row r="1016" ht="14.25" customHeight="1">
      <c r="A1016" s="267">
        <v>200506.0</v>
      </c>
      <c r="B1016" s="268">
        <v>0.005699999999999999</v>
      </c>
      <c r="C1016" s="268">
        <f t="shared" si="4"/>
        <v>1.0057</v>
      </c>
    </row>
    <row r="1017" ht="14.25" customHeight="1">
      <c r="A1017" s="267">
        <v>200507.0</v>
      </c>
      <c r="B1017" s="268">
        <v>0.0392</v>
      </c>
      <c r="C1017" s="268">
        <f t="shared" si="4"/>
        <v>1.0392</v>
      </c>
    </row>
    <row r="1018" ht="14.25" customHeight="1">
      <c r="A1018" s="267">
        <v>200508.0</v>
      </c>
      <c r="B1018" s="268">
        <v>-0.012199999999999999</v>
      </c>
      <c r="C1018" s="268">
        <f t="shared" si="4"/>
        <v>0.9878</v>
      </c>
    </row>
    <row r="1019" ht="14.25" customHeight="1">
      <c r="A1019" s="267">
        <v>200509.0</v>
      </c>
      <c r="B1019" s="268">
        <v>0.0049</v>
      </c>
      <c r="C1019" s="268">
        <f t="shared" si="4"/>
        <v>1.0049</v>
      </c>
    </row>
    <row r="1020" ht="14.25" customHeight="1">
      <c r="A1020" s="267">
        <v>200510.0</v>
      </c>
      <c r="B1020" s="268">
        <v>-0.0202</v>
      </c>
      <c r="C1020" s="268">
        <f t="shared" si="4"/>
        <v>0.9798</v>
      </c>
    </row>
    <row r="1021" ht="14.25" customHeight="1">
      <c r="A1021" s="267">
        <v>200511.0</v>
      </c>
      <c r="B1021" s="268">
        <v>0.0361</v>
      </c>
      <c r="C1021" s="268">
        <f t="shared" si="4"/>
        <v>1.0361</v>
      </c>
    </row>
    <row r="1022" ht="14.25" customHeight="1">
      <c r="A1022" s="267">
        <v>200512.0</v>
      </c>
      <c r="B1022" s="268">
        <v>-0.0025</v>
      </c>
      <c r="C1022" s="268">
        <f t="shared" si="4"/>
        <v>0.9975</v>
      </c>
    </row>
    <row r="1023" ht="14.25" customHeight="1">
      <c r="A1023" s="267">
        <v>200601.0</v>
      </c>
      <c r="B1023" s="268">
        <v>0.0304</v>
      </c>
      <c r="C1023" s="268">
        <f t="shared" si="4"/>
        <v>1.0304</v>
      </c>
    </row>
    <row r="1024" ht="14.25" customHeight="1">
      <c r="A1024" s="267">
        <v>200602.0</v>
      </c>
      <c r="B1024" s="268">
        <v>-0.003</v>
      </c>
      <c r="C1024" s="268">
        <f t="shared" si="4"/>
        <v>0.997</v>
      </c>
    </row>
    <row r="1025" ht="14.25" customHeight="1">
      <c r="A1025" s="267">
        <v>200603.0</v>
      </c>
      <c r="B1025" s="268">
        <v>0.0146</v>
      </c>
      <c r="C1025" s="268">
        <f t="shared" si="4"/>
        <v>1.0146</v>
      </c>
    </row>
    <row r="1026" ht="14.25" customHeight="1">
      <c r="A1026" s="267">
        <v>200604.0</v>
      </c>
      <c r="B1026" s="268">
        <v>0.0073</v>
      </c>
      <c r="C1026" s="268">
        <f t="shared" si="4"/>
        <v>1.0073</v>
      </c>
    </row>
    <row r="1027" ht="14.25" customHeight="1">
      <c r="A1027" s="267">
        <v>200605.0</v>
      </c>
      <c r="B1027" s="268">
        <v>-0.035699999999999996</v>
      </c>
      <c r="C1027" s="268">
        <f t="shared" si="4"/>
        <v>0.9643</v>
      </c>
    </row>
    <row r="1028" ht="14.25" customHeight="1">
      <c r="A1028" s="267">
        <v>200606.0</v>
      </c>
      <c r="B1028" s="268">
        <v>-0.0034999999999999996</v>
      </c>
      <c r="C1028" s="268">
        <f t="shared" si="4"/>
        <v>0.9965</v>
      </c>
    </row>
    <row r="1029" ht="14.25" customHeight="1">
      <c r="A1029" s="267">
        <v>200607.0</v>
      </c>
      <c r="B1029" s="268">
        <v>-0.0078000000000000005</v>
      </c>
      <c r="C1029" s="268">
        <f t="shared" si="4"/>
        <v>0.9922</v>
      </c>
    </row>
    <row r="1030" ht="14.25" customHeight="1">
      <c r="A1030" s="267">
        <v>200608.0</v>
      </c>
      <c r="B1030" s="268">
        <v>0.0203</v>
      </c>
      <c r="C1030" s="268">
        <f t="shared" si="4"/>
        <v>1.0203</v>
      </c>
    </row>
    <row r="1031" ht="14.25" customHeight="1">
      <c r="A1031" s="267">
        <v>200609.0</v>
      </c>
      <c r="B1031" s="268">
        <v>0.0184</v>
      </c>
      <c r="C1031" s="268">
        <f t="shared" si="4"/>
        <v>1.0184</v>
      </c>
    </row>
    <row r="1032" ht="14.25" customHeight="1">
      <c r="A1032" s="267">
        <v>200610.0</v>
      </c>
      <c r="B1032" s="268">
        <v>0.0323</v>
      </c>
      <c r="C1032" s="268">
        <f t="shared" si="4"/>
        <v>1.0323</v>
      </c>
    </row>
    <row r="1033" ht="14.25" customHeight="1">
      <c r="A1033" s="267">
        <v>200611.0</v>
      </c>
      <c r="B1033" s="268">
        <v>0.0171</v>
      </c>
      <c r="C1033" s="268">
        <f t="shared" si="4"/>
        <v>1.0171</v>
      </c>
    </row>
    <row r="1034" ht="14.25" customHeight="1">
      <c r="A1034" s="267">
        <v>200612.0</v>
      </c>
      <c r="B1034" s="268">
        <v>0.0087</v>
      </c>
      <c r="C1034" s="268">
        <f t="shared" si="4"/>
        <v>1.0087</v>
      </c>
    </row>
    <row r="1035" ht="14.25" customHeight="1">
      <c r="A1035" s="267">
        <v>200701.0</v>
      </c>
      <c r="B1035" s="268">
        <v>0.013999999999999999</v>
      </c>
      <c r="C1035" s="268">
        <f t="shared" si="4"/>
        <v>1.014</v>
      </c>
    </row>
    <row r="1036" ht="14.25" customHeight="1">
      <c r="A1036" s="267">
        <v>200702.0</v>
      </c>
      <c r="B1036" s="268">
        <v>-0.0196</v>
      </c>
      <c r="C1036" s="268">
        <f t="shared" si="4"/>
        <v>0.9804</v>
      </c>
    </row>
    <row r="1037" ht="14.25" customHeight="1">
      <c r="A1037" s="267">
        <v>200703.0</v>
      </c>
      <c r="B1037" s="268">
        <v>0.0068000000000000005</v>
      </c>
      <c r="C1037" s="268">
        <f t="shared" si="4"/>
        <v>1.0068</v>
      </c>
    </row>
    <row r="1038" ht="14.25" customHeight="1">
      <c r="A1038" s="267">
        <v>200704.0</v>
      </c>
      <c r="B1038" s="268">
        <v>0.0349</v>
      </c>
      <c r="C1038" s="268">
        <f t="shared" si="4"/>
        <v>1.0349</v>
      </c>
    </row>
    <row r="1039" ht="14.25" customHeight="1">
      <c r="A1039" s="267">
        <v>200705.0</v>
      </c>
      <c r="B1039" s="268">
        <v>0.032400000000000005</v>
      </c>
      <c r="C1039" s="268">
        <f t="shared" si="4"/>
        <v>1.0324</v>
      </c>
    </row>
    <row r="1040" ht="14.25" customHeight="1">
      <c r="A1040" s="267">
        <v>200706.0</v>
      </c>
      <c r="B1040" s="268">
        <v>-0.0196</v>
      </c>
      <c r="C1040" s="268">
        <f t="shared" si="4"/>
        <v>0.9804</v>
      </c>
    </row>
    <row r="1041" ht="14.25" customHeight="1">
      <c r="A1041" s="267">
        <v>200707.0</v>
      </c>
      <c r="B1041" s="268">
        <v>-0.0373</v>
      </c>
      <c r="C1041" s="268">
        <f t="shared" si="4"/>
        <v>0.9627</v>
      </c>
    </row>
    <row r="1042" ht="14.25" customHeight="1">
      <c r="A1042" s="267">
        <v>200708.0</v>
      </c>
      <c r="B1042" s="268">
        <v>0.0092</v>
      </c>
      <c r="C1042" s="268">
        <f t="shared" si="4"/>
        <v>1.0092</v>
      </c>
    </row>
    <row r="1043" ht="14.25" customHeight="1">
      <c r="A1043" s="267">
        <v>200709.0</v>
      </c>
      <c r="B1043" s="268">
        <v>0.0322</v>
      </c>
      <c r="C1043" s="268">
        <f t="shared" si="4"/>
        <v>1.0322</v>
      </c>
    </row>
    <row r="1044" ht="14.25" customHeight="1">
      <c r="A1044" s="267">
        <v>200710.0</v>
      </c>
      <c r="B1044" s="268">
        <v>0.018000000000000002</v>
      </c>
      <c r="C1044" s="268">
        <f t="shared" si="4"/>
        <v>1.018</v>
      </c>
    </row>
    <row r="1045" ht="14.25" customHeight="1">
      <c r="A1045" s="267">
        <v>200711.0</v>
      </c>
      <c r="B1045" s="268">
        <v>-0.0483</v>
      </c>
      <c r="C1045" s="268">
        <f t="shared" si="4"/>
        <v>0.9517</v>
      </c>
    </row>
    <row r="1046" ht="14.25" customHeight="1">
      <c r="A1046" s="267">
        <v>200712.0</v>
      </c>
      <c r="B1046" s="268">
        <v>-0.0087</v>
      </c>
      <c r="C1046" s="268">
        <f t="shared" si="4"/>
        <v>0.9913</v>
      </c>
    </row>
    <row r="1047" ht="14.25" customHeight="1">
      <c r="A1047" s="267">
        <v>200801.0</v>
      </c>
      <c r="B1047" s="268">
        <v>-0.0636</v>
      </c>
      <c r="C1047" s="268">
        <f t="shared" si="4"/>
        <v>0.9364</v>
      </c>
    </row>
    <row r="1048" ht="14.25" customHeight="1">
      <c r="A1048" s="267">
        <v>200802.0</v>
      </c>
      <c r="B1048" s="268">
        <v>-0.030899999999999997</v>
      </c>
      <c r="C1048" s="268">
        <f t="shared" si="4"/>
        <v>0.9691</v>
      </c>
    </row>
    <row r="1049" ht="14.25" customHeight="1">
      <c r="A1049" s="267">
        <v>200803.0</v>
      </c>
      <c r="B1049" s="268">
        <v>-0.009300000000000001</v>
      </c>
      <c r="C1049" s="268">
        <f t="shared" si="4"/>
        <v>0.9907</v>
      </c>
    </row>
    <row r="1050" ht="14.25" customHeight="1">
      <c r="A1050" s="267">
        <v>200804.0</v>
      </c>
      <c r="B1050" s="268">
        <v>0.046</v>
      </c>
      <c r="C1050" s="268">
        <f t="shared" si="4"/>
        <v>1.046</v>
      </c>
    </row>
    <row r="1051" ht="14.25" customHeight="1">
      <c r="A1051" s="267">
        <v>200805.0</v>
      </c>
      <c r="B1051" s="268">
        <v>0.018600000000000002</v>
      </c>
      <c r="C1051" s="268">
        <f t="shared" si="4"/>
        <v>1.0186</v>
      </c>
    </row>
    <row r="1052" ht="14.25" customHeight="1">
      <c r="A1052" s="267">
        <v>200806.0</v>
      </c>
      <c r="B1052" s="268">
        <v>-0.08439999999999999</v>
      </c>
      <c r="C1052" s="268">
        <f t="shared" si="4"/>
        <v>0.9156</v>
      </c>
    </row>
    <row r="1053" ht="14.25" customHeight="1">
      <c r="A1053" s="267">
        <v>200807.0</v>
      </c>
      <c r="B1053" s="268">
        <v>-0.0077</v>
      </c>
      <c r="C1053" s="268">
        <f t="shared" si="4"/>
        <v>0.9923</v>
      </c>
    </row>
    <row r="1054" ht="14.25" customHeight="1">
      <c r="A1054" s="267">
        <v>200808.0</v>
      </c>
      <c r="B1054" s="268">
        <v>0.015300000000000001</v>
      </c>
      <c r="C1054" s="268">
        <f t="shared" si="4"/>
        <v>1.0153</v>
      </c>
    </row>
    <row r="1055" ht="14.25" customHeight="1">
      <c r="A1055" s="267">
        <v>200809.0</v>
      </c>
      <c r="B1055" s="268">
        <v>-0.0924</v>
      </c>
      <c r="C1055" s="268">
        <f t="shared" si="4"/>
        <v>0.9076</v>
      </c>
    </row>
    <row r="1056" ht="14.25" customHeight="1">
      <c r="A1056" s="267">
        <v>200810.0</v>
      </c>
      <c r="B1056" s="268">
        <v>-0.1723</v>
      </c>
      <c r="C1056" s="268">
        <f t="shared" si="4"/>
        <v>0.8277</v>
      </c>
    </row>
    <row r="1057" ht="14.25" customHeight="1">
      <c r="A1057" s="267">
        <v>200811.0</v>
      </c>
      <c r="B1057" s="268">
        <v>-0.0786</v>
      </c>
      <c r="C1057" s="268">
        <f t="shared" si="4"/>
        <v>0.9214</v>
      </c>
    </row>
    <row r="1058" ht="14.25" customHeight="1">
      <c r="A1058" s="267">
        <v>200812.0</v>
      </c>
      <c r="B1058" s="268">
        <v>0.0174</v>
      </c>
      <c r="C1058" s="268">
        <f t="shared" si="4"/>
        <v>1.0174</v>
      </c>
    </row>
    <row r="1059" ht="14.25" customHeight="1">
      <c r="A1059" s="267">
        <v>200901.0</v>
      </c>
      <c r="B1059" s="268">
        <v>-0.0812</v>
      </c>
      <c r="C1059" s="268">
        <f t="shared" si="4"/>
        <v>0.9188</v>
      </c>
    </row>
    <row r="1060" ht="14.25" customHeight="1">
      <c r="A1060" s="267">
        <v>200902.0</v>
      </c>
      <c r="B1060" s="268">
        <v>-0.10099999999999999</v>
      </c>
      <c r="C1060" s="268">
        <f t="shared" si="4"/>
        <v>0.899</v>
      </c>
    </row>
    <row r="1061" ht="14.25" customHeight="1">
      <c r="A1061" s="267">
        <v>200903.0</v>
      </c>
      <c r="B1061" s="268">
        <v>0.0895</v>
      </c>
      <c r="C1061" s="268">
        <f t="shared" si="4"/>
        <v>1.0895</v>
      </c>
    </row>
    <row r="1062" ht="14.25" customHeight="1">
      <c r="A1062" s="267">
        <v>200904.0</v>
      </c>
      <c r="B1062" s="268">
        <v>0.1018</v>
      </c>
      <c r="C1062" s="268">
        <f t="shared" si="4"/>
        <v>1.1018</v>
      </c>
    </row>
    <row r="1063" ht="14.25" customHeight="1">
      <c r="A1063" s="267">
        <v>200905.0</v>
      </c>
      <c r="B1063" s="268">
        <v>0.0521</v>
      </c>
      <c r="C1063" s="268">
        <f t="shared" si="4"/>
        <v>1.0521</v>
      </c>
    </row>
    <row r="1064" ht="14.25" customHeight="1">
      <c r="A1064" s="267">
        <v>200906.0</v>
      </c>
      <c r="B1064" s="268">
        <v>0.0043</v>
      </c>
      <c r="C1064" s="268">
        <f t="shared" si="4"/>
        <v>1.0043</v>
      </c>
    </row>
    <row r="1065" ht="14.25" customHeight="1">
      <c r="A1065" s="267">
        <v>200907.0</v>
      </c>
      <c r="B1065" s="268">
        <v>0.07719999999999999</v>
      </c>
      <c r="C1065" s="268">
        <f t="shared" si="4"/>
        <v>1.0772</v>
      </c>
    </row>
    <row r="1066" ht="14.25" customHeight="1">
      <c r="A1066" s="267">
        <v>200908.0</v>
      </c>
      <c r="B1066" s="268">
        <v>0.0333</v>
      </c>
      <c r="C1066" s="268">
        <f t="shared" si="4"/>
        <v>1.0333</v>
      </c>
    </row>
    <row r="1067" ht="14.25" customHeight="1">
      <c r="A1067" s="267">
        <v>200909.0</v>
      </c>
      <c r="B1067" s="268">
        <v>0.0408</v>
      </c>
      <c r="C1067" s="268">
        <f t="shared" si="4"/>
        <v>1.0408</v>
      </c>
    </row>
    <row r="1068" ht="14.25" customHeight="1">
      <c r="A1068" s="267">
        <v>200910.0</v>
      </c>
      <c r="B1068" s="268">
        <v>-0.0259</v>
      </c>
      <c r="C1068" s="268">
        <f t="shared" si="4"/>
        <v>0.9741</v>
      </c>
    </row>
    <row r="1069" ht="14.25" customHeight="1">
      <c r="A1069" s="267">
        <v>200911.0</v>
      </c>
      <c r="B1069" s="268">
        <v>0.0556</v>
      </c>
      <c r="C1069" s="268">
        <f t="shared" si="4"/>
        <v>1.0556</v>
      </c>
    </row>
    <row r="1070" ht="14.25" customHeight="1">
      <c r="A1070" s="267">
        <v>200912.0</v>
      </c>
      <c r="B1070" s="268">
        <v>0.0275</v>
      </c>
      <c r="C1070" s="268">
        <f t="shared" si="4"/>
        <v>1.0275</v>
      </c>
    </row>
    <row r="1071" ht="14.25" customHeight="1">
      <c r="A1071" s="267">
        <v>201001.0</v>
      </c>
      <c r="B1071" s="268">
        <v>-0.0336</v>
      </c>
      <c r="C1071" s="268">
        <f t="shared" si="4"/>
        <v>0.9664</v>
      </c>
    </row>
    <row r="1072" ht="14.25" customHeight="1">
      <c r="A1072" s="267">
        <v>201002.0</v>
      </c>
      <c r="B1072" s="268">
        <v>0.034</v>
      </c>
      <c r="C1072" s="268">
        <f t="shared" si="4"/>
        <v>1.034</v>
      </c>
    </row>
    <row r="1073" ht="14.25" customHeight="1">
      <c r="A1073" s="267">
        <v>201003.0</v>
      </c>
      <c r="B1073" s="268">
        <v>0.06309999999999999</v>
      </c>
      <c r="C1073" s="268">
        <f t="shared" si="4"/>
        <v>1.0631</v>
      </c>
    </row>
    <row r="1074" ht="14.25" customHeight="1">
      <c r="A1074" s="267">
        <v>201004.0</v>
      </c>
      <c r="B1074" s="268">
        <v>0.02</v>
      </c>
      <c r="C1074" s="268">
        <f t="shared" si="4"/>
        <v>1.02</v>
      </c>
    </row>
    <row r="1075" ht="14.25" customHeight="1">
      <c r="A1075" s="267">
        <v>201005.0</v>
      </c>
      <c r="B1075" s="268">
        <v>-0.0789</v>
      </c>
      <c r="C1075" s="268">
        <f t="shared" si="4"/>
        <v>0.9211</v>
      </c>
    </row>
    <row r="1076" ht="14.25" customHeight="1">
      <c r="A1076" s="267">
        <v>201006.0</v>
      </c>
      <c r="B1076" s="268">
        <v>-0.0557</v>
      </c>
      <c r="C1076" s="268">
        <f t="shared" si="4"/>
        <v>0.9443</v>
      </c>
    </row>
    <row r="1077" ht="14.25" customHeight="1">
      <c r="A1077" s="267">
        <v>201007.0</v>
      </c>
      <c r="B1077" s="268">
        <v>0.0693</v>
      </c>
      <c r="C1077" s="268">
        <f t="shared" si="4"/>
        <v>1.0693</v>
      </c>
    </row>
    <row r="1078" ht="14.25" customHeight="1">
      <c r="A1078" s="267">
        <v>201008.0</v>
      </c>
      <c r="B1078" s="268">
        <v>-0.04769999999999999</v>
      </c>
      <c r="C1078" s="268">
        <f t="shared" si="4"/>
        <v>0.9523</v>
      </c>
    </row>
    <row r="1079" ht="14.25" customHeight="1">
      <c r="A1079" s="267">
        <v>201009.0</v>
      </c>
      <c r="B1079" s="268">
        <v>0.09539999999999998</v>
      </c>
      <c r="C1079" s="268">
        <f t="shared" si="4"/>
        <v>1.0954</v>
      </c>
    </row>
    <row r="1080" ht="14.25" customHeight="1">
      <c r="A1080" s="267">
        <v>201010.0</v>
      </c>
      <c r="B1080" s="268">
        <v>0.0388</v>
      </c>
      <c r="C1080" s="268">
        <f t="shared" si="4"/>
        <v>1.0388</v>
      </c>
    </row>
    <row r="1081" ht="14.25" customHeight="1">
      <c r="A1081" s="267">
        <v>201011.0</v>
      </c>
      <c r="B1081" s="268">
        <v>0.006</v>
      </c>
      <c r="C1081" s="268">
        <f t="shared" si="4"/>
        <v>1.006</v>
      </c>
    </row>
    <row r="1082" ht="14.25" customHeight="1">
      <c r="A1082" s="267">
        <v>201012.0</v>
      </c>
      <c r="B1082" s="268">
        <v>0.0682</v>
      </c>
      <c r="C1082" s="268">
        <f t="shared" si="4"/>
        <v>1.0682</v>
      </c>
    </row>
    <row r="1083" ht="14.25" customHeight="1">
      <c r="A1083" s="267">
        <v>201101.0</v>
      </c>
      <c r="B1083" s="268">
        <v>0.0199</v>
      </c>
      <c r="C1083" s="268">
        <f t="shared" si="4"/>
        <v>1.0199</v>
      </c>
    </row>
    <row r="1084" ht="14.25" customHeight="1">
      <c r="A1084" s="267">
        <v>201102.0</v>
      </c>
      <c r="B1084" s="268">
        <v>0.0349</v>
      </c>
      <c r="C1084" s="268">
        <f t="shared" si="4"/>
        <v>1.0349</v>
      </c>
    </row>
    <row r="1085" ht="14.25" customHeight="1">
      <c r="A1085" s="267">
        <v>201103.0</v>
      </c>
      <c r="B1085" s="268">
        <v>0.0046</v>
      </c>
      <c r="C1085" s="268">
        <f t="shared" si="4"/>
        <v>1.0046</v>
      </c>
    </row>
    <row r="1086" ht="14.25" customHeight="1">
      <c r="A1086" s="267">
        <v>201104.0</v>
      </c>
      <c r="B1086" s="268">
        <v>0.028999999999999998</v>
      </c>
      <c r="C1086" s="268">
        <f t="shared" si="4"/>
        <v>1.029</v>
      </c>
    </row>
    <row r="1087" ht="14.25" customHeight="1">
      <c r="A1087" s="267">
        <v>201105.0</v>
      </c>
      <c r="B1087" s="268">
        <v>-0.0127</v>
      </c>
      <c r="C1087" s="268">
        <f t="shared" si="4"/>
        <v>0.9873</v>
      </c>
    </row>
    <row r="1088" ht="14.25" customHeight="1">
      <c r="A1088" s="267">
        <v>201106.0</v>
      </c>
      <c r="B1088" s="268">
        <v>-0.0175</v>
      </c>
      <c r="C1088" s="268">
        <f t="shared" si="4"/>
        <v>0.9825</v>
      </c>
    </row>
    <row r="1089" ht="14.25" customHeight="1">
      <c r="A1089" s="267">
        <v>201107.0</v>
      </c>
      <c r="B1089" s="268">
        <v>-0.0235</v>
      </c>
      <c r="C1089" s="268">
        <f t="shared" si="4"/>
        <v>0.9765</v>
      </c>
    </row>
    <row r="1090" ht="14.25" customHeight="1">
      <c r="A1090" s="267">
        <v>201108.0</v>
      </c>
      <c r="B1090" s="268">
        <v>-0.0599</v>
      </c>
      <c r="C1090" s="268">
        <f t="shared" si="4"/>
        <v>0.9401</v>
      </c>
    </row>
    <row r="1091" ht="14.25" customHeight="1">
      <c r="A1091" s="267">
        <v>201109.0</v>
      </c>
      <c r="B1091" s="268">
        <v>-0.0759</v>
      </c>
      <c r="C1091" s="268">
        <f t="shared" si="4"/>
        <v>0.9241</v>
      </c>
    </row>
    <row r="1092" ht="14.25" customHeight="1">
      <c r="A1092" s="267">
        <v>201110.0</v>
      </c>
      <c r="B1092" s="268">
        <v>0.11349999999999999</v>
      </c>
      <c r="C1092" s="268">
        <f t="shared" si="4"/>
        <v>1.1135</v>
      </c>
    </row>
    <row r="1093" ht="14.25" customHeight="1">
      <c r="A1093" s="267">
        <v>201111.0</v>
      </c>
      <c r="B1093" s="268">
        <v>-0.0028000000000000004</v>
      </c>
      <c r="C1093" s="268">
        <f t="shared" si="4"/>
        <v>0.9972</v>
      </c>
    </row>
    <row r="1094" ht="14.25" customHeight="1">
      <c r="A1094" s="267">
        <v>201112.0</v>
      </c>
      <c r="B1094" s="268">
        <v>0.0074</v>
      </c>
      <c r="C1094" s="268">
        <f t="shared" si="4"/>
        <v>1.0074</v>
      </c>
    </row>
    <row r="1095" ht="14.25" customHeight="1">
      <c r="A1095" s="267">
        <v>201201.0</v>
      </c>
      <c r="B1095" s="268">
        <v>0.050499999999999996</v>
      </c>
      <c r="C1095" s="268">
        <f t="shared" si="4"/>
        <v>1.0505</v>
      </c>
    </row>
    <row r="1096" ht="14.25" customHeight="1">
      <c r="A1096" s="267">
        <v>201202.0</v>
      </c>
      <c r="B1096" s="268">
        <v>0.044199999999999996</v>
      </c>
      <c r="C1096" s="268">
        <f t="shared" si="4"/>
        <v>1.0442</v>
      </c>
    </row>
    <row r="1097" ht="14.25" customHeight="1">
      <c r="A1097" s="267">
        <v>201203.0</v>
      </c>
      <c r="B1097" s="268">
        <v>0.0311</v>
      </c>
      <c r="C1097" s="268">
        <f t="shared" si="4"/>
        <v>1.0311</v>
      </c>
    </row>
    <row r="1098" ht="14.25" customHeight="1">
      <c r="A1098" s="267">
        <v>201204.0</v>
      </c>
      <c r="B1098" s="268">
        <v>-0.0085</v>
      </c>
      <c r="C1098" s="268">
        <f t="shared" si="4"/>
        <v>0.9915</v>
      </c>
    </row>
    <row r="1099" ht="14.25" customHeight="1">
      <c r="A1099" s="267">
        <v>201205.0</v>
      </c>
      <c r="B1099" s="268">
        <v>-0.061900000000000004</v>
      </c>
      <c r="C1099" s="268">
        <f t="shared" si="4"/>
        <v>0.9381</v>
      </c>
    </row>
    <row r="1100" ht="14.25" customHeight="1">
      <c r="A1100" s="267">
        <v>201206.0</v>
      </c>
      <c r="B1100" s="268">
        <v>0.038900000000000004</v>
      </c>
      <c r="C1100" s="268">
        <f t="shared" si="4"/>
        <v>1.0389</v>
      </c>
    </row>
    <row r="1101" ht="14.25" customHeight="1">
      <c r="A1101" s="267">
        <v>201207.0</v>
      </c>
      <c r="B1101" s="268">
        <v>0.0079</v>
      </c>
      <c r="C1101" s="268">
        <f t="shared" si="4"/>
        <v>1.0079</v>
      </c>
    </row>
    <row r="1102" ht="14.25" customHeight="1">
      <c r="A1102" s="267">
        <v>201208.0</v>
      </c>
      <c r="B1102" s="268">
        <v>0.0255</v>
      </c>
      <c r="C1102" s="268">
        <f t="shared" si="4"/>
        <v>1.0255</v>
      </c>
    </row>
    <row r="1103" ht="14.25" customHeight="1">
      <c r="A1103" s="267">
        <v>201209.0</v>
      </c>
      <c r="B1103" s="268">
        <v>0.0273</v>
      </c>
      <c r="C1103" s="268">
        <f t="shared" si="4"/>
        <v>1.0273</v>
      </c>
    </row>
    <row r="1104" ht="14.25" customHeight="1">
      <c r="A1104" s="267">
        <v>201210.0</v>
      </c>
      <c r="B1104" s="268">
        <v>-0.0176</v>
      </c>
      <c r="C1104" s="268">
        <f t="shared" si="4"/>
        <v>0.9824</v>
      </c>
    </row>
    <row r="1105" ht="14.25" customHeight="1">
      <c r="A1105" s="267">
        <v>201211.0</v>
      </c>
      <c r="B1105" s="268">
        <v>0.0078000000000000005</v>
      </c>
      <c r="C1105" s="268">
        <f t="shared" si="4"/>
        <v>1.0078</v>
      </c>
    </row>
    <row r="1106" ht="14.25" customHeight="1">
      <c r="A1106" s="267">
        <v>201212.0</v>
      </c>
      <c r="B1106" s="268">
        <v>0.0118</v>
      </c>
      <c r="C1106" s="268">
        <f t="shared" si="4"/>
        <v>1.0118</v>
      </c>
    </row>
    <row r="1107" ht="14.25" customHeight="1">
      <c r="A1107" s="267">
        <v>201301.0</v>
      </c>
      <c r="B1107" s="268">
        <v>0.0557</v>
      </c>
      <c r="C1107" s="268">
        <f t="shared" si="4"/>
        <v>1.0557</v>
      </c>
    </row>
    <row r="1108" ht="14.25" customHeight="1">
      <c r="A1108" s="267">
        <v>201302.0</v>
      </c>
      <c r="B1108" s="268">
        <v>0.0129</v>
      </c>
      <c r="C1108" s="268">
        <f t="shared" si="4"/>
        <v>1.0129</v>
      </c>
    </row>
    <row r="1109" ht="14.25" customHeight="1">
      <c r="A1109" s="267">
        <v>201303.0</v>
      </c>
      <c r="B1109" s="268">
        <v>0.0403</v>
      </c>
      <c r="C1109" s="268">
        <f t="shared" si="4"/>
        <v>1.0403</v>
      </c>
    </row>
    <row r="1110" ht="14.25" customHeight="1">
      <c r="A1110" s="267">
        <v>201304.0</v>
      </c>
      <c r="B1110" s="268">
        <v>0.0155</v>
      </c>
      <c r="C1110" s="268">
        <f t="shared" si="4"/>
        <v>1.0155</v>
      </c>
    </row>
    <row r="1111" ht="14.25" customHeight="1">
      <c r="A1111" s="267">
        <v>201305.0</v>
      </c>
      <c r="B1111" s="268">
        <v>0.027999999999999997</v>
      </c>
      <c r="C1111" s="268">
        <f t="shared" si="4"/>
        <v>1.028</v>
      </c>
    </row>
    <row r="1112" ht="14.25" customHeight="1">
      <c r="A1112" s="267">
        <v>201306.0</v>
      </c>
      <c r="B1112" s="268">
        <v>-0.012</v>
      </c>
      <c r="C1112" s="268">
        <f t="shared" si="4"/>
        <v>0.988</v>
      </c>
    </row>
    <row r="1113" ht="14.25" customHeight="1">
      <c r="A1113" s="267">
        <v>201307.0</v>
      </c>
      <c r="B1113" s="268">
        <v>0.0565</v>
      </c>
      <c r="C1113" s="268">
        <f t="shared" si="4"/>
        <v>1.0565</v>
      </c>
    </row>
    <row r="1114" ht="14.25" customHeight="1">
      <c r="A1114" s="267">
        <v>201308.0</v>
      </c>
      <c r="B1114" s="268">
        <v>-0.0271</v>
      </c>
      <c r="C1114" s="268">
        <f t="shared" si="4"/>
        <v>0.9729</v>
      </c>
    </row>
    <row r="1115" ht="14.25" customHeight="1">
      <c r="A1115" s="267">
        <v>201309.0</v>
      </c>
      <c r="B1115" s="268">
        <v>0.0377</v>
      </c>
      <c r="C1115" s="268">
        <f t="shared" si="4"/>
        <v>1.0377</v>
      </c>
    </row>
    <row r="1116" ht="14.25" customHeight="1">
      <c r="A1116" s="267">
        <v>201310.0</v>
      </c>
      <c r="B1116" s="268">
        <v>0.0418</v>
      </c>
      <c r="C1116" s="268">
        <f t="shared" si="4"/>
        <v>1.0418</v>
      </c>
    </row>
    <row r="1117" ht="14.25" customHeight="1">
      <c r="A1117" s="267">
        <v>201311.0</v>
      </c>
      <c r="B1117" s="268">
        <v>0.0313</v>
      </c>
      <c r="C1117" s="268">
        <f t="shared" si="4"/>
        <v>1.0313</v>
      </c>
    </row>
    <row r="1118" ht="14.25" customHeight="1">
      <c r="A1118" s="267">
        <v>201312.0</v>
      </c>
      <c r="B1118" s="268">
        <v>0.0281</v>
      </c>
      <c r="C1118" s="268">
        <f t="shared" si="4"/>
        <v>1.0281</v>
      </c>
    </row>
    <row r="1119" ht="14.25" customHeight="1">
      <c r="A1119" s="267">
        <v>201401.0</v>
      </c>
      <c r="B1119" s="268">
        <v>-0.0332</v>
      </c>
      <c r="C1119" s="268">
        <f t="shared" si="4"/>
        <v>0.9668</v>
      </c>
    </row>
    <row r="1120" ht="14.25" customHeight="1">
      <c r="A1120" s="267">
        <v>201402.0</v>
      </c>
      <c r="B1120" s="268">
        <v>0.04650000000000001</v>
      </c>
      <c r="C1120" s="268">
        <f t="shared" si="4"/>
        <v>1.0465</v>
      </c>
    </row>
    <row r="1121" ht="14.25" customHeight="1">
      <c r="A1121" s="267">
        <v>201403.0</v>
      </c>
      <c r="B1121" s="268">
        <v>0.0043</v>
      </c>
      <c r="C1121" s="268">
        <f t="shared" si="4"/>
        <v>1.0043</v>
      </c>
    </row>
    <row r="1122" ht="14.25" customHeight="1">
      <c r="A1122" s="267">
        <v>201404.0</v>
      </c>
      <c r="B1122" s="268">
        <v>-0.0019</v>
      </c>
      <c r="C1122" s="268">
        <f t="shared" si="4"/>
        <v>0.9981</v>
      </c>
    </row>
    <row r="1123" ht="14.25" customHeight="1">
      <c r="A1123" s="267">
        <v>201405.0</v>
      </c>
      <c r="B1123" s="268">
        <v>0.0206</v>
      </c>
      <c r="C1123" s="268">
        <f t="shared" si="4"/>
        <v>1.0206</v>
      </c>
    </row>
    <row r="1124" ht="14.25" customHeight="1">
      <c r="A1124" s="267">
        <v>201406.0</v>
      </c>
      <c r="B1124" s="268">
        <v>0.026099999999999998</v>
      </c>
      <c r="C1124" s="268">
        <f t="shared" si="4"/>
        <v>1.0261</v>
      </c>
    </row>
    <row r="1125" ht="14.25" customHeight="1">
      <c r="A1125" s="267">
        <v>201407.0</v>
      </c>
      <c r="B1125" s="268">
        <v>-0.0204</v>
      </c>
      <c r="C1125" s="268">
        <f t="shared" si="4"/>
        <v>0.9796</v>
      </c>
    </row>
    <row r="1126" ht="14.25" customHeight="1">
      <c r="A1126" s="267">
        <v>201408.0</v>
      </c>
      <c r="B1126" s="268">
        <v>0.0424</v>
      </c>
      <c r="C1126" s="268">
        <f t="shared" si="4"/>
        <v>1.0424</v>
      </c>
    </row>
    <row r="1127" ht="14.25" customHeight="1">
      <c r="A1127" s="267">
        <v>201409.0</v>
      </c>
      <c r="B1127" s="268">
        <v>-0.0197</v>
      </c>
      <c r="C1127" s="268">
        <f t="shared" si="4"/>
        <v>0.9803</v>
      </c>
    </row>
    <row r="1128" ht="14.25" customHeight="1">
      <c r="A1128" s="267">
        <v>201410.0</v>
      </c>
      <c r="B1128" s="268">
        <v>0.0252</v>
      </c>
      <c r="C1128" s="268">
        <f t="shared" si="4"/>
        <v>1.0252</v>
      </c>
    </row>
    <row r="1129" ht="14.25" customHeight="1">
      <c r="A1129" s="267">
        <v>201411.0</v>
      </c>
      <c r="B1129" s="268">
        <v>0.0255</v>
      </c>
      <c r="C1129" s="268">
        <f t="shared" si="4"/>
        <v>1.0255</v>
      </c>
    </row>
    <row r="1130" ht="14.25" customHeight="1">
      <c r="A1130" s="267">
        <v>201412.0</v>
      </c>
      <c r="B1130" s="268">
        <v>-6.0E-4</v>
      </c>
      <c r="C1130" s="268">
        <f t="shared" si="4"/>
        <v>0.9994</v>
      </c>
    </row>
    <row r="1131" ht="14.25" customHeight="1">
      <c r="A1131" s="267">
        <v>201501.0</v>
      </c>
      <c r="B1131" s="268">
        <v>-0.0311</v>
      </c>
      <c r="C1131" s="268">
        <f t="shared" si="4"/>
        <v>0.9689</v>
      </c>
    </row>
    <row r="1132" ht="14.25" customHeight="1">
      <c r="A1132" s="267">
        <v>201502.0</v>
      </c>
      <c r="B1132" s="268">
        <v>0.061399999999999996</v>
      </c>
      <c r="C1132" s="268">
        <f t="shared" si="4"/>
        <v>1.0614</v>
      </c>
    </row>
    <row r="1133" ht="14.25" customHeight="1">
      <c r="A1133" s="267">
        <v>201503.0</v>
      </c>
      <c r="B1133" s="268">
        <v>-0.011200000000000002</v>
      </c>
      <c r="C1133" s="268">
        <f t="shared" si="4"/>
        <v>0.9888</v>
      </c>
    </row>
    <row r="1134" ht="14.25" customHeight="1">
      <c r="A1134" s="267">
        <v>201504.0</v>
      </c>
      <c r="B1134" s="268">
        <v>0.0059</v>
      </c>
      <c r="C1134" s="268">
        <f t="shared" si="4"/>
        <v>1.0059</v>
      </c>
    </row>
    <row r="1135" ht="14.25" customHeight="1">
      <c r="A1135" s="267">
        <v>201505.0</v>
      </c>
      <c r="B1135" s="268">
        <v>0.013600000000000001</v>
      </c>
      <c r="C1135" s="268">
        <f t="shared" si="4"/>
        <v>1.0136</v>
      </c>
    </row>
    <row r="1136" ht="14.25" customHeight="1">
      <c r="A1136" s="267">
        <v>201506.0</v>
      </c>
      <c r="B1136" s="268">
        <v>-0.015300000000000001</v>
      </c>
      <c r="C1136" s="268">
        <f t="shared" si="4"/>
        <v>0.9847</v>
      </c>
    </row>
    <row r="1137" ht="14.25" customHeight="1">
      <c r="A1137" s="267">
        <v>201507.0</v>
      </c>
      <c r="B1137" s="268">
        <v>0.0154</v>
      </c>
      <c r="C1137" s="268">
        <f t="shared" si="4"/>
        <v>1.0154</v>
      </c>
    </row>
    <row r="1138" ht="14.25" customHeight="1">
      <c r="A1138" s="267">
        <v>201508.0</v>
      </c>
      <c r="B1138" s="268">
        <v>-0.0604</v>
      </c>
      <c r="C1138" s="268">
        <f t="shared" si="4"/>
        <v>0.9396</v>
      </c>
    </row>
    <row r="1139" ht="14.25" customHeight="1">
      <c r="A1139" s="267">
        <v>201509.0</v>
      </c>
      <c r="B1139" s="268">
        <v>-0.030699999999999998</v>
      </c>
      <c r="C1139" s="268">
        <f t="shared" si="4"/>
        <v>0.9693</v>
      </c>
    </row>
    <row r="1140" ht="14.25" customHeight="1">
      <c r="A1140" s="267">
        <v>201510.0</v>
      </c>
      <c r="B1140" s="268">
        <v>0.0775</v>
      </c>
      <c r="C1140" s="268">
        <f t="shared" si="4"/>
        <v>1.0775</v>
      </c>
    </row>
    <row r="1141" ht="14.25" customHeight="1">
      <c r="A1141" s="267">
        <v>201511.0</v>
      </c>
      <c r="B1141" s="268">
        <v>0.005600000000000001</v>
      </c>
      <c r="C1141" s="268">
        <f t="shared" si="4"/>
        <v>1.0056</v>
      </c>
    </row>
    <row r="1142" ht="14.25" customHeight="1">
      <c r="A1142" s="267">
        <v>201512.0</v>
      </c>
      <c r="B1142" s="268">
        <v>-0.0217</v>
      </c>
      <c r="C1142" s="268">
        <f t="shared" si="4"/>
        <v>0.9783</v>
      </c>
    </row>
    <row r="1143" ht="14.25" customHeight="1">
      <c r="A1143" s="267">
        <v>201601.0</v>
      </c>
      <c r="B1143" s="268">
        <v>-0.057699999999999994</v>
      </c>
      <c r="C1143" s="268">
        <f t="shared" si="4"/>
        <v>0.9423</v>
      </c>
    </row>
    <row r="1144" ht="14.25" customHeight="1">
      <c r="A1144" s="267">
        <v>201602.0</v>
      </c>
      <c r="B1144" s="268">
        <v>-8.0E-4</v>
      </c>
      <c r="C1144" s="268">
        <f t="shared" si="4"/>
        <v>0.9992</v>
      </c>
    </row>
    <row r="1145" ht="14.25" customHeight="1">
      <c r="A1145" s="267">
        <v>201603.0</v>
      </c>
      <c r="B1145" s="268">
        <v>0.0696</v>
      </c>
      <c r="C1145" s="268">
        <f t="shared" si="4"/>
        <v>1.0696</v>
      </c>
    </row>
    <row r="1146" ht="14.25" customHeight="1">
      <c r="A1146" s="267">
        <v>201604.0</v>
      </c>
      <c r="B1146" s="268">
        <v>0.0092</v>
      </c>
      <c r="C1146" s="268">
        <f t="shared" si="4"/>
        <v>1.0092</v>
      </c>
    </row>
    <row r="1147" ht="14.25" customHeight="1">
      <c r="A1147" s="267">
        <v>201605.0</v>
      </c>
      <c r="B1147" s="268">
        <v>0.0178</v>
      </c>
      <c r="C1147" s="268">
        <f t="shared" si="4"/>
        <v>1.0178</v>
      </c>
    </row>
    <row r="1148" ht="14.25" customHeight="1">
      <c r="A1148" s="267">
        <v>201606.0</v>
      </c>
      <c r="B1148" s="268">
        <v>-5.0E-4</v>
      </c>
      <c r="C1148" s="268">
        <f t="shared" si="4"/>
        <v>0.9995</v>
      </c>
    </row>
    <row r="1149" ht="14.25" customHeight="1">
      <c r="A1149" s="267">
        <v>201607.0</v>
      </c>
      <c r="B1149" s="268">
        <v>0.0395</v>
      </c>
      <c r="C1149" s="268">
        <f t="shared" si="4"/>
        <v>1.0395</v>
      </c>
    </row>
    <row r="1150" ht="14.25" customHeight="1">
      <c r="A1150" s="267">
        <v>201608.0</v>
      </c>
      <c r="B1150" s="268">
        <v>0.005</v>
      </c>
      <c r="C1150" s="268">
        <f t="shared" si="4"/>
        <v>1.005</v>
      </c>
    </row>
    <row r="1151" ht="14.25" customHeight="1">
      <c r="A1151" s="267">
        <v>201609.0</v>
      </c>
      <c r="B1151" s="268">
        <v>0.0025</v>
      </c>
      <c r="C1151" s="268">
        <f t="shared" si="4"/>
        <v>1.0025</v>
      </c>
    </row>
    <row r="1152" ht="14.25" customHeight="1">
      <c r="A1152" s="267">
        <v>201610.0</v>
      </c>
      <c r="B1152" s="268">
        <v>-0.0202</v>
      </c>
      <c r="C1152" s="268">
        <f t="shared" si="4"/>
        <v>0.9798</v>
      </c>
    </row>
    <row r="1153" ht="14.25" customHeight="1">
      <c r="A1153" s="267">
        <v>201611.0</v>
      </c>
      <c r="B1153" s="268">
        <v>0.048600000000000004</v>
      </c>
      <c r="C1153" s="268">
        <f t="shared" si="4"/>
        <v>1.0486</v>
      </c>
    </row>
    <row r="1154" ht="14.25" customHeight="1">
      <c r="A1154" s="267">
        <v>201612.0</v>
      </c>
      <c r="B1154" s="268">
        <v>0.0181</v>
      </c>
      <c r="C1154" s="268">
        <f t="shared" si="4"/>
        <v>1.0181</v>
      </c>
    </row>
    <row r="1155" ht="14.25" customHeight="1">
      <c r="A1155" s="267">
        <v>201701.0</v>
      </c>
      <c r="B1155" s="268">
        <v>0.0194</v>
      </c>
      <c r="C1155" s="268">
        <f t="shared" si="4"/>
        <v>1.0194</v>
      </c>
    </row>
    <row r="1156" ht="14.25" customHeight="1">
      <c r="A1156" s="267">
        <v>201702.0</v>
      </c>
      <c r="B1156" s="268">
        <v>0.035699999999999996</v>
      </c>
      <c r="C1156" s="268">
        <f t="shared" si="4"/>
        <v>1.0357</v>
      </c>
    </row>
    <row r="1157" ht="14.25" customHeight="1">
      <c r="A1157" s="267">
        <v>201703.0</v>
      </c>
      <c r="B1157" s="268">
        <v>0.0017000000000000001</v>
      </c>
      <c r="C1157" s="268">
        <f t="shared" si="4"/>
        <v>1.0017</v>
      </c>
    </row>
    <row r="1158" ht="14.25" customHeight="1">
      <c r="A1158" s="267">
        <v>201704.0</v>
      </c>
      <c r="B1158" s="268">
        <v>0.0109</v>
      </c>
      <c r="C1158" s="268">
        <f t="shared" si="4"/>
        <v>1.0109</v>
      </c>
    </row>
    <row r="1159" ht="14.25" customHeight="1">
      <c r="A1159" s="267">
        <v>201705.0</v>
      </c>
      <c r="B1159" s="268">
        <v>0.0106</v>
      </c>
      <c r="C1159" s="268">
        <f t="shared" si="4"/>
        <v>1.0106</v>
      </c>
    </row>
    <row r="1160" ht="14.25" customHeight="1">
      <c r="A1160" s="267">
        <v>201706.0</v>
      </c>
      <c r="B1160" s="268">
        <v>0.0078000000000000005</v>
      </c>
      <c r="C1160" s="268">
        <f t="shared" si="4"/>
        <v>1.0078</v>
      </c>
    </row>
    <row r="1161" ht="14.25" customHeight="1">
      <c r="A1161" s="267">
        <v>201707.0</v>
      </c>
      <c r="B1161" s="268">
        <v>0.0187</v>
      </c>
      <c r="C1161" s="268">
        <f t="shared" si="4"/>
        <v>1.0187</v>
      </c>
    </row>
    <row r="1162" ht="14.25" customHeight="1">
      <c r="A1162" s="267">
        <v>201708.0</v>
      </c>
      <c r="B1162" s="268">
        <v>0.0016</v>
      </c>
      <c r="C1162" s="268">
        <f t="shared" si="4"/>
        <v>1.0016</v>
      </c>
    </row>
    <row r="1163" ht="14.25" customHeight="1">
      <c r="A1163" s="267">
        <v>201709.0</v>
      </c>
      <c r="B1163" s="268">
        <v>0.025099999999999997</v>
      </c>
      <c r="C1163" s="268">
        <f t="shared" si="4"/>
        <v>1.0251</v>
      </c>
    </row>
    <row r="1164" ht="14.25" customHeight="1">
      <c r="A1164" s="267">
        <v>201710.0</v>
      </c>
      <c r="B1164" s="268">
        <v>0.0225</v>
      </c>
      <c r="C1164" s="268">
        <f t="shared" si="4"/>
        <v>1.0225</v>
      </c>
    </row>
    <row r="1165" ht="14.25" customHeight="1">
      <c r="A1165" s="267">
        <v>201711.0</v>
      </c>
      <c r="B1165" s="268">
        <v>0.031200000000000002</v>
      </c>
      <c r="C1165" s="268">
        <f t="shared" si="4"/>
        <v>1.0312</v>
      </c>
    </row>
    <row r="1166" ht="14.25" customHeight="1">
      <c r="A1166" s="267">
        <v>201712.0</v>
      </c>
      <c r="B1166" s="268">
        <v>0.0106</v>
      </c>
      <c r="C1166" s="268">
        <f t="shared" si="4"/>
        <v>1.0106</v>
      </c>
    </row>
    <row r="1167" ht="14.25" customHeight="1">
      <c r="A1167" s="267">
        <v>201801.0</v>
      </c>
      <c r="B1167" s="268">
        <v>0.0558</v>
      </c>
      <c r="C1167" s="268">
        <f t="shared" si="4"/>
        <v>1.0558</v>
      </c>
    </row>
    <row r="1168" ht="14.25" customHeight="1">
      <c r="A1168" s="267">
        <v>201802.0</v>
      </c>
      <c r="B1168" s="268">
        <v>-0.0365</v>
      </c>
      <c r="C1168" s="268">
        <f t="shared" si="4"/>
        <v>0.9635</v>
      </c>
    </row>
    <row r="1169" ht="14.25" customHeight="1">
      <c r="A1169" s="267">
        <v>201803.0</v>
      </c>
      <c r="B1169" s="268">
        <v>-0.0235</v>
      </c>
      <c r="C1169" s="268">
        <f t="shared" si="4"/>
        <v>0.9765</v>
      </c>
    </row>
    <row r="1170" ht="14.25" customHeight="1">
      <c r="A1170" s="267">
        <v>201804.0</v>
      </c>
      <c r="B1170" s="268">
        <v>0.0029</v>
      </c>
      <c r="C1170" s="268">
        <f t="shared" si="4"/>
        <v>1.0029</v>
      </c>
    </row>
    <row r="1171" ht="14.25" customHeight="1">
      <c r="A1171" s="267">
        <v>201805.0</v>
      </c>
      <c r="B1171" s="268">
        <v>0.0265</v>
      </c>
      <c r="C1171" s="268">
        <f t="shared" si="4"/>
        <v>1.0265</v>
      </c>
    </row>
    <row r="1172" ht="14.25" customHeight="1">
      <c r="A1172" s="267">
        <v>201806.0</v>
      </c>
      <c r="B1172" s="268">
        <v>0.0048</v>
      </c>
      <c r="C1172" s="268">
        <f t="shared" si="4"/>
        <v>1.0048</v>
      </c>
    </row>
    <row r="1173" ht="14.25" customHeight="1">
      <c r="A1173" s="267">
        <v>201807.0</v>
      </c>
      <c r="B1173" s="268">
        <v>0.0319</v>
      </c>
      <c r="C1173" s="268">
        <f t="shared" si="4"/>
        <v>1.0319</v>
      </c>
    </row>
    <row r="1174" ht="14.25" customHeight="1">
      <c r="A1174" s="267">
        <v>201808.0</v>
      </c>
      <c r="B1174" s="268">
        <v>0.0344</v>
      </c>
      <c r="C1174" s="268">
        <f t="shared" si="4"/>
        <v>1.0344</v>
      </c>
    </row>
    <row r="1175" ht="14.25" customHeight="1">
      <c r="A1175" s="267">
        <v>201809.0</v>
      </c>
      <c r="B1175" s="268">
        <v>6.0E-4</v>
      </c>
      <c r="C1175" s="268">
        <f t="shared" si="4"/>
        <v>1.0006</v>
      </c>
    </row>
    <row r="1176" ht="14.25" customHeight="1">
      <c r="A1176" s="267">
        <v>201810.0</v>
      </c>
      <c r="B1176" s="268">
        <v>-0.0768</v>
      </c>
      <c r="C1176" s="268">
        <f t="shared" si="4"/>
        <v>0.9232</v>
      </c>
    </row>
    <row r="1177" ht="14.25" customHeight="1">
      <c r="A1177" s="267">
        <v>201811.0</v>
      </c>
      <c r="B1177" s="268">
        <v>0.0169</v>
      </c>
      <c r="C1177" s="268">
        <f t="shared" si="4"/>
        <v>1.0169</v>
      </c>
    </row>
    <row r="1178" ht="14.25" customHeight="1">
      <c r="A1178" s="267">
        <v>201812.0</v>
      </c>
      <c r="B1178" s="268">
        <v>-0.0955</v>
      </c>
      <c r="C1178" s="268">
        <f t="shared" si="4"/>
        <v>0.9045</v>
      </c>
    </row>
    <row r="1179" ht="14.25" customHeight="1">
      <c r="A1179" s="267">
        <v>201901.0</v>
      </c>
      <c r="B1179" s="268">
        <v>0.08410000000000001</v>
      </c>
      <c r="C1179" s="268">
        <f t="shared" si="4"/>
        <v>1.0841</v>
      </c>
    </row>
    <row r="1180" ht="14.25" customHeight="1">
      <c r="A1180" s="267">
        <v>201902.0</v>
      </c>
      <c r="B1180" s="268">
        <v>0.034</v>
      </c>
      <c r="C1180" s="268">
        <f t="shared" si="4"/>
        <v>1.034</v>
      </c>
    </row>
    <row r="1181" ht="14.25" customHeight="1">
      <c r="A1181" s="267">
        <v>201903.0</v>
      </c>
      <c r="B1181" s="268">
        <v>0.011000000000000001</v>
      </c>
      <c r="C1181" s="268">
        <f t="shared" si="4"/>
        <v>1.011</v>
      </c>
    </row>
    <row r="1182" ht="14.25" customHeight="1">
      <c r="A1182" s="267">
        <v>201904.0</v>
      </c>
      <c r="B1182" s="268">
        <v>0.039599999999999996</v>
      </c>
      <c r="C1182" s="268">
        <f t="shared" si="4"/>
        <v>1.0396</v>
      </c>
    </row>
    <row r="1183" ht="14.25" customHeight="1">
      <c r="A1183" s="267">
        <v>201905.0</v>
      </c>
      <c r="B1183" s="268">
        <v>-0.0694</v>
      </c>
      <c r="C1183" s="268">
        <f t="shared" si="4"/>
        <v>0.9306</v>
      </c>
    </row>
    <row r="1184" ht="14.25" customHeight="1">
      <c r="A1184" s="267">
        <v>201906.0</v>
      </c>
      <c r="B1184" s="268">
        <v>0.0693</v>
      </c>
      <c r="C1184" s="268">
        <f t="shared" si="4"/>
        <v>1.0693</v>
      </c>
    </row>
    <row r="1185" ht="14.25" customHeight="1">
      <c r="A1185" s="267">
        <v>201907.0</v>
      </c>
      <c r="B1185" s="268">
        <v>0.011899999999999999</v>
      </c>
      <c r="C1185" s="268">
        <f t="shared" si="4"/>
        <v>1.0119</v>
      </c>
    </row>
    <row r="1186" ht="14.25" customHeight="1">
      <c r="A1186" s="267">
        <v>201908.0</v>
      </c>
      <c r="B1186" s="268">
        <v>-0.0258</v>
      </c>
      <c r="C1186" s="268">
        <f t="shared" si="4"/>
        <v>0.9742</v>
      </c>
    </row>
    <row r="1187" ht="14.25" customHeight="1">
      <c r="A1187" s="267">
        <v>201909.0</v>
      </c>
      <c r="B1187" s="268">
        <v>0.0143</v>
      </c>
      <c r="C1187" s="268">
        <f t="shared" si="4"/>
        <v>1.0143</v>
      </c>
    </row>
    <row r="1188" ht="14.25" customHeight="1">
      <c r="A1188" s="267">
        <v>201910.0</v>
      </c>
      <c r="B1188" s="268">
        <v>0.0206</v>
      </c>
      <c r="C1188" s="268">
        <f t="shared" si="4"/>
        <v>1.0206</v>
      </c>
    </row>
    <row r="1189" ht="14.25" customHeight="1">
      <c r="A1189" s="267">
        <v>201911.0</v>
      </c>
      <c r="B1189" s="268">
        <v>0.0387</v>
      </c>
      <c r="C1189" s="268">
        <f t="shared" si="4"/>
        <v>1.0387</v>
      </c>
    </row>
    <row r="1190" ht="14.25" customHeight="1">
      <c r="A1190" s="267">
        <v>201912.0</v>
      </c>
      <c r="B1190" s="268">
        <v>0.0277</v>
      </c>
      <c r="C1190" s="268">
        <f t="shared" si="4"/>
        <v>1.0277</v>
      </c>
    </row>
    <row r="1191" ht="14.25" customHeight="1">
      <c r="A1191" s="267">
        <v>202001.0</v>
      </c>
      <c r="B1191" s="268">
        <v>-0.0011</v>
      </c>
      <c r="C1191" s="268">
        <f t="shared" si="4"/>
        <v>0.9989</v>
      </c>
    </row>
    <row r="1192" ht="14.25" customHeight="1">
      <c r="A1192" s="267">
        <v>202002.0</v>
      </c>
      <c r="B1192" s="268">
        <v>-0.08130000000000001</v>
      </c>
      <c r="C1192" s="268">
        <f t="shared" si="4"/>
        <v>0.9187</v>
      </c>
    </row>
    <row r="1193" ht="14.25" customHeight="1">
      <c r="A1193" s="267">
        <v>202003.0</v>
      </c>
      <c r="B1193" s="268">
        <v>-0.1338</v>
      </c>
      <c r="C1193" s="268">
        <f t="shared" si="4"/>
        <v>0.8662</v>
      </c>
    </row>
    <row r="1194" ht="14.25" customHeight="1">
      <c r="A1194" s="267">
        <v>202004.0</v>
      </c>
      <c r="B1194" s="268">
        <v>0.1365</v>
      </c>
      <c r="C1194" s="268">
        <f t="shared" si="4"/>
        <v>1.1365</v>
      </c>
    </row>
    <row r="1195" ht="14.25" customHeight="1">
      <c r="A1195" s="267">
        <v>202005.0</v>
      </c>
      <c r="B1195" s="268">
        <v>0.0558</v>
      </c>
      <c r="C1195" s="268">
        <f t="shared" si="4"/>
        <v>1.0558</v>
      </c>
    </row>
    <row r="1196" ht="14.25" customHeight="1">
      <c r="A1196" s="267">
        <v>202006.0</v>
      </c>
      <c r="B1196" s="268">
        <v>0.0246</v>
      </c>
      <c r="C1196" s="268">
        <f t="shared" si="4"/>
        <v>1.0246</v>
      </c>
    </row>
    <row r="1197" ht="14.25" customHeight="1">
      <c r="A1197" s="267">
        <v>202007.0</v>
      </c>
      <c r="B1197" s="268">
        <v>0.057699999999999994</v>
      </c>
      <c r="C1197" s="268">
        <f t="shared" si="4"/>
        <v>1.0577</v>
      </c>
    </row>
    <row r="1198" ht="14.25" customHeight="1">
      <c r="A1198" s="267">
        <v>202008.0</v>
      </c>
      <c r="B1198" s="268">
        <v>0.07629999999999999</v>
      </c>
      <c r="C1198" s="268">
        <f t="shared" si="4"/>
        <v>1.0763</v>
      </c>
    </row>
    <row r="1199" ht="14.25" customHeight="1">
      <c r="A1199" s="267">
        <v>202009.0</v>
      </c>
      <c r="B1199" s="268">
        <v>-0.0363</v>
      </c>
      <c r="C1199" s="268">
        <f t="shared" si="4"/>
        <v>0.9637</v>
      </c>
    </row>
    <row r="1200" ht="14.25" customHeight="1">
      <c r="A1200" s="267">
        <v>202010.0</v>
      </c>
      <c r="B1200" s="268">
        <v>-0.021</v>
      </c>
      <c r="C1200" s="268">
        <f t="shared" si="4"/>
        <v>0.979</v>
      </c>
    </row>
    <row r="1201" ht="14.25" customHeight="1">
      <c r="A1201" s="267">
        <v>202011.0</v>
      </c>
      <c r="B1201" s="268">
        <v>0.1247</v>
      </c>
      <c r="C1201" s="268">
        <f t="shared" si="4"/>
        <v>1.1247</v>
      </c>
    </row>
    <row r="1202" ht="14.25" customHeight="1">
      <c r="A1202" s="267">
        <v>202012.0</v>
      </c>
      <c r="B1202" s="268">
        <v>0.0463</v>
      </c>
      <c r="C1202" s="268">
        <f t="shared" si="4"/>
        <v>1.0463</v>
      </c>
    </row>
    <row r="1203" ht="14.25" customHeight="1">
      <c r="A1203" s="267">
        <v>202101.0</v>
      </c>
      <c r="B1203" s="268">
        <v>-4.0E-4</v>
      </c>
      <c r="C1203" s="268">
        <f t="shared" si="4"/>
        <v>0.9996</v>
      </c>
    </row>
  </sheetData>
  <mergeCells count="3">
    <mergeCell ref="A46:B46"/>
    <mergeCell ref="A48:B48"/>
    <mergeCell ref="A55:B55"/>
  </mergeCells>
  <conditionalFormatting sqref="B2:B41">
    <cfRule type="cellIs" dxfId="1" priority="1" operator="lessThan">
      <formula>0</formula>
    </cfRule>
  </conditionalFormatting>
  <conditionalFormatting sqref="B49:B53">
    <cfRule type="cellIs" dxfId="1" priority="2" operator="lessThan">
      <formula>0</formula>
    </cfRule>
  </conditionalFormatting>
  <conditionalFormatting sqref="B57:F59">
    <cfRule type="cellIs" dxfId="1" priority="3" operator="lessThan">
      <formula>0</formula>
    </cfRule>
  </conditionalFormatting>
  <conditionalFormatting sqref="B62:I62 C63:I63">
    <cfRule type="cellIs" dxfId="1" priority="4" operator="lessThan">
      <formula>0</formula>
    </cfRule>
  </conditionalFormatting>
  <conditionalFormatting sqref="B63">
    <cfRule type="cellIs" dxfId="1" priority="5" operator="lessThan">
      <formula>0</formula>
    </cfRule>
  </conditionalFormatting>
  <conditionalFormatting sqref="D2:D6 D8:D17">
    <cfRule type="cellIs" dxfId="1" priority="6" operator="lessThan">
      <formula>0</formula>
    </cfRule>
  </conditionalFormatting>
  <conditionalFormatting sqref="D7">
    <cfRule type="cellIs" dxfId="1" priority="7" operator="lessThan">
      <formula>0</formula>
    </cfRule>
  </conditionalFormatting>
  <conditionalFormatting sqref="E2:E41">
    <cfRule type="cellIs" dxfId="1" priority="8" operator="lessThan">
      <formula>0</formula>
    </cfRule>
  </conditionalFormatting>
  <conditionalFormatting sqref="F2:F41">
    <cfRule type="expression" dxfId="0" priority="9">
      <formula>#REF!&gt;0</formula>
    </cfRule>
  </conditionalFormatting>
  <conditionalFormatting sqref="F2:F41">
    <cfRule type="cellIs" dxfId="1" priority="10" operator="lessThan">
      <formula>0</formula>
    </cfRule>
  </conditionalFormatting>
  <conditionalFormatting sqref="H2:K41">
    <cfRule type="expression" dxfId="0" priority="11">
      <formula>#REF!&gt;0</formula>
    </cfRule>
  </conditionalFormatting>
  <conditionalFormatting sqref="H2:K41">
    <cfRule type="cellIs" dxfId="1" priority="12" operator="lessThan">
      <formula>0</formula>
    </cfRule>
  </conditionalFormatting>
  <conditionalFormatting sqref="B69:B1203">
    <cfRule type="cellIs" dxfId="1" priority="13" operator="lessThan">
      <formula>0</formula>
    </cfRule>
  </conditionalFormatting>
  <conditionalFormatting sqref="C69:C1203">
    <cfRule type="cellIs" dxfId="1" priority="14" operator="lessThan">
      <formula>0</formula>
    </cfRule>
  </conditionalFormatting>
  <conditionalFormatting sqref="D69">
    <cfRule type="cellIs" dxfId="1" priority="15" operator="lessThan">
      <formula>0</formula>
    </cfRule>
  </conditionalFormatting>
  <conditionalFormatting sqref="E69">
    <cfRule type="cellIs" dxfId="1" priority="16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