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pivotTables/pivotTable1.xml" ContentType="application/vnd.openxmlformats-officedocument.spreadsheetml.pivotTab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2.xml" ContentType="application/vnd.openxmlformats-officedocument.spreadsheetml.pivotTab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harts/chart11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04d570d32d1923/Desktop/vba folder/"/>
    </mc:Choice>
  </mc:AlternateContent>
  <xr:revisionPtr revIDLastSave="0" documentId="8_{94E5EC70-4C46-40D9-B85A-D0AE9B076B7C}" xr6:coauthVersionLast="47" xr6:coauthVersionMax="47" xr10:uidLastSave="{00000000-0000-0000-0000-000000000000}"/>
  <bookViews>
    <workbookView xWindow="-108" yWindow="-108" windowWidth="23256" windowHeight="12456" tabRatio="769" firstSheet="15" activeTab="21" xr2:uid="{7F0A1033-02E4-4D25-A7FA-C53F11E01D33}"/>
  </bookViews>
  <sheets>
    <sheet name="AND" sheetId="1" r:id="rId1"/>
    <sheet name="DATALCY" sheetId="12" r:id="rId2"/>
    <sheet name="PRAC2" sheetId="13" r:id="rId3"/>
    <sheet name="average" sheetId="2" r:id="rId4"/>
    <sheet name="averageif" sheetId="3" r:id="rId5"/>
    <sheet name="VLOOKUP" sheetId="15" r:id="rId6"/>
    <sheet name="averageifs" sheetId="4" r:id="rId7"/>
    <sheet name="concat" sheetId="5" r:id="rId8"/>
    <sheet name="count" sheetId="6" r:id="rId9"/>
    <sheet name="countA" sheetId="7" r:id="rId10"/>
    <sheet name="Count Blank" sheetId="8" r:id="rId11"/>
    <sheet name="Count IF" sheetId="9" r:id="rId12"/>
    <sheet name="Count IFs" sheetId="10" r:id="rId13"/>
    <sheet name="IF  IFS " sheetId="11" r:id="rId14"/>
    <sheet name="Descriptive Summary" sheetId="16" r:id="rId15"/>
    <sheet name="REGRSSION" sheetId="17" r:id="rId16"/>
    <sheet name="Analytics tooltip" sheetId="18" r:id="rId17"/>
    <sheet name="coorelation" sheetId="19" r:id="rId18"/>
    <sheet name="prac280123" sheetId="20" r:id="rId19"/>
    <sheet name="Data Analysis in Cars data" sheetId="23" r:id="rId20"/>
    <sheet name="PRAC30123" sheetId="21" r:id="rId21"/>
    <sheet name="Sheet1" sheetId="24" r:id="rId22"/>
  </sheets>
  <definedNames>
    <definedName name="_xlnm._FilterDatabase" localSheetId="18" hidden="1">prac280123!$M$1:$M$50</definedName>
    <definedName name="_xlnm._FilterDatabase" localSheetId="20" hidden="1">PRAC30123!$D$1:$D$34</definedName>
    <definedName name="_xlcn.WorksheetConnection_prac280123H3Q261" hidden="1">prac280123!$H$3:$Q$26</definedName>
  </definedNames>
  <calcPr calcId="191029"/>
  <pivotCaches>
    <pivotCache cacheId="0" r:id="rId23"/>
    <pivotCache cacheId="1" r:id="rId24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prac280123!$H$3:$Q$26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1" i="23" l="1"/>
  <c r="K21" i="15"/>
  <c r="C60" i="23" a="1"/>
  <c r="C60" i="23" s="1"/>
  <c r="C56" i="23" a="1"/>
  <c r="C56" i="23" s="1"/>
  <c r="C53" i="23" a="1"/>
  <c r="C53" i="23" s="1"/>
  <c r="J25" i="23"/>
  <c r="J24" i="23"/>
  <c r="J23" i="23"/>
  <c r="J22" i="23"/>
  <c r="J21" i="23"/>
  <c r="J20" i="23"/>
  <c r="J19" i="23"/>
  <c r="J18" i="23"/>
  <c r="J17" i="23"/>
  <c r="J16" i="23"/>
  <c r="J15" i="23"/>
  <c r="J14" i="23"/>
  <c r="J13" i="23"/>
  <c r="J12" i="23"/>
  <c r="J11" i="23"/>
  <c r="J10" i="23"/>
  <c r="J9" i="23"/>
  <c r="J8" i="23"/>
  <c r="J7" i="23"/>
  <c r="J6" i="23"/>
  <c r="J5" i="23"/>
  <c r="J4" i="23"/>
  <c r="J3" i="23"/>
  <c r="J2" i="23"/>
  <c r="B40" i="20"/>
  <c r="B39" i="20"/>
  <c r="C3" i="21"/>
  <c r="D3" i="21" s="1" a="1"/>
  <c r="D3" i="21" s="1"/>
  <c r="C4" i="21"/>
  <c r="D4" i="21" s="1" a="1"/>
  <c r="D4" i="21" s="1"/>
  <c r="C5" i="21"/>
  <c r="D5" i="21" s="1" a="1"/>
  <c r="D5" i="21" s="1"/>
  <c r="C6" i="21"/>
  <c r="D6" i="21" s="1" a="1"/>
  <c r="D6" i="21" s="1"/>
  <c r="C7" i="21"/>
  <c r="D7" i="21" s="1" a="1"/>
  <c r="D7" i="21" s="1"/>
  <c r="C8" i="21"/>
  <c r="D8" i="21" s="1" a="1"/>
  <c r="D8" i="21" s="1"/>
  <c r="C9" i="21"/>
  <c r="D9" i="21" s="1" a="1"/>
  <c r="D9" i="21" s="1"/>
  <c r="C10" i="21"/>
  <c r="D10" i="21" s="1" a="1"/>
  <c r="D10" i="21" s="1"/>
  <c r="C11" i="21"/>
  <c r="D11" i="21" s="1" a="1"/>
  <c r="D11" i="21" s="1"/>
  <c r="C12" i="21"/>
  <c r="D12" i="21" s="1" a="1"/>
  <c r="D12" i="21" s="1"/>
  <c r="C13" i="21"/>
  <c r="D13" i="21" s="1" a="1"/>
  <c r="D13" i="21" s="1"/>
  <c r="C14" i="21"/>
  <c r="D14" i="21" s="1" a="1"/>
  <c r="D14" i="21" s="1"/>
  <c r="C15" i="21"/>
  <c r="D15" i="21" s="1" a="1"/>
  <c r="D15" i="21" s="1"/>
  <c r="C16" i="21"/>
  <c r="D16" i="21" s="1" a="1"/>
  <c r="D16" i="21" s="1"/>
  <c r="C2" i="21"/>
  <c r="D2" i="21" s="1" a="1"/>
  <c r="D2" i="21" s="1"/>
  <c r="B44" i="21" s="1" a="1"/>
  <c r="B44" i="21" s="1"/>
  <c r="D24" i="20"/>
  <c r="C24" i="20"/>
  <c r="C20" i="21" l="1"/>
  <c r="B38" i="21" a="1"/>
  <c r="B38" i="21" s="1"/>
  <c r="C21" i="21"/>
  <c r="B32" i="21" a="1"/>
  <c r="B32" i="21" s="1"/>
  <c r="B22" i="21"/>
  <c r="B23" i="21"/>
  <c r="B24" i="21"/>
  <c r="Q26" i="20" l="1"/>
  <c r="Q25" i="20"/>
  <c r="Q24" i="20"/>
  <c r="Q23" i="20"/>
  <c r="Q22" i="20"/>
  <c r="Q21" i="20"/>
  <c r="Q20" i="20"/>
  <c r="Q19" i="20"/>
  <c r="Q18" i="20"/>
  <c r="Q17" i="20"/>
  <c r="Q16" i="20"/>
  <c r="Q15" i="20"/>
  <c r="Q14" i="20"/>
  <c r="Q13" i="20"/>
  <c r="Q12" i="20"/>
  <c r="Q11" i="20"/>
  <c r="Q10" i="20"/>
  <c r="Q9" i="20"/>
  <c r="Q8" i="20"/>
  <c r="Q7" i="20"/>
  <c r="Q6" i="20"/>
  <c r="Q5" i="20"/>
  <c r="Q4" i="20"/>
  <c r="Q3" i="20"/>
  <c r="E22" i="6"/>
  <c r="L9" i="18"/>
  <c r="G32" i="16"/>
  <c r="H29" i="16"/>
  <c r="G26" i="16"/>
  <c r="J25" i="16"/>
  <c r="J24" i="16"/>
  <c r="J23" i="16"/>
  <c r="J22" i="16"/>
  <c r="J21" i="16"/>
  <c r="J20" i="16"/>
  <c r="J19" i="16"/>
  <c r="J18" i="16"/>
  <c r="J17" i="16"/>
  <c r="J16" i="16"/>
  <c r="J15" i="16"/>
  <c r="J14" i="16"/>
  <c r="J13" i="16"/>
  <c r="J12" i="16"/>
  <c r="J11" i="16"/>
  <c r="J10" i="16"/>
  <c r="J9" i="16"/>
  <c r="J8" i="16"/>
  <c r="J7" i="16"/>
  <c r="J6" i="16"/>
  <c r="J5" i="16"/>
  <c r="J4" i="16"/>
  <c r="J3" i="16"/>
  <c r="J2" i="16"/>
  <c r="F29" i="15" l="1"/>
  <c r="E29" i="15"/>
  <c r="D29" i="15"/>
  <c r="D5" i="15"/>
  <c r="D6" i="15"/>
  <c r="D7" i="15"/>
  <c r="D8" i="15"/>
  <c r="D4" i="15"/>
  <c r="N28" i="2"/>
  <c r="R33" i="2"/>
  <c r="R34" i="2"/>
  <c r="H29" i="2"/>
  <c r="R6" i="13"/>
  <c r="S6" i="13"/>
  <c r="Q12" i="13"/>
  <c r="Q11" i="13"/>
  <c r="Q10" i="13"/>
  <c r="Q9" i="13"/>
  <c r="Q4" i="13"/>
  <c r="Q3" i="13"/>
  <c r="F4" i="6"/>
  <c r="G28" i="6"/>
  <c r="A31" i="6"/>
  <c r="A30" i="6"/>
  <c r="A29" i="6"/>
  <c r="O12" i="6"/>
  <c r="O11" i="6"/>
  <c r="J16" i="3"/>
  <c r="J15" i="3"/>
  <c r="N24" i="2"/>
  <c r="J29" i="2"/>
  <c r="I29" i="2"/>
  <c r="G29" i="2"/>
  <c r="G12" i="7"/>
  <c r="G45" i="2"/>
  <c r="N36" i="2" a="1"/>
  <c r="N36" i="2" s="1"/>
  <c r="I36" i="2"/>
  <c r="M34" i="2"/>
  <c r="N25" i="2"/>
  <c r="A23" i="2"/>
  <c r="A22" i="2"/>
  <c r="J39" i="2"/>
  <c r="I39" i="2"/>
  <c r="I35" i="2"/>
  <c r="I34" i="2"/>
  <c r="J6" i="8"/>
  <c r="J7" i="8"/>
  <c r="I13" i="6"/>
  <c r="I12" i="6"/>
  <c r="F8" i="5"/>
  <c r="F7" i="5"/>
  <c r="I3" i="3"/>
  <c r="H3" i="4" a="1"/>
  <c r="H3" i="4" s="1"/>
  <c r="F7" i="3"/>
  <c r="F4" i="3"/>
  <c r="F5" i="3"/>
  <c r="F3" i="3"/>
  <c r="L7" i="4"/>
  <c r="N23" i="13" a="1"/>
  <c r="N23" i="13" s="1"/>
  <c r="O18" i="13"/>
  <c r="O17" i="13"/>
  <c r="O16" i="13"/>
  <c r="O15" i="13"/>
  <c r="J5" i="13"/>
  <c r="J19" i="13"/>
  <c r="J3" i="13"/>
  <c r="J17" i="13"/>
  <c r="J21" i="13"/>
  <c r="J15" i="13"/>
  <c r="J12" i="13"/>
  <c r="J6" i="13"/>
  <c r="J22" i="13"/>
  <c r="J13" i="13"/>
  <c r="J9" i="13"/>
  <c r="J23" i="13"/>
  <c r="J18" i="13"/>
  <c r="J24" i="13"/>
  <c r="J25" i="13"/>
  <c r="J20" i="13"/>
  <c r="J8" i="13"/>
  <c r="J16" i="13"/>
  <c r="J7" i="13"/>
  <c r="J10" i="13"/>
  <c r="J4" i="13"/>
  <c r="J2" i="13"/>
  <c r="J14" i="13"/>
  <c r="J11" i="13"/>
  <c r="Q24" i="2" l="1" a="1"/>
  <c r="Q24" i="2" s="1"/>
  <c r="N8" i="13" l="1"/>
  <c r="N7" i="13"/>
  <c r="G26" i="13"/>
  <c r="N5" i="13"/>
  <c r="C18" i="1" l="1"/>
  <c r="C25" i="1"/>
  <c r="C26" i="1"/>
  <c r="C19" i="1"/>
  <c r="C20" i="1"/>
  <c r="C21" i="1"/>
  <c r="C22" i="1"/>
  <c r="C23" i="1"/>
  <c r="C2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40AF1F-B1D7-49F6-9966-2BBB0AEC2CAC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DC739E6-9577-4BA5-946B-BF568602DF08}" name="WorksheetConnection_prac280123!$H$3:$Q$26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prac280123H3Q26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<sst xmlns="http://schemas.openxmlformats.org/spreadsheetml/2006/main" count="1745" uniqueCount="514">
  <si>
    <t xml:space="preserve">    Name</t>
  </si>
  <si>
    <t>Type 1</t>
  </si>
  <si>
    <t>Speed</t>
  </si>
  <si>
    <t xml:space="preserve">    Bulbasaur</t>
  </si>
  <si>
    <t>Grass</t>
  </si>
  <si>
    <t>Type</t>
  </si>
  <si>
    <t xml:space="preserve">    Ivysaur</t>
  </si>
  <si>
    <t xml:space="preserve">    Venusaur</t>
  </si>
  <si>
    <t>Fire</t>
  </si>
  <si>
    <t xml:space="preserve">    Charmander</t>
  </si>
  <si>
    <t>Water</t>
  </si>
  <si>
    <t xml:space="preserve">    Charmeleon</t>
  </si>
  <si>
    <t xml:space="preserve">    Charizard</t>
  </si>
  <si>
    <t xml:space="preserve">    Squirtle</t>
  </si>
  <si>
    <t xml:space="preserve">    Wartortle</t>
  </si>
  <si>
    <t xml:space="preserve">    Blastoise</t>
  </si>
  <si>
    <t xml:space="preserve">    </t>
  </si>
  <si>
    <t>Defense</t>
  </si>
  <si>
    <t>Generation</t>
  </si>
  <si>
    <t>Gen.</t>
  </si>
  <si>
    <t>Average Defense</t>
  </si>
  <si>
    <t xml:space="preserve">    Chikorita</t>
  </si>
  <si>
    <t xml:space="preserve">    Bayleef</t>
  </si>
  <si>
    <t xml:space="preserve">    Meganium</t>
  </si>
  <si>
    <t xml:space="preserve">    Cyndaquil</t>
  </si>
  <si>
    <t xml:space="preserve">    Quilava</t>
  </si>
  <si>
    <t xml:space="preserve">    Typhlosion</t>
  </si>
  <si>
    <t xml:space="preserve">      Bulbasaur</t>
  </si>
  <si>
    <t xml:space="preserve">      Ivysaur</t>
  </si>
  <si>
    <t xml:space="preserve">      Venusaur</t>
  </si>
  <si>
    <t xml:space="preserve">      Charmander</t>
  </si>
  <si>
    <t xml:space="preserve">      Charmeleon</t>
  </si>
  <si>
    <t xml:space="preserve">      Charizard</t>
  </si>
  <si>
    <t xml:space="preserve">      Squirtle</t>
  </si>
  <si>
    <t xml:space="preserve">      Wartortle</t>
  </si>
  <si>
    <t xml:space="preserve">      Blastoise</t>
  </si>
  <si>
    <t>"IF=IF(AND(B2 = "grass",C2 &gt; 40), "yes","No" ) "</t>
  </si>
  <si>
    <t xml:space="preserve">    Trainer</t>
  </si>
  <si>
    <t>Pokeball</t>
  </si>
  <si>
    <t>Great Ball</t>
  </si>
  <si>
    <t>Ultraball</t>
  </si>
  <si>
    <t>Master Ball</t>
  </si>
  <si>
    <t>Average</t>
  </si>
  <si>
    <t xml:space="preserve">    Iva</t>
  </si>
  <si>
    <t xml:space="preserve">    Liam</t>
  </si>
  <si>
    <t xml:space="preserve">    Jenny</t>
  </si>
  <si>
    <t xml:space="preserve">    Iben</t>
  </si>
  <si>
    <t xml:space="preserve">    Adora</t>
  </si>
  <si>
    <t xml:space="preserve">    Kasper</t>
  </si>
  <si>
    <t>Total stats</t>
  </si>
  <si>
    <t xml:space="preserve">    Mankey</t>
  </si>
  <si>
    <t>Fighting</t>
  </si>
  <si>
    <t xml:space="preserve">    Poliwrath</t>
  </si>
  <si>
    <t xml:space="preserve">    Victreebel</t>
  </si>
  <si>
    <t xml:space="preserve">    Tentacool</t>
  </si>
  <si>
    <t xml:space="preserve">    Magneton</t>
  </si>
  <si>
    <t>Electric</t>
  </si>
  <si>
    <t xml:space="preserve">    Dewgong</t>
  </si>
  <si>
    <t xml:space="preserve">    Cloyster</t>
  </si>
  <si>
    <t xml:space="preserve">    Onix</t>
  </si>
  <si>
    <t>Rock</t>
  </si>
  <si>
    <t xml:space="preserve">    Dragonair</t>
  </si>
  <si>
    <t>Dragon</t>
  </si>
  <si>
    <t xml:space="preserve">    Pidgeotto</t>
  </si>
  <si>
    <t>Normal</t>
  </si>
  <si>
    <t xml:space="preserve">    Rattata</t>
  </si>
  <si>
    <t xml:space="preserve">    Beedrill</t>
  </si>
  <si>
    <t>Bug</t>
  </si>
  <si>
    <t xml:space="preserve">    Doduo</t>
  </si>
  <si>
    <t xml:space="preserve">    Kingler</t>
  </si>
  <si>
    <t xml:space="preserve">    Nidoqueen</t>
  </si>
  <si>
    <t>Poison</t>
  </si>
  <si>
    <t xml:space="preserve">    Hitmonchan</t>
  </si>
  <si>
    <t xml:space="preserve">    Arbok</t>
  </si>
  <si>
    <t xml:space="preserve">    Gastly</t>
  </si>
  <si>
    <t>Ghost</t>
  </si>
  <si>
    <t xml:space="preserve">    Magikarp</t>
  </si>
  <si>
    <t>Type 2</t>
  </si>
  <si>
    <t>Steel</t>
  </si>
  <si>
    <t>Ice</t>
  </si>
  <si>
    <t>Ground</t>
  </si>
  <si>
    <t>Flying</t>
  </si>
  <si>
    <t>STD_NAME</t>
  </si>
  <si>
    <t>STD_ID</t>
  </si>
  <si>
    <t>STD_ROLLNO</t>
  </si>
  <si>
    <t>STD_ADD</t>
  </si>
  <si>
    <t>STD_EMAIL</t>
  </si>
  <si>
    <t>STD_CONTACT</t>
  </si>
  <si>
    <t>STD_DOB</t>
  </si>
  <si>
    <t>STD_BRANCH</t>
  </si>
  <si>
    <t>STD_JOIN</t>
  </si>
  <si>
    <t>STD_CLASS</t>
  </si>
  <si>
    <t>STD_BG</t>
  </si>
  <si>
    <t>STD_DIV</t>
  </si>
  <si>
    <t>STD_GEN</t>
  </si>
  <si>
    <t>UNDERSTAND THE PERFORMANCE OF A STUDENT</t>
  </si>
  <si>
    <t>STD_GRADE</t>
  </si>
  <si>
    <t>STD_ATTD</t>
  </si>
  <si>
    <t>STD_TOTAL MARKS</t>
  </si>
  <si>
    <t xml:space="preserve">RAJAN </t>
  </si>
  <si>
    <t xml:space="preserve">RAVISH </t>
  </si>
  <si>
    <t>KETAN</t>
  </si>
  <si>
    <t>VINOD</t>
  </si>
  <si>
    <t>ABHISHEK</t>
  </si>
  <si>
    <t xml:space="preserve">ROHIT </t>
  </si>
  <si>
    <t>PURNIVESH</t>
  </si>
  <si>
    <t xml:space="preserve">AKSHAY </t>
  </si>
  <si>
    <t xml:space="preserve">ARSHAD </t>
  </si>
  <si>
    <t>NAME</t>
  </si>
  <si>
    <t>FAV COLOR</t>
  </si>
  <si>
    <t>FAV MOVIE</t>
  </si>
  <si>
    <t xml:space="preserve">FAV FOOD </t>
  </si>
  <si>
    <t>FAV PLACE</t>
  </si>
  <si>
    <t>BLACK</t>
  </si>
  <si>
    <t>VIKRAM</t>
  </si>
  <si>
    <t>ICE CREAM</t>
  </si>
  <si>
    <t xml:space="preserve">MYHOME </t>
  </si>
  <si>
    <t>GREEN</t>
  </si>
  <si>
    <t>SHOLAY</t>
  </si>
  <si>
    <t>BIRIYANI</t>
  </si>
  <si>
    <t>SEA VIEW</t>
  </si>
  <si>
    <t>ORANGE</t>
  </si>
  <si>
    <t>LOVE JONAR</t>
  </si>
  <si>
    <t>HOME FOOD</t>
  </si>
  <si>
    <t>GOA</t>
  </si>
  <si>
    <t>BLUE</t>
  </si>
  <si>
    <t>PUSHPA</t>
  </si>
  <si>
    <t>CHICKEN</t>
  </si>
  <si>
    <t>KOLHAPUR</t>
  </si>
  <si>
    <t>BROWN</t>
  </si>
  <si>
    <t>KGF</t>
  </si>
  <si>
    <t>KHARGHAR</t>
  </si>
  <si>
    <t>RED</t>
  </si>
  <si>
    <t>DDLJ</t>
  </si>
  <si>
    <t>MARATA</t>
  </si>
  <si>
    <t>AURANGABAD</t>
  </si>
  <si>
    <t>PINK</t>
  </si>
  <si>
    <t>PAATAN</t>
  </si>
  <si>
    <t>KOKAN</t>
  </si>
  <si>
    <t>BLACK/RED</t>
  </si>
  <si>
    <t>KGF2</t>
  </si>
  <si>
    <t>BAAKAN</t>
  </si>
  <si>
    <t>PUNE</t>
  </si>
  <si>
    <t>TWOSTATES</t>
  </si>
  <si>
    <t>FISH</t>
  </si>
  <si>
    <t>JARGOV</t>
  </si>
  <si>
    <t xml:space="preserve">TRAVEL AGENCY - MMT </t>
  </si>
  <si>
    <t xml:space="preserve">CLOTHING </t>
  </si>
  <si>
    <t xml:space="preserve">FOOD </t>
  </si>
  <si>
    <t xml:space="preserve">THEATER </t>
  </si>
  <si>
    <t xml:space="preserve">RECOMMENDATION </t>
  </si>
  <si>
    <t xml:space="preserve">ABHISHEK </t>
  </si>
  <si>
    <t>PUNE (shivaji nagar)</t>
  </si>
  <si>
    <t>NON VEG RESTARENT</t>
  </si>
  <si>
    <t>BMS</t>
  </si>
  <si>
    <t xml:space="preserve">JONAR,ACTORS INFORMATION </t>
  </si>
  <si>
    <t xml:space="preserve">RECOMMEND MOVIE </t>
  </si>
  <si>
    <t xml:space="preserve">ACTION  -  PAATAN MOVIE </t>
  </si>
  <si>
    <t xml:space="preserve">AJIO BROWN JACKET </t>
  </si>
  <si>
    <t xml:space="preserve">SEND HIM AN NOTIFICATION  - SAHI BHOJ (VEG) MARATA SAMRAT( NON-VEG) </t>
  </si>
  <si>
    <t>SOMU</t>
  </si>
  <si>
    <t xml:space="preserve">COMEDY </t>
  </si>
  <si>
    <t>VEG</t>
  </si>
  <si>
    <t>HYDERABAD</t>
  </si>
  <si>
    <t xml:space="preserve">SOMU - PUNE </t>
  </si>
  <si>
    <t>FOOD - DISCOVERY</t>
  </si>
  <si>
    <t xml:space="preserve">VEG - </t>
  </si>
  <si>
    <t>NEAREST VEG RESTARENTS</t>
  </si>
  <si>
    <t xml:space="preserve">STAR RATINGS </t>
  </si>
  <si>
    <t xml:space="preserve">DISTANCE </t>
  </si>
  <si>
    <t xml:space="preserve">FOOD PRICE </t>
  </si>
  <si>
    <t xml:space="preserve">DISCOUNT </t>
  </si>
  <si>
    <t>PREVIOUS FOOD ORDERS</t>
  </si>
  <si>
    <t xml:space="preserve">FOOD TYPE </t>
  </si>
  <si>
    <t xml:space="preserve">DELIVERY CHARGES </t>
  </si>
  <si>
    <t>ORDER HISTORY</t>
  </si>
  <si>
    <t>SI,TRAD,BRYNI</t>
  </si>
  <si>
    <t>( THE HOTELS WHICH CAN SERVE THE ORDER HISTORY)</t>
  </si>
  <si>
    <t xml:space="preserve"> </t>
  </si>
  <si>
    <t xml:space="preserve">&lt;100MTRS / &gt;400MTRS (RECOMMEND ONLINE ORDER) </t>
  </si>
  <si>
    <t xml:space="preserve">AVG FOOD PRICE : 250 </t>
  </si>
  <si>
    <t xml:space="preserve">VEG </t>
  </si>
  <si>
    <t>null</t>
  </si>
  <si>
    <t>HOTELS - PANCHALI/VISHALI/VADESHWAR/SHIVAR GARDEN/GOODLUCK CAFÉ</t>
  </si>
  <si>
    <t xml:space="preserve">FOOD PREFERENCE - </t>
  </si>
  <si>
    <t>"&gt;"4.5 -  MMD/UP/VEG THALI/BIRIYANI/</t>
  </si>
  <si>
    <t xml:space="preserve">DISTANCE - &gt; 500MTRS </t>
  </si>
  <si>
    <t xml:space="preserve">PRICE - </t>
  </si>
  <si>
    <t xml:space="preserve">250RS </t>
  </si>
  <si>
    <t xml:space="preserve">DELIVERY CHARGES - 50RS </t>
  </si>
  <si>
    <t xml:space="preserve">SAHI BHOJ / BAHUBALI THALI </t>
  </si>
  <si>
    <t xml:space="preserve">1- 3 - busy </t>
  </si>
  <si>
    <t xml:space="preserve">3-6 - close </t>
  </si>
  <si>
    <t xml:space="preserve">6-9 - avg busy </t>
  </si>
  <si>
    <t>1-2 - waiting</t>
  </si>
  <si>
    <t xml:space="preserve"> somu is searching for food </t>
  </si>
  <si>
    <t>250 rs</t>
  </si>
  <si>
    <t xml:space="preserve">Hotel will be busy </t>
  </si>
  <si>
    <t xml:space="preserve">somu is serching for veg food </t>
  </si>
  <si>
    <t xml:space="preserve">Hotels </t>
  </si>
  <si>
    <t xml:space="preserve">food </t>
  </si>
  <si>
    <t>distance</t>
  </si>
  <si>
    <t>price</t>
  </si>
  <si>
    <t xml:space="preserve">delivery charge </t>
  </si>
  <si>
    <t xml:space="preserve">busy - you must be waiting </t>
  </si>
  <si>
    <t xml:space="preserve">he tried a new hotel which is not there in  recommended list </t>
  </si>
  <si>
    <t xml:space="preserve"> model will learn it and optimization and add results for next search</t>
  </si>
  <si>
    <t>CARMODEL</t>
  </si>
  <si>
    <t>HP</t>
  </si>
  <si>
    <t>PRICE</t>
  </si>
  <si>
    <t>FUELTYPE</t>
  </si>
  <si>
    <t>COLOR</t>
  </si>
  <si>
    <t>GEAR TYPE</t>
  </si>
  <si>
    <t>MAHINDRA</t>
  </si>
  <si>
    <t>CAR COMPANY</t>
  </si>
  <si>
    <t>THAR</t>
  </si>
  <si>
    <t>MAN</t>
  </si>
  <si>
    <t>P</t>
  </si>
  <si>
    <t>B</t>
  </si>
  <si>
    <t>TATA</t>
  </si>
  <si>
    <t>NEXON</t>
  </si>
  <si>
    <t>AMT</t>
  </si>
  <si>
    <t>W</t>
  </si>
  <si>
    <t>TOYOTA</t>
  </si>
  <si>
    <t>FORTUNER</t>
  </si>
  <si>
    <t>SUZUKI</t>
  </si>
  <si>
    <t>SWIFT</t>
  </si>
  <si>
    <t>R</t>
  </si>
  <si>
    <t>HYUNDAI</t>
  </si>
  <si>
    <t>VERNA</t>
  </si>
  <si>
    <t>MERCEDES</t>
  </si>
  <si>
    <t>G-WAGON</t>
  </si>
  <si>
    <t>HUMMER</t>
  </si>
  <si>
    <t>H2</t>
  </si>
  <si>
    <t>D</t>
  </si>
  <si>
    <t>LAMBORGINI</t>
  </si>
  <si>
    <t>URUS</t>
  </si>
  <si>
    <t>Y</t>
  </si>
  <si>
    <t>BMW</t>
  </si>
  <si>
    <t>X7</t>
  </si>
  <si>
    <t>BL</t>
  </si>
  <si>
    <t>AUDI</t>
  </si>
  <si>
    <t>R8</t>
  </si>
  <si>
    <t>G</t>
  </si>
  <si>
    <t>MARUTHI</t>
  </si>
  <si>
    <t>WAGONR</t>
  </si>
  <si>
    <t>ROLL-ROYCE</t>
  </si>
  <si>
    <t>PHANTOM</t>
  </si>
  <si>
    <t>BS</t>
  </si>
  <si>
    <t>Q7</t>
  </si>
  <si>
    <t>MISTI</t>
  </si>
  <si>
    <t>PAJERO</t>
  </si>
  <si>
    <t>BUGATI</t>
  </si>
  <si>
    <t>VEVRON</t>
  </si>
  <si>
    <t>JIMNY</t>
  </si>
  <si>
    <t>ALTO</t>
  </si>
  <si>
    <t>SCORPIO N</t>
  </si>
  <si>
    <t>FORCE</t>
  </si>
  <si>
    <t>CRUIZER</t>
  </si>
  <si>
    <t>GURKHA</t>
  </si>
  <si>
    <t>BOLERO</t>
  </si>
  <si>
    <t>GI20</t>
  </si>
  <si>
    <t>S</t>
  </si>
  <si>
    <t>BALENO</t>
  </si>
  <si>
    <t>NISSAN</t>
  </si>
  <si>
    <t>MAGNITE</t>
  </si>
  <si>
    <t>AVG PRICE</t>
  </si>
  <si>
    <t>KML</t>
  </si>
  <si>
    <t>CAR MILAGE</t>
  </si>
  <si>
    <t>MIL</t>
  </si>
  <si>
    <t>AVG CAR MILAGE</t>
  </si>
  <si>
    <t>MEDIAN</t>
  </si>
  <si>
    <t>AND FUNCTION</t>
  </si>
  <si>
    <t>AVERAGE_IF</t>
  </si>
  <si>
    <t>AVERAGEIF("RANGE","CRITERIA",AVERAGE_RANGE)</t>
  </si>
  <si>
    <t xml:space="preserve">AVERAGE_IFTO FIND THE MEAN FOR SPECIFIC CRITERIA WE USE AVERAGE IF </t>
  </si>
  <si>
    <t>AVERAGE_IFS = CALCULATES THE AVERAGE FOR THE RANGE ONE OR MORE CONDITIONS</t>
  </si>
  <si>
    <t>GRASS</t>
  </si>
  <si>
    <t>TOTALAVERAGE</t>
  </si>
  <si>
    <t>STUD_NAME</t>
  </si>
  <si>
    <t>RANK</t>
  </si>
  <si>
    <t>ROLLNO</t>
  </si>
  <si>
    <t>STUD_MARKS</t>
  </si>
  <si>
    <t>K</t>
  </si>
  <si>
    <t>V</t>
  </si>
  <si>
    <t>A</t>
  </si>
  <si>
    <t>ROLNUM</t>
  </si>
  <si>
    <t>AVERAGEIF</t>
  </si>
  <si>
    <t>AVERAGEIFS</t>
  </si>
  <si>
    <t>CONCATINATION I5</t>
  </si>
  <si>
    <t xml:space="preserve">COUNT AND SUM DIFFERENCE </t>
  </si>
  <si>
    <t>8AM</t>
  </si>
  <si>
    <t>9AM</t>
  </si>
  <si>
    <t>10AM</t>
  </si>
  <si>
    <t>if function</t>
  </si>
  <si>
    <t>ifs function</t>
  </si>
  <si>
    <t>left function ()</t>
  </si>
  <si>
    <t>right AND left functions</t>
  </si>
  <si>
    <t xml:space="preserve">counta = the count of filled cells </t>
  </si>
  <si>
    <t xml:space="preserve">RIGHT FUNCTION </t>
  </si>
  <si>
    <t xml:space="preserve">LEFT FUNCTION </t>
  </si>
  <si>
    <t xml:space="preserve">STANDARD DEVIATION </t>
  </si>
  <si>
    <t xml:space="preserve">STANDARD DEVIATION = SPREAD OF DATA FROM MEAN </t>
  </si>
  <si>
    <t>MEAN VALUE OF THE GIVEN LIST  = 400.25</t>
  </si>
  <si>
    <t>STD POPULATION = 89.75738</t>
  </si>
  <si>
    <t>STD SAMPLE = 92.08913</t>
  </si>
  <si>
    <t xml:space="preserve">DIFFERENCE BETWEEN SUM AND COUNT AND AVERAGE </t>
  </si>
  <si>
    <t>SUMIF</t>
  </si>
  <si>
    <r>
      <rPr>
        <b/>
        <sz val="11"/>
        <color rgb="FFFF0000"/>
        <rFont val="Calibri"/>
        <family val="2"/>
        <scheme val="minor"/>
      </rPr>
      <t>SUMIFS</t>
    </r>
    <r>
      <rPr>
        <sz val="11"/>
        <color theme="1"/>
        <rFont val="Calibri"/>
        <family val="2"/>
        <scheme val="minor"/>
      </rPr>
      <t xml:space="preserve"> FIND THE PRICE OF BELOW CARS</t>
    </r>
  </si>
  <si>
    <t>INCOME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</si>
  <si>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</si>
  <si>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</si>
  <si>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</si>
  <si>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</si>
  <si>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</si>
  <si>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</si>
  <si>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</si>
  <si>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</si>
  <si>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</si>
  <si>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</si>
  <si>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</si>
  <si>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</si>
  <si>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</si>
  <si>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</si>
  <si>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 xml:space="preserve">WHAT IS CORELATION </t>
  </si>
  <si>
    <t>RELATION BETWEEN TWO LABELS/ TWO RECORDS/</t>
  </si>
  <si>
    <t xml:space="preserve">EXAMPLE -  HIGHER THE MARKS WILL GET HIGHER GRADES </t>
  </si>
  <si>
    <t>hp and milage</t>
  </si>
  <si>
    <t xml:space="preserve">correlation function </t>
  </si>
  <si>
    <t>REGRESSION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</si>
  <si>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</si>
  <si>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</si>
  <si>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</si>
  <si>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</si>
  <si>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</si>
  <si>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</si>
  <si>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</si>
  <si>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</si>
  <si>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</si>
  <si>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</si>
  <si>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</si>
  <si>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</si>
  <si>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</si>
  <si>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</si>
  <si>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</si>
  <si>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</si>
  <si>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</si>
  <si>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</si>
  <si>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</si>
  <si>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</si>
  <si>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</si>
  <si>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</si>
  <si>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</si>
  <si>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</si>
  <si>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PROBABILITY OUTPUT</t>
  </si>
  <si>
    <t>Percentile</t>
  </si>
  <si>
    <t>STUD_ATTD</t>
  </si>
  <si>
    <t>STUD_GRADE</t>
  </si>
  <si>
    <t>C</t>
  </si>
  <si>
    <t>E</t>
  </si>
  <si>
    <t>H</t>
  </si>
  <si>
    <t>I</t>
  </si>
  <si>
    <t>J</t>
  </si>
  <si>
    <r>
      <t xml:space="preserve"> = </t>
    </r>
    <r>
      <rPr>
        <b/>
        <i/>
        <sz val="16"/>
        <color theme="1"/>
        <rFont val="Calibri"/>
        <family val="2"/>
        <scheme val="minor"/>
      </rPr>
      <t>PEARSON CORRELATION</t>
    </r>
  </si>
  <si>
    <t>CIBIL</t>
  </si>
  <si>
    <t xml:space="preserve">ASSESTS VALUE </t>
  </si>
  <si>
    <t>PROFESSION</t>
  </si>
  <si>
    <t>age</t>
  </si>
  <si>
    <t>ACOOUNT STAUS</t>
  </si>
  <si>
    <t>BALANCE SHEET</t>
  </si>
  <si>
    <t>1CR</t>
  </si>
  <si>
    <t>DST</t>
  </si>
  <si>
    <t>10LK</t>
  </si>
  <si>
    <t>GOOD</t>
  </si>
  <si>
    <t>UP</t>
  </si>
  <si>
    <t>LOAN AMT</t>
  </si>
  <si>
    <t>2CR</t>
  </si>
  <si>
    <t>OK</t>
  </si>
  <si>
    <t xml:space="preserve">MEAN VALUE TO GET THE INFORMATION ABOUT THE DATA </t>
  </si>
  <si>
    <t xml:space="preserve">CORRELATION - TO USED TO BUILD THE MODEL </t>
  </si>
  <si>
    <r>
      <t xml:space="preserve">MODEL BUILDING - REGRESSION OR </t>
    </r>
    <r>
      <rPr>
        <b/>
        <sz val="11"/>
        <color theme="1"/>
        <rFont val="Calibri"/>
        <family val="2"/>
        <scheme val="minor"/>
      </rPr>
      <t>CLASSIFACTION</t>
    </r>
    <r>
      <rPr>
        <sz val="11"/>
        <color theme="1"/>
        <rFont val="Calibri"/>
        <family val="2"/>
        <scheme val="minor"/>
      </rPr>
      <t xml:space="preserve"> </t>
    </r>
  </si>
  <si>
    <t>LOSS JOB</t>
  </si>
  <si>
    <t>CIBIL AND BALANCE SCORE FIND CORELATION  0.9</t>
  </si>
  <si>
    <t>INCOME AND BS IS VALID 0.8</t>
  </si>
  <si>
    <t xml:space="preserve">INCOME AND A/C STATEMENT -0.7  = </t>
  </si>
  <si>
    <t>GOOD RESULT</t>
  </si>
  <si>
    <t>BA RESULT</t>
  </si>
  <si>
    <t>AVG RESULT</t>
  </si>
  <si>
    <t xml:space="preserve">NEGATIVE CORELATION RULE - X POSTIVE OTHER Y NEGATIVE </t>
  </si>
  <si>
    <t>POSTIVE CORELATION = X INCREASE Y ALSO INCREASE</t>
  </si>
  <si>
    <t xml:space="preserve">10LHSPM = 2LKHS PM </t>
  </si>
  <si>
    <t>LOW EXPENDITURE</t>
  </si>
  <si>
    <t>10LKHS = 8.5LKHS PM</t>
  </si>
  <si>
    <t xml:space="preserve">HIGH EXPENDITURE </t>
  </si>
  <si>
    <t>1A</t>
  </si>
  <si>
    <t>2A</t>
  </si>
  <si>
    <t>GIVE LOAN</t>
  </si>
  <si>
    <t xml:space="preserve">NOT GIVE </t>
  </si>
  <si>
    <t xml:space="preserve">CIBIL SCORE </t>
  </si>
  <si>
    <t>CIBIL SCORE</t>
  </si>
  <si>
    <t xml:space="preserve">CIBIL VERY LOW </t>
  </si>
  <si>
    <t xml:space="preserve">APPROVED </t>
  </si>
  <si>
    <t>.</t>
  </si>
  <si>
    <t xml:space="preserve">WHAT IS THE MONTLY INSTALLMENT FOR 1CR </t>
  </si>
  <si>
    <t>somu</t>
  </si>
  <si>
    <t xml:space="preserve">Business Analytics Life Cycle </t>
  </si>
  <si>
    <t xml:space="preserve">1) </t>
  </si>
  <si>
    <t>DISCOVERY</t>
  </si>
  <si>
    <t>2)</t>
  </si>
  <si>
    <t>DATA PREPARATION</t>
  </si>
  <si>
    <t>3)</t>
  </si>
  <si>
    <t>MODEL PLANNING</t>
  </si>
  <si>
    <t>4)</t>
  </si>
  <si>
    <t>MODEL BUDILDING</t>
  </si>
  <si>
    <t>5)</t>
  </si>
  <si>
    <t xml:space="preserve">QUALITY ASSURENCE </t>
  </si>
  <si>
    <t>6)</t>
  </si>
  <si>
    <t>DOCUMENTATION</t>
  </si>
  <si>
    <t>7)</t>
  </si>
  <si>
    <t>MANAGEMENT APPROVAL</t>
  </si>
  <si>
    <t>8)</t>
  </si>
  <si>
    <t>OPERENTIONALIZE</t>
  </si>
  <si>
    <t xml:space="preserve">FINDING A PROBLEM </t>
  </si>
  <si>
    <t>COLLECT DATA AND ARRANGE DATA</t>
  </si>
  <si>
    <t xml:space="preserve">WHAT TYPE OF CAR </t>
  </si>
  <si>
    <t xml:space="preserve">COLOUR </t>
  </si>
  <si>
    <t xml:space="preserve">MILLAGE </t>
  </si>
  <si>
    <t xml:space="preserve">DISCOVER </t>
  </si>
  <si>
    <t xml:space="preserve">GEAR TYPE </t>
  </si>
  <si>
    <t>CAR TYPE</t>
  </si>
  <si>
    <t xml:space="preserve">BUDGET RANGE </t>
  </si>
  <si>
    <t>10CR</t>
  </si>
  <si>
    <t>B,W,BL,G,R,</t>
  </si>
  <si>
    <t>FUEL TYPE</t>
  </si>
  <si>
    <t>BA</t>
  </si>
  <si>
    <t>BI</t>
  </si>
  <si>
    <t>COLO</t>
  </si>
  <si>
    <t>MILLAGE</t>
  </si>
  <si>
    <t>FUEL</t>
  </si>
  <si>
    <t>STUD_PERCENTAGE</t>
  </si>
  <si>
    <t>STUD_ROLLNO</t>
  </si>
  <si>
    <t>L</t>
  </si>
  <si>
    <t>M</t>
  </si>
  <si>
    <t>N</t>
  </si>
  <si>
    <t>O</t>
  </si>
  <si>
    <t>STUD_TOTALMARKS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</si>
  <si>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</si>
  <si>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</si>
  <si>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</si>
  <si>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</si>
  <si>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</si>
  <si>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</si>
  <si>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</si>
  <si>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</si>
  <si>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</si>
  <si>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</si>
  <si>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</si>
  <si>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</si>
  <si>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</si>
  <si>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</si>
  <si>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</si>
  <si>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GRADE WISE PERCENTAGE</t>
  </si>
  <si>
    <t xml:space="preserve">GRADE WISE STUDENTS </t>
  </si>
  <si>
    <t>13 schools = 1000</t>
  </si>
  <si>
    <t>13*1000</t>
  </si>
  <si>
    <t>pass</t>
  </si>
  <si>
    <t>failed</t>
  </si>
  <si>
    <t>&gt;500</t>
  </si>
  <si>
    <t>&gt;400</t>
  </si>
  <si>
    <t xml:space="preserve">&gt;fails </t>
  </si>
  <si>
    <t xml:space="preserve">total percentage scholl wise </t>
  </si>
  <si>
    <t xml:space="preserve">class wise </t>
  </si>
  <si>
    <t xml:space="preserve">Customer Analytics / behaviour analytics </t>
  </si>
  <si>
    <t xml:space="preserve">churn - split </t>
  </si>
  <si>
    <t>swrm1</t>
  </si>
  <si>
    <t xml:space="preserve">swrm2 </t>
  </si>
  <si>
    <t>maruthi</t>
  </si>
  <si>
    <t xml:space="preserve">mahindra </t>
  </si>
  <si>
    <t>v</t>
  </si>
  <si>
    <t xml:space="preserve">visited </t>
  </si>
  <si>
    <t xml:space="preserve">enquired </t>
  </si>
  <si>
    <t xml:space="preserve">test drive </t>
  </si>
  <si>
    <t xml:space="preserve">advance done </t>
  </si>
  <si>
    <t>purchased = no</t>
  </si>
  <si>
    <t xml:space="preserve">purchased = yes </t>
  </si>
  <si>
    <t xml:space="preserve">hr analytics </t>
  </si>
  <si>
    <t xml:space="preserve">hired 100 employes </t>
  </si>
  <si>
    <t xml:space="preserve">joined </t>
  </si>
  <si>
    <t xml:space="preserve">take training </t>
  </si>
  <si>
    <t xml:space="preserve">left company 60mem  </t>
  </si>
  <si>
    <t xml:space="preserve">company = proft or loss </t>
  </si>
  <si>
    <t xml:space="preserve">anwer is loss </t>
  </si>
  <si>
    <t xml:space="preserve">customer chrun </t>
  </si>
  <si>
    <t xml:space="preserve">sales =  forecast analysis in sales </t>
  </si>
  <si>
    <t xml:space="preserve">minimum price range </t>
  </si>
  <si>
    <t>maximum</t>
  </si>
  <si>
    <t>grade  wise Percentage</t>
  </si>
  <si>
    <t xml:space="preserve">filter to filter the data to our requirements </t>
  </si>
  <si>
    <t>average ifs for findind the means</t>
  </si>
  <si>
    <t>charts to understand the data</t>
  </si>
  <si>
    <t xml:space="preserve">pivot </t>
  </si>
  <si>
    <t xml:space="preserve">create a pivot table </t>
  </si>
  <si>
    <t>Row Labels</t>
  </si>
  <si>
    <t>Grand Total</t>
  </si>
  <si>
    <t>Sum of 6000000</t>
  </si>
  <si>
    <t>Sum of 10</t>
  </si>
  <si>
    <t>Descriptive Statistics Car Price</t>
  </si>
  <si>
    <t>Descriptive Statistics Car Milage</t>
  </si>
  <si>
    <r>
      <rPr>
        <b/>
        <sz val="15"/>
        <color rgb="FFFF0000"/>
        <rFont val="Calibri"/>
        <family val="2"/>
        <scheme val="minor"/>
      </rPr>
      <t>Analysis - PIVOT TABLE</t>
    </r>
    <r>
      <rPr>
        <sz val="11"/>
        <color theme="1"/>
        <rFont val="Calibri"/>
        <family val="2"/>
        <scheme val="minor"/>
      </rPr>
      <t xml:space="preserve"> </t>
    </r>
  </si>
  <si>
    <t>Sum of PRICE</t>
  </si>
  <si>
    <t>Maruthi</t>
  </si>
  <si>
    <t>Mahindra</t>
  </si>
  <si>
    <t>Suzuki</t>
  </si>
  <si>
    <t xml:space="preserve">Price Ranges Company wise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</si>
</sst>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25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8" fontId="5" fillId="0" borderId="0" xfId="0" applyNumberFormat="1" applyFont="1"/>
    <xf numFmtId="20" fontId="0" fillId="0" borderId="0" xfId="0" applyNumberForma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7" fillId="0" borderId="2" xfId="0" applyFont="1" applyBorder="1" applyAlignment="1">
      <alignment horizontal="centerContinuous"/>
    </xf>
    <xf numFmtId="0" fontId="7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/>
    <xf numFmtId="0" fontId="5" fillId="0" borderId="3" xfId="0" applyFont="1" applyBorder="1"/>
    <xf numFmtId="0" fontId="5" fillId="0" borderId="3" xfId="0" applyFont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left"/>
    </xf>
    <xf numFmtId="0" fontId="12" fillId="0" borderId="0" xfId="0" applyFont="1"/>
    <xf numFmtId="0" fontId="0" fillId="0" borderId="0" xfId="0" pivotButton="1"/>
    <xf numFmtId="0" fontId="0" fillId="0" borderId="0" xfId="0" applyAlignment="1">
      <alignment horizontal="left" indent="1"/>
    </xf>
    <xf numFmtId="0" fontId="1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1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yVal>
            <c:numRef>
              <c:f>average!$H$19:$H$28</c:f>
              <c:numCache>
                <c:formatCode>General</c:formatCode>
                <c:ptCount val="10"/>
                <c:pt idx="0">
                  <c:v>86</c:v>
                </c:pt>
                <c:pt idx="1">
                  <c:v>95</c:v>
                </c:pt>
                <c:pt idx="2">
                  <c:v>81</c:v>
                </c:pt>
                <c:pt idx="3">
                  <c:v>75</c:v>
                </c:pt>
                <c:pt idx="4">
                  <c:v>90</c:v>
                </c:pt>
                <c:pt idx="5">
                  <c:v>83</c:v>
                </c:pt>
                <c:pt idx="6">
                  <c:v>91</c:v>
                </c:pt>
                <c:pt idx="7">
                  <c:v>60</c:v>
                </c:pt>
                <c:pt idx="8">
                  <c:v>65</c:v>
                </c:pt>
                <c:pt idx="9">
                  <c:v>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AA-4074-AB47-363FD1781A5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725494735"/>
        <c:axId val="1725500975"/>
      </c:scatterChart>
      <c:valAx>
        <c:axId val="1725494735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500975"/>
        <c:crosses val="autoZero"/>
        <c:crossBetween val="midCat"/>
      </c:valAx>
      <c:valAx>
        <c:axId val="1725500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494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REGRSSION!$M$25:$M$48</c:f>
              <c:numCache>
                <c:formatCode>General</c:formatCode>
                <c:ptCount val="24"/>
                <c:pt idx="0">
                  <c:v>2.0833333333333335</c:v>
                </c:pt>
                <c:pt idx="1">
                  <c:v>6.25</c:v>
                </c:pt>
                <c:pt idx="2">
                  <c:v>10.416666666666668</c:v>
                </c:pt>
                <c:pt idx="3">
                  <c:v>14.583333333333334</c:v>
                </c:pt>
                <c:pt idx="4">
                  <c:v>18.75</c:v>
                </c:pt>
                <c:pt idx="5">
                  <c:v>22.916666666666668</c:v>
                </c:pt>
                <c:pt idx="6">
                  <c:v>27.083333333333332</c:v>
                </c:pt>
                <c:pt idx="7">
                  <c:v>31.25</c:v>
                </c:pt>
                <c:pt idx="8">
                  <c:v>35.416666666666671</c:v>
                </c:pt>
                <c:pt idx="9">
                  <c:v>39.583333333333336</c:v>
                </c:pt>
                <c:pt idx="10">
                  <c:v>43.750000000000007</c:v>
                </c:pt>
                <c:pt idx="11">
                  <c:v>47.916666666666671</c:v>
                </c:pt>
                <c:pt idx="12">
                  <c:v>52.083333333333336</c:v>
                </c:pt>
                <c:pt idx="13">
                  <c:v>56.250000000000007</c:v>
                </c:pt>
                <c:pt idx="14">
                  <c:v>60.416666666666671</c:v>
                </c:pt>
                <c:pt idx="15">
                  <c:v>64.583333333333343</c:v>
                </c:pt>
                <c:pt idx="16">
                  <c:v>68.75</c:v>
                </c:pt>
                <c:pt idx="17">
                  <c:v>72.916666666666671</c:v>
                </c:pt>
                <c:pt idx="18">
                  <c:v>77.083333333333329</c:v>
                </c:pt>
                <c:pt idx="19">
                  <c:v>81.25</c:v>
                </c:pt>
                <c:pt idx="20">
                  <c:v>85.416666666666671</c:v>
                </c:pt>
                <c:pt idx="21">
                  <c:v>89.583333333333329</c:v>
                </c:pt>
                <c:pt idx="22">
                  <c:v>93.75</c:v>
                </c:pt>
                <c:pt idx="23">
                  <c:v>97.916666666666671</c:v>
                </c:pt>
              </c:numCache>
            </c:numRef>
          </c:xVal>
          <c:yVal>
            <c:numRef>
              <c:f>REGRSSION!$N$35:$N$58</c:f>
              <c:numCache>
                <c:formatCode>General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18</c:v>
                </c:pt>
                <c:pt idx="18">
                  <c:v>18</c:v>
                </c:pt>
                <c:pt idx="19">
                  <c:v>20</c:v>
                </c:pt>
                <c:pt idx="20">
                  <c:v>20</c:v>
                </c:pt>
                <c:pt idx="21">
                  <c:v>23</c:v>
                </c:pt>
                <c:pt idx="22">
                  <c:v>25</c:v>
                </c:pt>
                <c:pt idx="23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56-43E2-BF94-3C813B573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460671"/>
        <c:axId val="123457343"/>
      </c:scatterChart>
      <c:valAx>
        <c:axId val="1234606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3457343"/>
        <c:crosses val="autoZero"/>
        <c:crossBetween val="midCat"/>
      </c:valAx>
      <c:valAx>
        <c:axId val="12345734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346067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REGRSSION!$M$23:$M$24</c:f>
              <c:strCache>
                <c:ptCount val="2"/>
                <c:pt idx="1">
                  <c:v>Percentile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REGRSSION!$L$35:$L$58</c:f>
              <c:numCache>
                <c:formatCode>General</c:formatCode>
                <c:ptCount val="24"/>
              </c:numCache>
            </c:numRef>
          </c:xVal>
          <c:yVal>
            <c:numRef>
              <c:f>REGRSSION!$M$25:$M$48</c:f>
              <c:numCache>
                <c:formatCode>General</c:formatCode>
                <c:ptCount val="24"/>
                <c:pt idx="0">
                  <c:v>2.0833333333333335</c:v>
                </c:pt>
                <c:pt idx="1">
                  <c:v>6.25</c:v>
                </c:pt>
                <c:pt idx="2">
                  <c:v>10.416666666666668</c:v>
                </c:pt>
                <c:pt idx="3">
                  <c:v>14.583333333333334</c:v>
                </c:pt>
                <c:pt idx="4">
                  <c:v>18.75</c:v>
                </c:pt>
                <c:pt idx="5">
                  <c:v>22.916666666666668</c:v>
                </c:pt>
                <c:pt idx="6">
                  <c:v>27.083333333333332</c:v>
                </c:pt>
                <c:pt idx="7">
                  <c:v>31.25</c:v>
                </c:pt>
                <c:pt idx="8">
                  <c:v>35.416666666666671</c:v>
                </c:pt>
                <c:pt idx="9">
                  <c:v>39.583333333333336</c:v>
                </c:pt>
                <c:pt idx="10">
                  <c:v>43.750000000000007</c:v>
                </c:pt>
                <c:pt idx="11">
                  <c:v>47.916666666666671</c:v>
                </c:pt>
                <c:pt idx="12">
                  <c:v>52.083333333333336</c:v>
                </c:pt>
                <c:pt idx="13">
                  <c:v>56.250000000000007</c:v>
                </c:pt>
                <c:pt idx="14">
                  <c:v>60.416666666666671</c:v>
                </c:pt>
                <c:pt idx="15">
                  <c:v>64.583333333333343</c:v>
                </c:pt>
                <c:pt idx="16">
                  <c:v>68.75</c:v>
                </c:pt>
                <c:pt idx="17">
                  <c:v>72.916666666666671</c:v>
                </c:pt>
                <c:pt idx="18">
                  <c:v>77.083333333333329</c:v>
                </c:pt>
                <c:pt idx="19">
                  <c:v>81.25</c:v>
                </c:pt>
                <c:pt idx="20">
                  <c:v>85.416666666666671</c:v>
                </c:pt>
                <c:pt idx="21">
                  <c:v>89.583333333333329</c:v>
                </c:pt>
                <c:pt idx="22">
                  <c:v>93.75</c:v>
                </c:pt>
                <c:pt idx="23">
                  <c:v>97.916666666666671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34-4B23-A778-01B280662941}"/>
            </c:ext>
          </c:extLst>
        </c:ser>
        <c:ser>
          <c:idx val="1"/>
          <c:order val="1"/>
          <c:tx>
            <c:strRef>
              <c:f>REGRSSION!$O$33:$O$34</c:f>
              <c:strCache>
                <c:ptCount val="2"/>
                <c:pt idx="0">
                  <c:v>35.41666667</c:v>
                </c:pt>
                <c:pt idx="1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REGRSSION!$N$35:$N$58</c:f>
              <c:numCache>
                <c:formatCode>General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18</c:v>
                </c:pt>
                <c:pt idx="18">
                  <c:v>18</c:v>
                </c:pt>
                <c:pt idx="19">
                  <c:v>20</c:v>
                </c:pt>
                <c:pt idx="20">
                  <c:v>20</c:v>
                </c:pt>
                <c:pt idx="21">
                  <c:v>23</c:v>
                </c:pt>
                <c:pt idx="22">
                  <c:v>25</c:v>
                </c:pt>
                <c:pt idx="23">
                  <c:v>30</c:v>
                </c:pt>
              </c:numCache>
            </c:numRef>
          </c:xVal>
          <c:yVal>
            <c:numRef>
              <c:f>REGRSSION!$O$35:$O$58</c:f>
              <c:numCache>
                <c:formatCode>General</c:formatCode>
                <c:ptCount val="2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34-4B23-A778-01B2806629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39871"/>
        <c:axId val="61440287"/>
      </c:scatterChart>
      <c:valAx>
        <c:axId val="61439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40287"/>
        <c:crosses val="autoZero"/>
        <c:crossBetween val="midCat"/>
      </c:valAx>
      <c:valAx>
        <c:axId val="61440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39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REGRSSION!$N$34</c:f>
              <c:strCache>
                <c:ptCount val="1"/>
                <c:pt idx="0">
                  <c:v>Y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REGRSSION!$M$25:$M$48</c:f>
              <c:numCache>
                <c:formatCode>General</c:formatCode>
                <c:ptCount val="24"/>
                <c:pt idx="0">
                  <c:v>2.0833333333333335</c:v>
                </c:pt>
                <c:pt idx="1">
                  <c:v>6.25</c:v>
                </c:pt>
                <c:pt idx="2">
                  <c:v>10.416666666666668</c:v>
                </c:pt>
                <c:pt idx="3">
                  <c:v>14.583333333333334</c:v>
                </c:pt>
                <c:pt idx="4">
                  <c:v>18.75</c:v>
                </c:pt>
                <c:pt idx="5">
                  <c:v>22.916666666666668</c:v>
                </c:pt>
                <c:pt idx="6">
                  <c:v>27.083333333333332</c:v>
                </c:pt>
                <c:pt idx="7">
                  <c:v>31.25</c:v>
                </c:pt>
                <c:pt idx="8">
                  <c:v>35.416666666666671</c:v>
                </c:pt>
                <c:pt idx="9">
                  <c:v>39.583333333333336</c:v>
                </c:pt>
                <c:pt idx="10">
                  <c:v>43.750000000000007</c:v>
                </c:pt>
                <c:pt idx="11">
                  <c:v>47.916666666666671</c:v>
                </c:pt>
                <c:pt idx="12">
                  <c:v>52.083333333333336</c:v>
                </c:pt>
                <c:pt idx="13">
                  <c:v>56.250000000000007</c:v>
                </c:pt>
                <c:pt idx="14">
                  <c:v>60.416666666666671</c:v>
                </c:pt>
                <c:pt idx="15">
                  <c:v>64.583333333333343</c:v>
                </c:pt>
                <c:pt idx="16">
                  <c:v>68.75</c:v>
                </c:pt>
                <c:pt idx="17">
                  <c:v>72.916666666666671</c:v>
                </c:pt>
                <c:pt idx="18">
                  <c:v>77.083333333333329</c:v>
                </c:pt>
                <c:pt idx="19">
                  <c:v>81.25</c:v>
                </c:pt>
                <c:pt idx="20">
                  <c:v>85.416666666666671</c:v>
                </c:pt>
                <c:pt idx="21">
                  <c:v>89.583333333333329</c:v>
                </c:pt>
                <c:pt idx="22">
                  <c:v>93.75</c:v>
                </c:pt>
                <c:pt idx="23">
                  <c:v>97.916666666666671</c:v>
                </c:pt>
              </c:numCache>
            </c:numRef>
          </c:cat>
          <c:val>
            <c:numRef>
              <c:f>REGRSSION!$N$35:$N$58</c:f>
              <c:numCache>
                <c:formatCode>General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18</c:v>
                </c:pt>
                <c:pt idx="18">
                  <c:v>18</c:v>
                </c:pt>
                <c:pt idx="19">
                  <c:v>20</c:v>
                </c:pt>
                <c:pt idx="20">
                  <c:v>20</c:v>
                </c:pt>
                <c:pt idx="21">
                  <c:v>23</c:v>
                </c:pt>
                <c:pt idx="22">
                  <c:v>25</c:v>
                </c:pt>
                <c:pt idx="23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15-4679-BDD2-034B85771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283918303"/>
        <c:axId val="1283912479"/>
      </c:lineChart>
      <c:catAx>
        <c:axId val="1283918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912479"/>
        <c:crosses val="autoZero"/>
        <c:auto val="1"/>
        <c:lblAlgn val="ctr"/>
        <c:lblOffset val="100"/>
        <c:noMultiLvlLbl val="0"/>
      </c:catAx>
      <c:valAx>
        <c:axId val="12839124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918303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REGRSSION!$N$34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solidFill>
                <a:schemeClr val="accent1">
                  <a:alpha val="20000"/>
                </a:schemeClr>
              </a:solidFill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REGRSSION!$M$25:$M$48</c:f>
              <c:numCache>
                <c:formatCode>General</c:formatCode>
                <c:ptCount val="24"/>
                <c:pt idx="0">
                  <c:v>2.0833333333333335</c:v>
                </c:pt>
                <c:pt idx="1">
                  <c:v>6.25</c:v>
                </c:pt>
                <c:pt idx="2">
                  <c:v>10.416666666666668</c:v>
                </c:pt>
                <c:pt idx="3">
                  <c:v>14.583333333333334</c:v>
                </c:pt>
                <c:pt idx="4">
                  <c:v>18.75</c:v>
                </c:pt>
                <c:pt idx="5">
                  <c:v>22.916666666666668</c:v>
                </c:pt>
                <c:pt idx="6">
                  <c:v>27.083333333333332</c:v>
                </c:pt>
                <c:pt idx="7">
                  <c:v>31.25</c:v>
                </c:pt>
                <c:pt idx="8">
                  <c:v>35.416666666666671</c:v>
                </c:pt>
                <c:pt idx="9">
                  <c:v>39.583333333333336</c:v>
                </c:pt>
                <c:pt idx="10">
                  <c:v>43.750000000000007</c:v>
                </c:pt>
                <c:pt idx="11">
                  <c:v>47.916666666666671</c:v>
                </c:pt>
                <c:pt idx="12">
                  <c:v>52.083333333333336</c:v>
                </c:pt>
                <c:pt idx="13">
                  <c:v>56.250000000000007</c:v>
                </c:pt>
                <c:pt idx="14">
                  <c:v>60.416666666666671</c:v>
                </c:pt>
                <c:pt idx="15">
                  <c:v>64.583333333333343</c:v>
                </c:pt>
                <c:pt idx="16">
                  <c:v>68.75</c:v>
                </c:pt>
                <c:pt idx="17">
                  <c:v>72.916666666666671</c:v>
                </c:pt>
                <c:pt idx="18">
                  <c:v>77.083333333333329</c:v>
                </c:pt>
                <c:pt idx="19">
                  <c:v>81.25</c:v>
                </c:pt>
                <c:pt idx="20">
                  <c:v>85.416666666666671</c:v>
                </c:pt>
                <c:pt idx="21">
                  <c:v>89.583333333333329</c:v>
                </c:pt>
                <c:pt idx="22">
                  <c:v>93.75</c:v>
                </c:pt>
                <c:pt idx="23">
                  <c:v>97.916666666666671</c:v>
                </c:pt>
              </c:numCache>
            </c:numRef>
          </c:xVal>
          <c:yVal>
            <c:numRef>
              <c:f>REGRSSION!$N$35:$N$58</c:f>
              <c:numCache>
                <c:formatCode>General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18</c:v>
                </c:pt>
                <c:pt idx="18">
                  <c:v>18</c:v>
                </c:pt>
                <c:pt idx="19">
                  <c:v>20</c:v>
                </c:pt>
                <c:pt idx="20">
                  <c:v>20</c:v>
                </c:pt>
                <c:pt idx="21">
                  <c:v>23</c:v>
                </c:pt>
                <c:pt idx="22">
                  <c:v>25</c:v>
                </c:pt>
                <c:pt idx="23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BE-4659-A402-1BBCBDB281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975007"/>
        <c:axId val="149967519"/>
      </c:scatterChart>
      <c:valAx>
        <c:axId val="149975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67519"/>
        <c:crosses val="autoZero"/>
        <c:crossBetween val="midCat"/>
      </c:valAx>
      <c:valAx>
        <c:axId val="14996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750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REGRSSION!$N$34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REGRSSION!$L$35:$M$58</c:f>
              <c:strCache>
                <c:ptCount val="14"/>
                <c:pt idx="0">
                  <c:v>43.75</c:v>
                </c:pt>
                <c:pt idx="1">
                  <c:v>47.91666667</c:v>
                </c:pt>
                <c:pt idx="2">
                  <c:v>52.08333333</c:v>
                </c:pt>
                <c:pt idx="3">
                  <c:v>56.25</c:v>
                </c:pt>
                <c:pt idx="4">
                  <c:v>60.41666667</c:v>
                </c:pt>
                <c:pt idx="5">
                  <c:v>64.58333333</c:v>
                </c:pt>
                <c:pt idx="6">
                  <c:v>68.75</c:v>
                </c:pt>
                <c:pt idx="7">
                  <c:v>72.91666667</c:v>
                </c:pt>
                <c:pt idx="8">
                  <c:v>77.08333333</c:v>
                </c:pt>
                <c:pt idx="9">
                  <c:v>81.25</c:v>
                </c:pt>
                <c:pt idx="10">
                  <c:v>85.41666667</c:v>
                </c:pt>
                <c:pt idx="11">
                  <c:v>89.58333333</c:v>
                </c:pt>
                <c:pt idx="12">
                  <c:v>93.75</c:v>
                </c:pt>
                <c:pt idx="13">
                  <c:v>97.91666667</c:v>
                </c:pt>
              </c:strCache>
            </c:strRef>
          </c:cat>
          <c:val>
            <c:numRef>
              <c:f>REGRSSION!$N$35:$N$58</c:f>
              <c:numCache>
                <c:formatCode>General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18</c:v>
                </c:pt>
                <c:pt idx="18">
                  <c:v>18</c:v>
                </c:pt>
                <c:pt idx="19">
                  <c:v>20</c:v>
                </c:pt>
                <c:pt idx="20">
                  <c:v>20</c:v>
                </c:pt>
                <c:pt idx="21">
                  <c:v>23</c:v>
                </c:pt>
                <c:pt idx="22">
                  <c:v>25</c:v>
                </c:pt>
                <c:pt idx="23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8E-41E8-9035-39C44120E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892799"/>
        <c:axId val="59893215"/>
      </c:lineChart>
      <c:catAx>
        <c:axId val="59892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93215"/>
        <c:crosses val="autoZero"/>
        <c:auto val="1"/>
        <c:lblAlgn val="ctr"/>
        <c:lblOffset val="100"/>
        <c:noMultiLvlLbl val="0"/>
      </c:catAx>
      <c:valAx>
        <c:axId val="5989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92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"/>
          <c:y val="3.882708755972661E-4"/>
          <c:w val="0.93888888888888888"/>
          <c:h val="0.94050853018372704"/>
        </c:manualLayout>
      </c:layout>
      <c:lineChart>
        <c:grouping val="standard"/>
        <c:varyColors val="0"/>
        <c:ser>
          <c:idx val="0"/>
          <c:order val="0"/>
          <c:tx>
            <c:strRef>
              <c:f>REGRSSION!$B$33</c:f>
              <c:strCache>
                <c:ptCount val="1"/>
                <c:pt idx="0">
                  <c:v>HP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REGRSSION!$C$32:$D$32</c:f>
              <c:strCache>
                <c:ptCount val="2"/>
                <c:pt idx="0">
                  <c:v>HP</c:v>
                </c:pt>
                <c:pt idx="1">
                  <c:v>CAR MILAGE</c:v>
                </c:pt>
              </c:strCache>
            </c:strRef>
          </c:cat>
          <c:val>
            <c:numRef>
              <c:f>REGRSSION!$C$33:$D$33</c:f>
              <c:numCache>
                <c:formatCode>General</c:formatCode>
                <c:ptCount val="2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34-4CA3-8952-1D0DC7953C5F}"/>
            </c:ext>
          </c:extLst>
        </c:ser>
        <c:ser>
          <c:idx val="1"/>
          <c:order val="1"/>
          <c:tx>
            <c:strRef>
              <c:f>REGRSSION!$B$34</c:f>
              <c:strCache>
                <c:ptCount val="1"/>
                <c:pt idx="0">
                  <c:v>CAR MILAGE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REGRSSION!$C$32:$D$32</c:f>
              <c:strCache>
                <c:ptCount val="2"/>
                <c:pt idx="0">
                  <c:v>HP</c:v>
                </c:pt>
                <c:pt idx="1">
                  <c:v>CAR MILAGE</c:v>
                </c:pt>
              </c:strCache>
            </c:strRef>
          </c:cat>
          <c:val>
            <c:numRef>
              <c:f>REGRSSION!$C$34:$D$34</c:f>
              <c:numCache>
                <c:formatCode>General</c:formatCode>
                <c:ptCount val="2"/>
                <c:pt idx="0">
                  <c:v>-0.67029826710476625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34-4CA3-8952-1D0DC7953C5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6325663"/>
        <c:axId val="96324831"/>
      </c:lineChart>
      <c:catAx>
        <c:axId val="96325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24831"/>
        <c:crosses val="autoZero"/>
        <c:auto val="1"/>
        <c:lblAlgn val="ctr"/>
        <c:lblOffset val="100"/>
        <c:noMultiLvlLbl val="0"/>
      </c:catAx>
      <c:valAx>
        <c:axId val="96324831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9632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'Analytics tooltip'!$M$35:$M$44</c:f>
              <c:numCache>
                <c:formatCode>General</c:formatCode>
                <c:ptCount val="10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45</c:v>
                </c:pt>
                <c:pt idx="5">
                  <c:v>55</c:v>
                </c:pt>
                <c:pt idx="6">
                  <c:v>65</c:v>
                </c:pt>
                <c:pt idx="7">
                  <c:v>75</c:v>
                </c:pt>
                <c:pt idx="8">
                  <c:v>85</c:v>
                </c:pt>
                <c:pt idx="9">
                  <c:v>95</c:v>
                </c:pt>
              </c:numCache>
            </c:numRef>
          </c:xVal>
          <c:yVal>
            <c:numRef>
              <c:f>'Analytics tooltip'!$N$35:$N$44</c:f>
              <c:numCache>
                <c:formatCode>General</c:formatCode>
                <c:ptCount val="10"/>
                <c:pt idx="0">
                  <c:v>65</c:v>
                </c:pt>
                <c:pt idx="1">
                  <c:v>65</c:v>
                </c:pt>
                <c:pt idx="2">
                  <c:v>67</c:v>
                </c:pt>
                <c:pt idx="3">
                  <c:v>69</c:v>
                </c:pt>
                <c:pt idx="4">
                  <c:v>75</c:v>
                </c:pt>
                <c:pt idx="5">
                  <c:v>78</c:v>
                </c:pt>
                <c:pt idx="6">
                  <c:v>89</c:v>
                </c:pt>
                <c:pt idx="7">
                  <c:v>90</c:v>
                </c:pt>
                <c:pt idx="8">
                  <c:v>95</c:v>
                </c:pt>
                <c:pt idx="9">
                  <c:v>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1F-45BD-B954-7885E82E5B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980415"/>
        <c:axId val="149968351"/>
      </c:scatterChart>
      <c:valAx>
        <c:axId val="1499804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9968351"/>
        <c:crosses val="autoZero"/>
        <c:crossBetween val="midCat"/>
      </c:valAx>
      <c:valAx>
        <c:axId val="14996835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998041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functions-1.xlsx]prac280123!PivotTable15</c:name>
    <c:fmtId val="14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prac280123!$D$50</c:f>
              <c:strCache>
                <c:ptCount val="1"/>
                <c:pt idx="0">
                  <c:v>Sum of 6000000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prac280123!$C$51:$C$67</c:f>
              <c:strCache>
                <c:ptCount val="16"/>
                <c:pt idx="0">
                  <c:v>AUDI</c:v>
                </c:pt>
                <c:pt idx="1">
                  <c:v>BMW</c:v>
                </c:pt>
                <c:pt idx="2">
                  <c:v>BUGATI</c:v>
                </c:pt>
                <c:pt idx="3">
                  <c:v>FORCE</c:v>
                </c:pt>
                <c:pt idx="4">
                  <c:v>HUMMER</c:v>
                </c:pt>
                <c:pt idx="5">
                  <c:v>HYUNDAI</c:v>
                </c:pt>
                <c:pt idx="6">
                  <c:v>LAMBORGINI</c:v>
                </c:pt>
                <c:pt idx="7">
                  <c:v>MAHINDRA</c:v>
                </c:pt>
                <c:pt idx="8">
                  <c:v>MARUTHI</c:v>
                </c:pt>
                <c:pt idx="9">
                  <c:v>MERCEDES</c:v>
                </c:pt>
                <c:pt idx="10">
                  <c:v>MISTI</c:v>
                </c:pt>
                <c:pt idx="11">
                  <c:v>NISSAN</c:v>
                </c:pt>
                <c:pt idx="12">
                  <c:v>ROLL-ROYCE</c:v>
                </c:pt>
                <c:pt idx="13">
                  <c:v>SUZUKI</c:v>
                </c:pt>
                <c:pt idx="14">
                  <c:v>TATA</c:v>
                </c:pt>
                <c:pt idx="15">
                  <c:v>TOYOTA</c:v>
                </c:pt>
              </c:strCache>
            </c:strRef>
          </c:cat>
          <c:val>
            <c:numRef>
              <c:f>prac280123!$D$51:$D$67</c:f>
              <c:numCache>
                <c:formatCode>General</c:formatCode>
                <c:ptCount val="16"/>
                <c:pt idx="0">
                  <c:v>8000000</c:v>
                </c:pt>
                <c:pt idx="1">
                  <c:v>10000000</c:v>
                </c:pt>
                <c:pt idx="2">
                  <c:v>1000000000</c:v>
                </c:pt>
                <c:pt idx="3">
                  <c:v>700000</c:v>
                </c:pt>
                <c:pt idx="4">
                  <c:v>150000000</c:v>
                </c:pt>
                <c:pt idx="5">
                  <c:v>2600000</c:v>
                </c:pt>
                <c:pt idx="6">
                  <c:v>200000000</c:v>
                </c:pt>
                <c:pt idx="7">
                  <c:v>4900000</c:v>
                </c:pt>
                <c:pt idx="8">
                  <c:v>600000</c:v>
                </c:pt>
                <c:pt idx="9">
                  <c:v>10000000</c:v>
                </c:pt>
                <c:pt idx="10">
                  <c:v>2500000</c:v>
                </c:pt>
                <c:pt idx="11">
                  <c:v>800000</c:v>
                </c:pt>
                <c:pt idx="12">
                  <c:v>300000000</c:v>
                </c:pt>
                <c:pt idx="13">
                  <c:v>4300000</c:v>
                </c:pt>
                <c:pt idx="14">
                  <c:v>1500000</c:v>
                </c:pt>
                <c:pt idx="15">
                  <c:v>4700000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CF-4738-BAAD-4849DEEC681D}"/>
            </c:ext>
          </c:extLst>
        </c:ser>
        <c:ser>
          <c:idx val="1"/>
          <c:order val="1"/>
          <c:tx>
            <c:strRef>
              <c:f>prac280123!$E$50</c:f>
              <c:strCache>
                <c:ptCount val="1"/>
                <c:pt idx="0">
                  <c:v>Sum of 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prac280123!$C$51:$C$67</c:f>
              <c:strCache>
                <c:ptCount val="16"/>
                <c:pt idx="0">
                  <c:v>AUDI</c:v>
                </c:pt>
                <c:pt idx="1">
                  <c:v>BMW</c:v>
                </c:pt>
                <c:pt idx="2">
                  <c:v>BUGATI</c:v>
                </c:pt>
                <c:pt idx="3">
                  <c:v>FORCE</c:v>
                </c:pt>
                <c:pt idx="4">
                  <c:v>HUMMER</c:v>
                </c:pt>
                <c:pt idx="5">
                  <c:v>HYUNDAI</c:v>
                </c:pt>
                <c:pt idx="6">
                  <c:v>LAMBORGINI</c:v>
                </c:pt>
                <c:pt idx="7">
                  <c:v>MAHINDRA</c:v>
                </c:pt>
                <c:pt idx="8">
                  <c:v>MARUTHI</c:v>
                </c:pt>
                <c:pt idx="9">
                  <c:v>MERCEDES</c:v>
                </c:pt>
                <c:pt idx="10">
                  <c:v>MISTI</c:v>
                </c:pt>
                <c:pt idx="11">
                  <c:v>NISSAN</c:v>
                </c:pt>
                <c:pt idx="12">
                  <c:v>ROLL-ROYCE</c:v>
                </c:pt>
                <c:pt idx="13">
                  <c:v>SUZUKI</c:v>
                </c:pt>
                <c:pt idx="14">
                  <c:v>TATA</c:v>
                </c:pt>
                <c:pt idx="15">
                  <c:v>TOYOTA</c:v>
                </c:pt>
              </c:strCache>
            </c:strRef>
          </c:cat>
          <c:val>
            <c:numRef>
              <c:f>prac280123!$E$51:$E$67</c:f>
              <c:numCache>
                <c:formatCode>General</c:formatCode>
                <c:ptCount val="16"/>
                <c:pt idx="0">
                  <c:v>18</c:v>
                </c:pt>
                <c:pt idx="1">
                  <c:v>10</c:v>
                </c:pt>
                <c:pt idx="2">
                  <c:v>2</c:v>
                </c:pt>
                <c:pt idx="3">
                  <c:v>30</c:v>
                </c:pt>
                <c:pt idx="4">
                  <c:v>3</c:v>
                </c:pt>
                <c:pt idx="5">
                  <c:v>41</c:v>
                </c:pt>
                <c:pt idx="6">
                  <c:v>5</c:v>
                </c:pt>
                <c:pt idx="7">
                  <c:v>38</c:v>
                </c:pt>
                <c:pt idx="8">
                  <c:v>45</c:v>
                </c:pt>
                <c:pt idx="9">
                  <c:v>6</c:v>
                </c:pt>
                <c:pt idx="10">
                  <c:v>12</c:v>
                </c:pt>
                <c:pt idx="11">
                  <c:v>15</c:v>
                </c:pt>
                <c:pt idx="12">
                  <c:v>5</c:v>
                </c:pt>
                <c:pt idx="13">
                  <c:v>57</c:v>
                </c:pt>
                <c:pt idx="14">
                  <c:v>12</c:v>
                </c:pt>
                <c:pt idx="1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CF-4738-BAAD-4849DEEC681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10833807"/>
        <c:axId val="1710835887"/>
      </c:lineChart>
      <c:catAx>
        <c:axId val="17108338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0835887"/>
        <c:crosses val="autoZero"/>
        <c:auto val="1"/>
        <c:lblAlgn val="ctr"/>
        <c:lblOffset val="100"/>
        <c:noMultiLvlLbl val="0"/>
      </c:catAx>
      <c:valAx>
        <c:axId val="1710835887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0833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functions-1.xlsx]Data Analysis in Cars data!PivotTable16</c:name>
    <c:fmtId val="2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numFmt formatCode="&quot;₹&quot;\ #,##0.00" sourceLinked="0"/>
          <c:spPr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layout>
            <c:manualLayout>
              <c:x val="1.3108614232209739E-2"/>
              <c:y val="-0.09"/>
            </c:manualLayout>
          </c:layout>
          <c:showLegendKey val="0"/>
          <c:showVal val="1"/>
          <c:showCatName val="1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layout>
            <c:manualLayout>
              <c:x val="1.6853932584269662E-2"/>
              <c:y val="-7.3333333333333334E-2"/>
            </c:manualLayout>
          </c:layout>
          <c:showLegendKey val="0"/>
          <c:showVal val="1"/>
          <c:showCatName val="1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layout>
            <c:manualLayout>
              <c:x val="1.8726591760299626E-3"/>
              <c:y val="-8.333333333333337E-2"/>
            </c:manualLayout>
          </c:layout>
          <c:showLegendKey val="0"/>
          <c:showVal val="1"/>
          <c:showCatName val="1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'Data Analysis in Cars data'!$C$29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numFmt formatCode="&quot;₹&quot;\ #,##0.00" sourceLinked="0"/>
            <c:spPr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'Data Analysis in Cars data'!$B$30:$B$33</c:f>
              <c:multiLvlStrCache>
                <c:ptCount val="2"/>
                <c:lvl>
                  <c:pt idx="0">
                    <c:v>ALTO</c:v>
                  </c:pt>
                  <c:pt idx="1">
                    <c:v>WAGONR</c:v>
                  </c:pt>
                </c:lvl>
                <c:lvl>
                  <c:pt idx="0">
                    <c:v>MARUTHI</c:v>
                  </c:pt>
                </c:lvl>
              </c:multiLvlStrCache>
            </c:multiLvlStrRef>
          </c:cat>
          <c:val>
            <c:numRef>
              <c:f>'Data Analysis in Cars data'!$C$30:$C$33</c:f>
              <c:numCache>
                <c:formatCode>General</c:formatCode>
                <c:ptCount val="2"/>
                <c:pt idx="0">
                  <c:v>300000</c:v>
                </c:pt>
                <c:pt idx="1">
                  <c:v>300000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EB-498E-A77C-1C8C89508D2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987123903"/>
        <c:axId val="1987104767"/>
        <c:axId val="0"/>
      </c:bar3DChart>
      <c:catAx>
        <c:axId val="1987123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7104767"/>
        <c:crosses val="autoZero"/>
        <c:auto val="1"/>
        <c:lblAlgn val="ctr"/>
        <c:lblOffset val="100"/>
        <c:noMultiLvlLbl val="0"/>
      </c:catAx>
      <c:valAx>
        <c:axId val="19871047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7123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PRAC30123!$B$1</c:f>
              <c:strCache>
                <c:ptCount val="1"/>
                <c:pt idx="0">
                  <c:v>STUD_TOTALMARKS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PRAC30123!$A$2:$A$16</c:f>
              <c:strCache>
                <c:ptCount val="1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</c:strCache>
            </c:strRef>
          </c:cat>
          <c:val>
            <c:numRef>
              <c:f>PRAC30123!$B$2:$B$16</c:f>
              <c:numCache>
                <c:formatCode>General</c:formatCode>
                <c:ptCount val="15"/>
                <c:pt idx="0">
                  <c:v>520</c:v>
                </c:pt>
                <c:pt idx="1">
                  <c:v>420</c:v>
                </c:pt>
                <c:pt idx="2">
                  <c:v>320</c:v>
                </c:pt>
                <c:pt idx="3">
                  <c:v>510</c:v>
                </c:pt>
                <c:pt idx="4">
                  <c:v>550</c:v>
                </c:pt>
                <c:pt idx="5">
                  <c:v>298</c:v>
                </c:pt>
                <c:pt idx="6">
                  <c:v>389</c:v>
                </c:pt>
                <c:pt idx="7">
                  <c:v>379</c:v>
                </c:pt>
                <c:pt idx="8">
                  <c:v>501</c:v>
                </c:pt>
                <c:pt idx="9">
                  <c:v>304</c:v>
                </c:pt>
                <c:pt idx="10">
                  <c:v>404</c:v>
                </c:pt>
                <c:pt idx="11">
                  <c:v>500</c:v>
                </c:pt>
                <c:pt idx="12">
                  <c:v>400</c:v>
                </c:pt>
                <c:pt idx="13">
                  <c:v>300</c:v>
                </c:pt>
                <c:pt idx="14">
                  <c:v>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93-4F01-ADA7-21D1AC27A952}"/>
            </c:ext>
          </c:extLst>
        </c:ser>
        <c:ser>
          <c:idx val="1"/>
          <c:order val="1"/>
          <c:tx>
            <c:strRef>
              <c:f>PRAC30123!$C$1</c:f>
              <c:strCache>
                <c:ptCount val="1"/>
                <c:pt idx="0">
                  <c:v>STUD_PERCENTAGE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PRAC30123!$A$2:$A$16</c:f>
              <c:strCache>
                <c:ptCount val="1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</c:strCache>
            </c:strRef>
          </c:cat>
          <c:val>
            <c:numRef>
              <c:f>PRAC30123!$C$2:$C$16</c:f>
              <c:numCache>
                <c:formatCode>General</c:formatCode>
                <c:ptCount val="15"/>
                <c:pt idx="0">
                  <c:v>86.666666666666671</c:v>
                </c:pt>
                <c:pt idx="1">
                  <c:v>70</c:v>
                </c:pt>
                <c:pt idx="2">
                  <c:v>53.333333333333336</c:v>
                </c:pt>
                <c:pt idx="3">
                  <c:v>85</c:v>
                </c:pt>
                <c:pt idx="4">
                  <c:v>91.666666666666657</c:v>
                </c:pt>
                <c:pt idx="5">
                  <c:v>49.666666666666664</c:v>
                </c:pt>
                <c:pt idx="6">
                  <c:v>64.833333333333329</c:v>
                </c:pt>
                <c:pt idx="7">
                  <c:v>63.166666666666671</c:v>
                </c:pt>
                <c:pt idx="8">
                  <c:v>83.5</c:v>
                </c:pt>
                <c:pt idx="9">
                  <c:v>50.666666666666671</c:v>
                </c:pt>
                <c:pt idx="10">
                  <c:v>67.333333333333329</c:v>
                </c:pt>
                <c:pt idx="11">
                  <c:v>83.333333333333343</c:v>
                </c:pt>
                <c:pt idx="12">
                  <c:v>66.666666666666657</c:v>
                </c:pt>
                <c:pt idx="13">
                  <c:v>50</c:v>
                </c:pt>
                <c:pt idx="14">
                  <c:v>48.166666666666671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93-4F01-ADA7-21D1AC27A952}"/>
            </c:ext>
          </c:extLst>
        </c:ser>
        <c:ser>
          <c:idx val="2"/>
          <c:order val="2"/>
          <c:tx>
            <c:strRef>
              <c:f>PRAC30123!$D$1</c:f>
              <c:strCache>
                <c:ptCount val="1"/>
                <c:pt idx="0">
                  <c:v>STUD_GRADE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PRAC30123!$A$2:$A$16</c:f>
              <c:strCache>
                <c:ptCount val="1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</c:strCache>
            </c:strRef>
          </c:cat>
          <c:val>
            <c:numRef>
              <c:f>PRAC30123!$D$2:$D$16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93-4F01-ADA7-21D1AC27A952}"/>
            </c:ext>
          </c:extLst>
        </c:ser>
        <c:ser>
          <c:idx val="3"/>
          <c:order val="3"/>
          <c:tx>
            <c:strRef>
              <c:f>PRAC30123!$E$1</c:f>
              <c:strCache>
                <c:ptCount val="1"/>
                <c:pt idx="0">
                  <c:v>STUD_ROLLNO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PRAC30123!$A$2:$A$16</c:f>
              <c:strCache>
                <c:ptCount val="1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</c:strCache>
            </c:strRef>
          </c:cat>
          <c:val>
            <c:numRef>
              <c:f>PRAC30123!$E$2:$E$16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093-4F01-ADA7-21D1AC27A95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35590671"/>
        <c:axId val="1835595247"/>
      </c:barChart>
      <c:catAx>
        <c:axId val="1835590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595247"/>
        <c:crosses val="autoZero"/>
        <c:auto val="1"/>
        <c:lblAlgn val="ctr"/>
        <c:lblOffset val="100"/>
        <c:noMultiLvlLbl val="0"/>
      </c:catAx>
      <c:valAx>
        <c:axId val="183559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590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91440</xdr:colOff>
      <xdr:row>0</xdr:row>
      <xdr:rowOff>45720</xdr:rowOff>
    </xdr:from>
    <xdr:to>
      <xdr:col>12</xdr:col>
      <xdr:colOff>266700</xdr:colOff>
      <xdr:row>26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973AFB3-7DEB-2077-5A55-8BBBAB896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35140" y="45720"/>
          <a:ext cx="7193280" cy="4861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401594</xdr:colOff>
      <xdr:row>2</xdr:row>
      <xdr:rowOff>56291</xdr:rowOff>
    </xdr:from>
    <xdr:to>
      <xdr:col>18</xdr:col>
      <xdr:colOff>85811</xdr:colOff>
      <xdr:row>17</xdr:row>
      <xdr:rowOff>12356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F3942C-148A-6CAA-44C7-6B7200FBF7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251461</xdr:colOff>
      <xdr:row>10</xdr:row>
      <xdr:rowOff>175260</xdr:rowOff>
    </xdr:from>
    <xdr:to>
      <xdr:col>27</xdr:col>
      <xdr:colOff>251461</xdr:colOff>
      <xdr:row>20</xdr:row>
      <xdr:rowOff>175260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C309756-0399-3516-6586-66C3184A86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533400</xdr:colOff>
      <xdr:row>32</xdr:row>
      <xdr:rowOff>76200</xdr:rowOff>
    </xdr:from>
    <xdr:to>
      <xdr:col>22</xdr:col>
      <xdr:colOff>228600</xdr:colOff>
      <xdr:row>47</xdr:row>
      <xdr:rowOff>68580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813EB1B-F83C-DD9B-BBE9-C8565805C8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533400</xdr:colOff>
      <xdr:row>38</xdr:row>
      <xdr:rowOff>76200</xdr:rowOff>
    </xdr:from>
    <xdr:to>
      <xdr:col>22</xdr:col>
      <xdr:colOff>228600</xdr:colOff>
      <xdr:row>53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BD48828-55AB-9F5E-7086-41C3907951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533400</xdr:colOff>
      <xdr:row>26</xdr:row>
      <xdr:rowOff>68580</xdr:rowOff>
    </xdr:from>
    <xdr:to>
      <xdr:col>22</xdr:col>
      <xdr:colOff>228600</xdr:colOff>
      <xdr:row>41</xdr:row>
      <xdr:rowOff>53340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AE47E05-9C18-4B6D-FDB0-5A3E6E9A9C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463060</xdr:colOff>
      <xdr:row>48</xdr:row>
      <xdr:rowOff>35170</xdr:rowOff>
    </xdr:from>
    <xdr:to>
      <xdr:col>8</xdr:col>
      <xdr:colOff>468922</xdr:colOff>
      <xdr:row>56</xdr:row>
      <xdr:rowOff>175846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32E51C9-1FFD-FB5E-039F-C1833D30B4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791309</xdr:colOff>
      <xdr:row>48</xdr:row>
      <xdr:rowOff>5864</xdr:rowOff>
    </xdr:from>
    <xdr:to>
      <xdr:col>4</xdr:col>
      <xdr:colOff>372209</xdr:colOff>
      <xdr:row>56</xdr:row>
      <xdr:rowOff>167054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3B5E751-6903-18EE-B5AA-E77EEA811C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251461</xdr:colOff>
      <xdr:row>10</xdr:row>
      <xdr:rowOff>175260</xdr:rowOff>
    </xdr:from>
    <xdr:to>
      <xdr:col>27</xdr:col>
      <xdr:colOff>251461</xdr:colOff>
      <xdr:row>20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9E3C29-C69E-9D42-A8B0-DA8BACCC91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106680</xdr:colOff>
      <xdr:row>46</xdr:row>
      <xdr:rowOff>243840</xdr:rowOff>
    </xdr:from>
    <xdr:to>
      <xdr:col>20</xdr:col>
      <xdr:colOff>312420</xdr:colOff>
      <xdr:row>69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83A5793-37A5-CC1E-75F9-867F6C91CC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26</xdr:row>
      <xdr:rowOff>15240</xdr:rowOff>
    </xdr:from>
    <xdr:to>
      <xdr:col>11</xdr:col>
      <xdr:colOff>1920240</xdr:colOff>
      <xdr:row>46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EC611A-0D81-4EA2-7EF5-60CD2AE432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10886</xdr:colOff>
      <xdr:row>1</xdr:row>
      <xdr:rowOff>27214</xdr:rowOff>
    </xdr:from>
    <xdr:to>
      <xdr:col>13</xdr:col>
      <xdr:colOff>587829</xdr:colOff>
      <xdr:row>15</xdr:row>
      <xdr:rowOff>179614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35B624-346D-98A1-3DB1-D48EE2A558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OMU EVR" refreshedDate="44956.661654745367" backgroundQuery="1" createdVersion="8" refreshedVersion="8" minRefreshableVersion="3" recordCount="0" supportSubquery="1" supportAdvancedDrill="1" xr:uid="{5F44F137-3D60-4D22-9CCC-AA10E705F0D0}">
  <cacheSource type="external" connectionId="1"/>
  <cacheFields count="5">
    <cacheField name="[Range].[AUDI].[AUDI]" caption="AUDI" numFmtId="0" level="1">
      <sharedItems count="16">
        <s v="AUDI"/>
        <s v="BMW"/>
        <s v="BUGATI"/>
        <s v="FORCE"/>
        <s v="HUMMER"/>
        <s v="HYUNDAI"/>
        <s v="LAMBORGINI"/>
        <s v="MAHINDRA"/>
        <s v="MARUTHI"/>
        <s v="MERCEDES"/>
        <s v="MISTI"/>
        <s v="NISSAN"/>
        <s v="ROLL-ROYCE"/>
        <s v="SUZUKI"/>
        <s v="TATA"/>
        <s v="TOYOTA"/>
      </sharedItems>
    </cacheField>
    <cacheField name="[Range].[R8].[R8]" caption="R8" numFmtId="0" hierarchy="1" level="1">
      <sharedItems containsNonDate="0" count="1">
        <s v="NEXON"/>
      </sharedItems>
    </cacheField>
    <cacheField name="[Range].[AMT].[AMT]" caption="AMT" numFmtId="0" hierarchy="5" level="1">
      <sharedItems containsNonDate="0" count="1">
        <s v="AMT"/>
      </sharedItems>
    </cacheField>
    <cacheField name="[Measures].[Sum of 6000000]" caption="Sum of 6000000" numFmtId="0" hierarchy="12" level="32767"/>
    <cacheField name="[Measures].[Sum of 10]" caption="Sum of 10" numFmtId="0" hierarchy="13" level="32767"/>
  </cacheFields>
  <cacheHierarchies count="14">
    <cacheHierarchy uniqueName="[Range].[AUDI]" caption="AUDI" attribute="1" defaultMemberUniqueName="[Range].[AUDI].[All]" allUniqueName="[Range].[AUDI].[All]" dimensionUniqueName="[Range]" displayFolder="" count="2" memberValueDatatype="130" unbalanced="0">
      <fieldsUsage count="2">
        <fieldUsage x="-1"/>
        <fieldUsage x="0"/>
      </fieldsUsage>
    </cacheHierarchy>
    <cacheHierarchy uniqueName="[Range].[R8]" caption="R8" attribute="1" defaultMemberUniqueName="[Range].[R8].[All]" allUniqueName="[Range].[R8].[All]" dimensionUniqueName="[Range]" displayFolder="" count="2" memberValueDatatype="130" unbalanced="0">
      <fieldsUsage count="2">
        <fieldUsage x="-1"/>
        <fieldUsage x="1"/>
      </fieldsUsage>
    </cacheHierarchy>
    <cacheHierarchy uniqueName="[Range].[10]" caption="10" attribute="1" defaultMemberUniqueName="[Range].[10].[All]" allUniqueName="[Range].[10].[All]" dimensionUniqueName="[Range]" displayFolder="" count="0" memberValueDatatype="20" unbalanced="0"/>
    <cacheHierarchy uniqueName="[Range].[KML]" caption="KML" attribute="1" defaultMemberUniqueName="[Range].[KML].[All]" allUniqueName="[Range].[KML].[All]" dimensionUniqueName="[Range]" displayFolder="" count="0" memberValueDatatype="130" unbalanced="0"/>
    <cacheHierarchy uniqueName="[Range].[80]" caption="80" attribute="1" defaultMemberUniqueName="[Range].[80].[All]" allUniqueName="[Range].[80].[All]" dimensionUniqueName="[Range]" displayFolder="" count="0" memberValueDatatype="20" unbalanced="0"/>
    <cacheHierarchy uniqueName="[Range].[AMT]" caption="AMT" attribute="1" defaultMemberUniqueName="[Range].[AMT].[All]" allUniqueName="[Range].[AMT].[All]" dimensionUniqueName="[Range]" displayFolder="" count="2" memberValueDatatype="130" unbalanced="0">
      <fieldsUsage count="2">
        <fieldUsage x="-1"/>
        <fieldUsage x="2"/>
      </fieldsUsage>
    </cacheHierarchy>
    <cacheHierarchy uniqueName="[Range].[6000000]" caption="6000000" attribute="1" defaultMemberUniqueName="[Range].[6000000].[All]" allUniqueName="[Range].[6000000].[All]" dimensionUniqueName="[Range]" displayFolder="" count="0" memberValueDatatype="20" unbalanced="0"/>
    <cacheHierarchy uniqueName="[Range].[P]" caption="P" attribute="1" defaultMemberUniqueName="[Range].[P].[All]" allUniqueName="[Range].[P].[All]" dimensionUniqueName="[Range]" displayFolder="" count="0" memberValueDatatype="130" unbalanced="0"/>
    <cacheHierarchy uniqueName="[Range].[G]" caption="G" attribute="1" defaultMemberUniqueName="[Range].[G].[All]" allUniqueName="[Range].[G].[All]" dimensionUniqueName="[Range]" displayFolder="" count="0" memberValueDatatype="130" unbalanced="0"/>
    <cacheHierarchy uniqueName="[Range].[YES]" caption="YES" attribute="1" defaultMemberUniqueName="[Range].[YES].[All]" allUniqueName="[Range].[YES].[All]" dimensionUniqueName="[Range]" displayFolder="" count="0" memberValueDatatype="130" unbalanced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Sum of 6000000]" caption="Sum of 6000000" measure="1" displayFolder="" measureGroup="Range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10]" caption="Sum of 10" measure="1" displayFolder="" measureGroup="Range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MU EVR" refreshedDate="44956.666124074072" createdVersion="8" refreshedVersion="8" minRefreshableVersion="3" recordCount="24" xr:uid="{B6446992-8C8F-4C43-B6A8-99276FBC8915}">
  <cacheSource type="worksheet">
    <worksheetSource ref="A1:I25" sheet="Data Analysis in Cars data"/>
  </cacheSource>
  <cacheFields count="9">
    <cacheField name="CAR COMPANY" numFmtId="0">
      <sharedItems count="16">
        <s v="AUDI"/>
        <s v="BMW"/>
        <s v="BUGATI"/>
        <s v="FORCE"/>
        <s v="HUMMER"/>
        <s v="HYUNDAI"/>
        <s v="LAMBORGINI"/>
        <s v="MAHINDRA"/>
        <s v="MARUTHI"/>
        <s v="MERCEDES"/>
        <s v="MISTI"/>
        <s v="NISSAN"/>
        <s v="ROLL-ROYCE"/>
        <s v="SUZUKI"/>
        <s v="TATA"/>
        <s v="TOYOTA"/>
      </sharedItems>
    </cacheField>
    <cacheField name="CARMODEL" numFmtId="0">
      <sharedItems count="24">
        <s v="R8"/>
        <s v="Q7"/>
        <s v="X7"/>
        <s v="VEVRON"/>
        <s v="CRUIZER"/>
        <s v="H2"/>
        <s v="VERNA"/>
        <s v="GI20"/>
        <s v="URUS"/>
        <s v="THAR"/>
        <s v="SCORPIO N"/>
        <s v="BOLERO"/>
        <s v="WAGONR"/>
        <s v="ALTO"/>
        <s v="G-WAGON"/>
        <s v="PAJERO"/>
        <s v="MAGNITE"/>
        <s v="PHANTOM"/>
        <s v="SWIFT"/>
        <s v="JIMNY"/>
        <s v="GURKHA"/>
        <s v="BALENO"/>
        <s v="NEXON"/>
        <s v="FORTUNER"/>
      </sharedItems>
    </cacheField>
    <cacheField name="CAR MILAGE" numFmtId="0">
      <sharedItems containsSemiMixedTypes="0" containsString="0" containsNumber="1" containsInteger="1" minValue="2" maxValue="30"/>
    </cacheField>
    <cacheField name="MIL" numFmtId="0">
      <sharedItems count="1">
        <s v="KML"/>
      </sharedItems>
    </cacheField>
    <cacheField name="HP" numFmtId="0">
      <sharedItems containsSemiMixedTypes="0" containsString="0" containsNumber="1" containsInteger="1" minValue="15" maxValue="300"/>
    </cacheField>
    <cacheField name="GEAR TYPE" numFmtId="0">
      <sharedItems/>
    </cacheField>
    <cacheField name="PRICE" numFmtId="0">
      <sharedItems containsSemiMixedTypes="0" containsString="0" containsNumber="1" containsInteger="1" minValue="300000" maxValue="1000000000"/>
    </cacheField>
    <cacheField name="FUELTYPE" numFmtId="0">
      <sharedItems/>
    </cacheField>
    <cacheField name="COLO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x v="0"/>
    <n v="10"/>
    <x v="0"/>
    <n v="80"/>
    <s v="AMT"/>
    <n v="6000000"/>
    <s v="P"/>
    <s v="G"/>
  </r>
  <r>
    <x v="0"/>
    <x v="1"/>
    <n v="18"/>
    <x v="0"/>
    <n v="150"/>
    <s v="AMT"/>
    <n v="8000000"/>
    <s v="P"/>
    <s v="B"/>
  </r>
  <r>
    <x v="1"/>
    <x v="2"/>
    <n v="10"/>
    <x v="0"/>
    <n v="130"/>
    <s v="AMT"/>
    <n v="10000000"/>
    <s v="P"/>
    <s v="BL"/>
  </r>
  <r>
    <x v="2"/>
    <x v="3"/>
    <n v="2"/>
    <x v="0"/>
    <n v="300"/>
    <s v="AMT"/>
    <n v="1000000000"/>
    <s v="P"/>
    <s v="B"/>
  </r>
  <r>
    <x v="3"/>
    <x v="4"/>
    <n v="30"/>
    <x v="0"/>
    <n v="20"/>
    <s v="MAN"/>
    <n v="700000"/>
    <s v="D"/>
    <s v="B"/>
  </r>
  <r>
    <x v="4"/>
    <x v="5"/>
    <n v="3"/>
    <x v="0"/>
    <n v="150"/>
    <s v="MAN"/>
    <n v="150000000"/>
    <s v="D"/>
    <s v="W"/>
  </r>
  <r>
    <x v="5"/>
    <x v="6"/>
    <n v="18"/>
    <x v="0"/>
    <n v="30"/>
    <s v="AMT"/>
    <n v="1700000"/>
    <s v="P"/>
    <s v="R"/>
  </r>
  <r>
    <x v="5"/>
    <x v="7"/>
    <n v="23"/>
    <x v="0"/>
    <n v="35"/>
    <s v="MAN"/>
    <n v="900000"/>
    <s v="P"/>
    <s v="S"/>
  </r>
  <r>
    <x v="6"/>
    <x v="8"/>
    <n v="5"/>
    <x v="0"/>
    <n v="120"/>
    <s v="AMT"/>
    <n v="200000000"/>
    <s v="P"/>
    <s v="Y"/>
  </r>
  <r>
    <x v="7"/>
    <x v="9"/>
    <n v="8"/>
    <x v="0"/>
    <n v="50"/>
    <s v="MAN"/>
    <n v="1900000"/>
    <s v="P"/>
    <s v="B"/>
  </r>
  <r>
    <x v="7"/>
    <x v="10"/>
    <n v="15"/>
    <x v="0"/>
    <n v="40"/>
    <s v="MAN"/>
    <n v="1500000"/>
    <s v="D"/>
    <s v="B"/>
  </r>
  <r>
    <x v="7"/>
    <x v="11"/>
    <n v="15"/>
    <x v="0"/>
    <n v="40"/>
    <s v="MAN"/>
    <n v="1500000"/>
    <s v="D"/>
    <s v="G"/>
  </r>
  <r>
    <x v="8"/>
    <x v="12"/>
    <n v="20"/>
    <x v="0"/>
    <n v="15"/>
    <s v="MAN"/>
    <n v="300000"/>
    <s v="P"/>
    <s v="W"/>
  </r>
  <r>
    <x v="8"/>
    <x v="13"/>
    <n v="25"/>
    <x v="0"/>
    <n v="30"/>
    <s v="MAN"/>
    <n v="300000"/>
    <s v="P"/>
    <s v="W"/>
  </r>
  <r>
    <x v="9"/>
    <x v="14"/>
    <n v="6"/>
    <x v="0"/>
    <n v="100"/>
    <s v="MAN"/>
    <n v="10000000"/>
    <s v="P"/>
    <s v="B"/>
  </r>
  <r>
    <x v="10"/>
    <x v="15"/>
    <n v="12"/>
    <x v="0"/>
    <n v="80"/>
    <s v="MAN"/>
    <n v="2500000"/>
    <s v="P"/>
    <s v="W"/>
  </r>
  <r>
    <x v="11"/>
    <x v="16"/>
    <n v="15"/>
    <x v="0"/>
    <n v="40"/>
    <s v="MAN"/>
    <n v="800000"/>
    <s v="P"/>
    <s v="W"/>
  </r>
  <r>
    <x v="12"/>
    <x v="17"/>
    <n v="5"/>
    <x v="0"/>
    <n v="200"/>
    <s v="AMT"/>
    <n v="300000000"/>
    <s v="P"/>
    <s v="BS"/>
  </r>
  <r>
    <x v="13"/>
    <x v="18"/>
    <n v="15"/>
    <x v="0"/>
    <n v="30"/>
    <s v="AMT"/>
    <n v="800000"/>
    <s v="P"/>
    <s v="R"/>
  </r>
  <r>
    <x v="13"/>
    <x v="19"/>
    <n v="10"/>
    <x v="0"/>
    <n v="50"/>
    <s v="MAN"/>
    <n v="1200000"/>
    <s v="D"/>
    <s v="B"/>
  </r>
  <r>
    <x v="13"/>
    <x v="20"/>
    <n v="12"/>
    <x v="0"/>
    <n v="45"/>
    <s v="MAN"/>
    <n v="1200000"/>
    <s v="D"/>
    <s v="R"/>
  </r>
  <r>
    <x v="13"/>
    <x v="21"/>
    <n v="20"/>
    <x v="0"/>
    <n v="45"/>
    <s v="AMT"/>
    <n v="1100000"/>
    <s v="P"/>
    <s v="G"/>
  </r>
  <r>
    <x v="14"/>
    <x v="22"/>
    <n v="12"/>
    <x v="0"/>
    <n v="35"/>
    <s v="AMT"/>
    <n v="1500000"/>
    <s v="P"/>
    <s v="W"/>
  </r>
  <r>
    <x v="15"/>
    <x v="23"/>
    <n v="10"/>
    <x v="0"/>
    <n v="45"/>
    <s v="MAN"/>
    <n v="4700000"/>
    <s v="P"/>
    <s v="B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36986B-6F4F-4A84-A4A3-6456A01A791E}" name="PivotTable1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C50:E67" firstHeaderRow="0" firstDataRow="1" firstDataCol="1"/>
  <pivotFields count="5">
    <pivotField axis="axisRow" allDrilled="1" subtotalTop="0" showAll="0" dataSourceSort="1" defaultSubtotal="0">
      <items count="16">
        <item x="0" e="0"/>
        <item x="1" e="0"/>
        <item x="2" e="0"/>
        <item x="3" e="0"/>
        <item x="4" e="0"/>
        <item x="5" e="0"/>
        <item x="6" e="0"/>
        <item x="7" e="0"/>
        <item x="8" e="0"/>
        <item x="9" e="0"/>
        <item x="10" e="0"/>
        <item x="11" e="0"/>
        <item x="12" e="0"/>
        <item x="13" e="0"/>
        <item x="14" e="0"/>
        <item x="15" e="0"/>
      </items>
    </pivotField>
    <pivotField axis="axisRow" allDrilled="1" subtotalTop="0" showAll="0" dataSourceSort="1" defaultSubtotal="0">
      <items count="1">
        <item x="0" e="0"/>
      </items>
    </pivotField>
    <pivotField axis="axisRow" allDrilled="1" subtotalTop="0" showAll="0" dataSourceSort="1" defaultSubtotal="0" defaultAttributeDrillState="1">
      <items count="1">
        <item x="0"/>
      </items>
    </pivotField>
    <pivotField dataField="1" subtotalTop="0" showAll="0" defaultSubtotal="0"/>
    <pivotField dataField="1" subtotalTop="0" showAll="0" defaultSubtotal="0"/>
  </pivotFields>
  <rowFields count="3">
    <field x="0"/>
    <field x="1"/>
    <field x="2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6000000" fld="3" baseField="0" baseItem="0"/>
    <dataField name="Sum of 10" fld="4" baseField="0" baseItem="0"/>
  </dataFields>
  <chartFormats count="2">
    <chartFormat chart="1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1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3">
    <rowHierarchyUsage hierarchyUsage="0"/>
    <rowHierarchyUsage hierarchyUsage="1"/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rac280123!$H$3:$Q$26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C94EA9-5878-4D89-9090-FD851DA979C3}" name="PivotTable1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5">
  <location ref="B29:C33" firstHeaderRow="1" firstDataRow="1" firstDataCol="1"/>
  <pivotFields count="9">
    <pivotField axis="axisRow" showAll="0">
      <items count="17">
        <item h="1" x="0"/>
        <item h="1" x="1"/>
        <item h="1" x="2"/>
        <item h="1" x="3"/>
        <item h="1" x="4"/>
        <item h="1" x="5"/>
        <item h="1" x="6"/>
        <item h="1" x="7"/>
        <item x="8"/>
        <item h="1" x="9"/>
        <item h="1" x="10"/>
        <item h="1" x="11"/>
        <item h="1" x="12"/>
        <item h="1" x="13"/>
        <item h="1" x="14"/>
        <item h="1" x="15"/>
        <item t="default"/>
      </items>
    </pivotField>
    <pivotField axis="axisRow" showAll="0">
      <items count="25">
        <item sd="0" x="13"/>
        <item sd="0" x="21"/>
        <item sd="0" x="11"/>
        <item sd="0" x="4"/>
        <item sd="0" x="23"/>
        <item sd="0" x="7"/>
        <item sd="0" x="20"/>
        <item sd="0" x="14"/>
        <item sd="0" x="5"/>
        <item sd="0" x="19"/>
        <item sd="0" x="16"/>
        <item sd="0" x="22"/>
        <item sd="0" x="15"/>
        <item sd="0" x="17"/>
        <item sd="0" x="1"/>
        <item sd="0" x="0"/>
        <item sd="0" x="10"/>
        <item sd="0" x="18"/>
        <item sd="0" x="9"/>
        <item sd="0" x="8"/>
        <item sd="0" x="6"/>
        <item sd="0" x="3"/>
        <item sd="0" x="12"/>
        <item sd="0" x="2"/>
        <item t="default" sd="0"/>
      </items>
    </pivotField>
    <pivotField showAll="0"/>
    <pivotField axis="axisRow" showAll="0">
      <items count="2">
        <item x="0"/>
        <item t="default"/>
      </items>
    </pivotField>
    <pivotField showAll="0"/>
    <pivotField showAll="0"/>
    <pivotField dataField="1" showAll="0"/>
    <pivotField showAll="0"/>
    <pivotField showAll="0"/>
  </pivotFields>
  <rowFields count="3">
    <field x="0"/>
    <field x="1"/>
    <field x="3"/>
  </rowFields>
  <rowItems count="4">
    <i>
      <x v="8"/>
    </i>
    <i r="1">
      <x/>
    </i>
    <i r="1">
      <x v="22"/>
    </i>
    <i t="grand">
      <x/>
    </i>
  </rowItems>
  <colItems count="1">
    <i/>
  </colItems>
  <dataFields count="1">
    <dataField name="Sum of PRICE" fld="6" baseField="0" baseItem="0"/>
  </dataFields>
  <chartFormats count="4">
    <chartFormat chart="2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18"/>
          </reference>
          <reference field="3" count="1" selected="0">
            <x v="0"/>
          </reference>
        </references>
      </pivotArea>
    </chartFormat>
    <chartFormat chart="24" format="2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16"/>
          </reference>
          <reference field="3" count="1" selected="0">
            <x v="0"/>
          </reference>
        </references>
      </pivotArea>
    </chartFormat>
    <chartFormat chart="24" format="3">
      <pivotArea type="data" outline="0" fieldPosition="0">
        <references count="4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2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1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7BF3C-3D54-4103-855D-EB2414417CB1}">
  <sheetPr codeName="Sheet1"/>
  <dimension ref="A1:F26"/>
  <sheetViews>
    <sheetView workbookViewId="0">
      <selection activeCell="U24" sqref="U24"/>
    </sheetView>
  </sheetViews>
  <sheetFormatPr defaultRowHeight="14.4" x14ac:dyDescent="0.3"/>
  <cols>
    <col min="1" max="1" width="13.77734375" bestFit="1" customWidth="1"/>
    <col min="3" max="3" width="8.88671875" customWidth="1"/>
  </cols>
  <sheetData>
    <row r="1" spans="1:6" ht="17.399999999999999" x14ac:dyDescent="0.35">
      <c r="A1" s="2" t="s">
        <v>0</v>
      </c>
      <c r="B1" t="s">
        <v>1</v>
      </c>
      <c r="C1" t="s">
        <v>2</v>
      </c>
    </row>
    <row r="2" spans="1:6" x14ac:dyDescent="0.3">
      <c r="A2" t="s">
        <v>27</v>
      </c>
      <c r="B2" t="s">
        <v>4</v>
      </c>
      <c r="C2">
        <v>45</v>
      </c>
      <c r="F2" s="1"/>
    </row>
    <row r="3" spans="1:6" x14ac:dyDescent="0.3">
      <c r="A3" t="s">
        <v>28</v>
      </c>
      <c r="B3" t="s">
        <v>4</v>
      </c>
      <c r="C3">
        <v>60</v>
      </c>
    </row>
    <row r="4" spans="1:6" x14ac:dyDescent="0.3">
      <c r="A4" t="s">
        <v>29</v>
      </c>
      <c r="B4" t="s">
        <v>4</v>
      </c>
      <c r="C4">
        <v>80</v>
      </c>
    </row>
    <row r="5" spans="1:6" x14ac:dyDescent="0.3">
      <c r="A5" t="s">
        <v>30</v>
      </c>
      <c r="B5" t="s">
        <v>8</v>
      </c>
      <c r="C5">
        <v>65</v>
      </c>
    </row>
    <row r="6" spans="1:6" x14ac:dyDescent="0.3">
      <c r="A6" t="s">
        <v>31</v>
      </c>
      <c r="B6" t="s">
        <v>8</v>
      </c>
      <c r="C6">
        <v>80</v>
      </c>
    </row>
    <row r="7" spans="1:6" x14ac:dyDescent="0.3">
      <c r="A7" t="s">
        <v>32</v>
      </c>
      <c r="B7" t="s">
        <v>8</v>
      </c>
      <c r="C7">
        <v>100</v>
      </c>
    </row>
    <row r="8" spans="1:6" x14ac:dyDescent="0.3">
      <c r="A8" t="s">
        <v>33</v>
      </c>
      <c r="B8" t="s">
        <v>10</v>
      </c>
      <c r="C8">
        <v>43</v>
      </c>
    </row>
    <row r="9" spans="1:6" x14ac:dyDescent="0.3">
      <c r="A9" t="s">
        <v>34</v>
      </c>
      <c r="B9" t="s">
        <v>10</v>
      </c>
      <c r="C9">
        <v>58</v>
      </c>
    </row>
    <row r="10" spans="1:6" x14ac:dyDescent="0.3">
      <c r="A10" t="s">
        <v>35</v>
      </c>
      <c r="B10" t="s">
        <v>10</v>
      </c>
      <c r="C10">
        <v>78</v>
      </c>
    </row>
    <row r="11" spans="1:6" x14ac:dyDescent="0.3">
      <c r="A11" t="s">
        <v>16</v>
      </c>
    </row>
    <row r="16" spans="1:6" s="4" customFormat="1" ht="19.8" x14ac:dyDescent="0.4">
      <c r="A16" s="3" t="s">
        <v>36</v>
      </c>
    </row>
    <row r="18" spans="3:3" x14ac:dyDescent="0.3">
      <c r="C18">
        <f>A18</f>
        <v>0</v>
      </c>
    </row>
    <row r="19" spans="3:3" x14ac:dyDescent="0.3">
      <c r="C19" t="str">
        <f t="shared" ref="C19:C26" si="0">IF(AND(B3 = "grass",C3 &gt; 40), "yes","No")</f>
        <v>yes</v>
      </c>
    </row>
    <row r="20" spans="3:3" x14ac:dyDescent="0.3">
      <c r="C20" t="str">
        <f t="shared" si="0"/>
        <v>yes</v>
      </c>
    </row>
    <row r="21" spans="3:3" x14ac:dyDescent="0.3">
      <c r="C21" t="str">
        <f t="shared" si="0"/>
        <v>No</v>
      </c>
    </row>
    <row r="22" spans="3:3" x14ac:dyDescent="0.3">
      <c r="C22" t="str">
        <f t="shared" si="0"/>
        <v>No</v>
      </c>
    </row>
    <row r="23" spans="3:3" x14ac:dyDescent="0.3">
      <c r="C23" t="str">
        <f t="shared" si="0"/>
        <v>No</v>
      </c>
    </row>
    <row r="24" spans="3:3" x14ac:dyDescent="0.3">
      <c r="C24" t="str">
        <f t="shared" si="0"/>
        <v>No</v>
      </c>
    </row>
    <row r="25" spans="3:3" x14ac:dyDescent="0.3">
      <c r="C25" t="str">
        <f>IF(AND(B9 = "grass",C9 &gt; 40), "yes","No")</f>
        <v>No</v>
      </c>
    </row>
    <row r="26" spans="3:3" x14ac:dyDescent="0.3">
      <c r="C26" t="str">
        <f t="shared" si="0"/>
        <v>No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9C386-324A-47C3-880E-351E74D941CF}">
  <sheetPr codeName="Sheet2"/>
  <dimension ref="A1:P60"/>
  <sheetViews>
    <sheetView topLeftCell="A13" workbookViewId="0">
      <selection activeCell="A8" sqref="A8:A17"/>
    </sheetView>
  </sheetViews>
  <sheetFormatPr defaultRowHeight="14.4" x14ac:dyDescent="0.3"/>
  <cols>
    <col min="1" max="1" width="19.21875" customWidth="1"/>
    <col min="2" max="2" width="10.33203125" bestFit="1" customWidth="1"/>
    <col min="3" max="3" width="12" bestFit="1" customWidth="1"/>
    <col min="4" max="4" width="11.44140625" bestFit="1" customWidth="1"/>
    <col min="5" max="5" width="12.6640625" bestFit="1" customWidth="1"/>
    <col min="6" max="6" width="13.21875" bestFit="1" customWidth="1"/>
    <col min="7" max="7" width="11" customWidth="1"/>
    <col min="8" max="8" width="10.6640625" customWidth="1"/>
    <col min="9" max="9" width="66.109375" bestFit="1" customWidth="1"/>
    <col min="11" max="11" width="18.44140625" bestFit="1" customWidth="1"/>
    <col min="13" max="13" width="8.6640625" bestFit="1" customWidth="1"/>
    <col min="14" max="14" width="16.77734375" bestFit="1" customWidth="1"/>
    <col min="15" max="15" width="10.77734375" bestFit="1" customWidth="1"/>
    <col min="16" max="16" width="9.44140625" bestFit="1" customWidth="1"/>
  </cols>
  <sheetData>
    <row r="1" spans="1:16" x14ac:dyDescent="0.3">
      <c r="A1" t="s">
        <v>95</v>
      </c>
    </row>
    <row r="2" spans="1:16" x14ac:dyDescent="0.3">
      <c r="A2" t="s">
        <v>82</v>
      </c>
      <c r="B2" t="s">
        <v>83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 t="s">
        <v>90</v>
      </c>
      <c r="J2" t="s">
        <v>91</v>
      </c>
      <c r="K2" t="s">
        <v>92</v>
      </c>
      <c r="L2" t="s">
        <v>93</v>
      </c>
      <c r="M2" t="s">
        <v>94</v>
      </c>
      <c r="N2" t="s">
        <v>98</v>
      </c>
      <c r="O2" t="s">
        <v>96</v>
      </c>
      <c r="P2" t="s">
        <v>97</v>
      </c>
    </row>
    <row r="7" spans="1:16" x14ac:dyDescent="0.3">
      <c r="A7" s="5" t="s">
        <v>108</v>
      </c>
      <c r="B7" s="5" t="s">
        <v>109</v>
      </c>
      <c r="C7" s="5" t="s">
        <v>110</v>
      </c>
      <c r="D7" s="5" t="s">
        <v>111</v>
      </c>
      <c r="E7" s="5" t="s">
        <v>112</v>
      </c>
      <c r="F7" s="5" t="s">
        <v>175</v>
      </c>
    </row>
    <row r="8" spans="1:16" x14ac:dyDescent="0.3">
      <c r="A8" t="s">
        <v>99</v>
      </c>
      <c r="B8" t="s">
        <v>113</v>
      </c>
      <c r="C8" t="s">
        <v>114</v>
      </c>
      <c r="D8" t="s">
        <v>115</v>
      </c>
      <c r="E8" t="s">
        <v>116</v>
      </c>
    </row>
    <row r="9" spans="1:16" x14ac:dyDescent="0.3">
      <c r="A9" t="s">
        <v>100</v>
      </c>
      <c r="B9" t="s">
        <v>117</v>
      </c>
      <c r="C9" t="s">
        <v>118</v>
      </c>
      <c r="D9" t="s">
        <v>119</v>
      </c>
      <c r="E9" t="s">
        <v>120</v>
      </c>
      <c r="G9" t="s">
        <v>146</v>
      </c>
    </row>
    <row r="10" spans="1:16" x14ac:dyDescent="0.3">
      <c r="A10" t="s">
        <v>101</v>
      </c>
      <c r="B10" t="s">
        <v>121</v>
      </c>
      <c r="C10" t="s">
        <v>122</v>
      </c>
      <c r="D10" t="s">
        <v>123</v>
      </c>
      <c r="E10" t="s">
        <v>124</v>
      </c>
      <c r="G10" t="s">
        <v>147</v>
      </c>
      <c r="K10" t="s">
        <v>150</v>
      </c>
    </row>
    <row r="11" spans="1:16" x14ac:dyDescent="0.3">
      <c r="A11" t="s">
        <v>102</v>
      </c>
      <c r="B11" t="s">
        <v>125</v>
      </c>
      <c r="C11" t="s">
        <v>126</v>
      </c>
      <c r="D11" t="s">
        <v>127</v>
      </c>
      <c r="E11" t="s">
        <v>128</v>
      </c>
      <c r="G11" t="s">
        <v>146</v>
      </c>
    </row>
    <row r="12" spans="1:16" x14ac:dyDescent="0.3">
      <c r="A12" t="s">
        <v>103</v>
      </c>
      <c r="B12" t="s">
        <v>129</v>
      </c>
      <c r="C12" t="s">
        <v>130</v>
      </c>
      <c r="D12" t="s">
        <v>127</v>
      </c>
      <c r="E12" t="s">
        <v>131</v>
      </c>
      <c r="G12" t="s">
        <v>148</v>
      </c>
    </row>
    <row r="13" spans="1:16" x14ac:dyDescent="0.3">
      <c r="A13" t="s">
        <v>104</v>
      </c>
      <c r="B13" t="s">
        <v>132</v>
      </c>
      <c r="C13" t="s">
        <v>133</v>
      </c>
      <c r="D13" t="s">
        <v>134</v>
      </c>
      <c r="E13" t="s">
        <v>135</v>
      </c>
      <c r="G13" t="s">
        <v>149</v>
      </c>
    </row>
    <row r="14" spans="1:16" x14ac:dyDescent="0.3">
      <c r="A14" t="s">
        <v>105</v>
      </c>
      <c r="B14" t="s">
        <v>136</v>
      </c>
      <c r="C14" t="s">
        <v>137</v>
      </c>
      <c r="D14" t="s">
        <v>119</v>
      </c>
      <c r="E14" t="s">
        <v>138</v>
      </c>
    </row>
    <row r="15" spans="1:16" x14ac:dyDescent="0.3">
      <c r="A15" t="s">
        <v>106</v>
      </c>
      <c r="B15" t="s">
        <v>139</v>
      </c>
      <c r="C15" t="s">
        <v>140</v>
      </c>
      <c r="D15" t="s">
        <v>141</v>
      </c>
      <c r="E15" t="s">
        <v>142</v>
      </c>
    </row>
    <row r="16" spans="1:16" x14ac:dyDescent="0.3">
      <c r="A16" t="s">
        <v>107</v>
      </c>
      <c r="B16" t="s">
        <v>113</v>
      </c>
      <c r="C16" t="s">
        <v>143</v>
      </c>
      <c r="D16" t="s">
        <v>144</v>
      </c>
      <c r="E16" t="s">
        <v>145</v>
      </c>
    </row>
    <row r="17" spans="1:15" x14ac:dyDescent="0.3">
      <c r="A17" t="s">
        <v>160</v>
      </c>
      <c r="B17" t="s">
        <v>113</v>
      </c>
      <c r="C17" t="s">
        <v>161</v>
      </c>
      <c r="D17" t="s">
        <v>162</v>
      </c>
      <c r="E17" t="s">
        <v>163</v>
      </c>
      <c r="F17" t="s">
        <v>176</v>
      </c>
    </row>
    <row r="19" spans="1:15" x14ac:dyDescent="0.3">
      <c r="J19" t="s">
        <v>151</v>
      </c>
      <c r="K19" t="s">
        <v>152</v>
      </c>
      <c r="L19" t="s">
        <v>153</v>
      </c>
    </row>
    <row r="20" spans="1:15" x14ac:dyDescent="0.3">
      <c r="A20" t="s">
        <v>164</v>
      </c>
      <c r="B20" t="s">
        <v>165</v>
      </c>
      <c r="K20" t="s">
        <v>154</v>
      </c>
      <c r="L20" t="s">
        <v>155</v>
      </c>
      <c r="O20" t="s">
        <v>156</v>
      </c>
    </row>
    <row r="21" spans="1:15" x14ac:dyDescent="0.3">
      <c r="B21" t="s">
        <v>166</v>
      </c>
      <c r="C21" t="s">
        <v>167</v>
      </c>
      <c r="E21" t="s">
        <v>177</v>
      </c>
      <c r="O21" t="s">
        <v>157</v>
      </c>
    </row>
    <row r="22" spans="1:15" x14ac:dyDescent="0.3">
      <c r="B22" t="s">
        <v>168</v>
      </c>
      <c r="O22" t="s">
        <v>158</v>
      </c>
    </row>
    <row r="23" spans="1:15" x14ac:dyDescent="0.3">
      <c r="B23" t="s">
        <v>169</v>
      </c>
      <c r="C23" t="s">
        <v>178</v>
      </c>
      <c r="D23" t="s">
        <v>179</v>
      </c>
    </row>
    <row r="24" spans="1:15" x14ac:dyDescent="0.3">
      <c r="B24" t="s">
        <v>170</v>
      </c>
      <c r="C24" t="s">
        <v>180</v>
      </c>
    </row>
    <row r="25" spans="1:15" x14ac:dyDescent="0.3">
      <c r="B25" t="s">
        <v>171</v>
      </c>
      <c r="C25" t="s">
        <v>178</v>
      </c>
      <c r="K25" t="s">
        <v>159</v>
      </c>
    </row>
    <row r="26" spans="1:15" x14ac:dyDescent="0.3">
      <c r="B26" t="s">
        <v>172</v>
      </c>
    </row>
    <row r="27" spans="1:15" x14ac:dyDescent="0.3">
      <c r="B27" t="s">
        <v>173</v>
      </c>
      <c r="C27" t="s">
        <v>181</v>
      </c>
    </row>
    <row r="28" spans="1:15" x14ac:dyDescent="0.3">
      <c r="B28" t="s">
        <v>174</v>
      </c>
      <c r="D28" t="s">
        <v>182</v>
      </c>
    </row>
    <row r="31" spans="1:15" x14ac:dyDescent="0.3">
      <c r="A31" t="s">
        <v>164</v>
      </c>
      <c r="B31" t="s">
        <v>183</v>
      </c>
    </row>
    <row r="32" spans="1:15" x14ac:dyDescent="0.3">
      <c r="B32" t="s">
        <v>184</v>
      </c>
      <c r="C32" t="s">
        <v>185</v>
      </c>
      <c r="F32" t="s">
        <v>190</v>
      </c>
    </row>
    <row r="33" spans="2:10" x14ac:dyDescent="0.3">
      <c r="B33" t="s">
        <v>186</v>
      </c>
    </row>
    <row r="34" spans="2:10" x14ac:dyDescent="0.3">
      <c r="B34" t="s">
        <v>187</v>
      </c>
      <c r="C34" t="s">
        <v>188</v>
      </c>
    </row>
    <row r="35" spans="2:10" x14ac:dyDescent="0.3">
      <c r="B35" t="s">
        <v>189</v>
      </c>
    </row>
    <row r="36" spans="2:10" x14ac:dyDescent="0.3">
      <c r="B36" t="s">
        <v>191</v>
      </c>
    </row>
    <row r="37" spans="2:10" x14ac:dyDescent="0.3">
      <c r="B37" t="s">
        <v>192</v>
      </c>
    </row>
    <row r="38" spans="2:10" x14ac:dyDescent="0.3">
      <c r="B38" t="s">
        <v>193</v>
      </c>
    </row>
    <row r="39" spans="2:10" x14ac:dyDescent="0.3">
      <c r="B39" t="s">
        <v>194</v>
      </c>
    </row>
    <row r="40" spans="2:10" x14ac:dyDescent="0.3">
      <c r="I40" s="6">
        <v>0.625</v>
      </c>
      <c r="J40" t="s">
        <v>195</v>
      </c>
    </row>
    <row r="41" spans="2:10" x14ac:dyDescent="0.3">
      <c r="I41" t="s">
        <v>183</v>
      </c>
    </row>
    <row r="42" spans="2:10" x14ac:dyDescent="0.3">
      <c r="I42" t="s">
        <v>184</v>
      </c>
    </row>
    <row r="43" spans="2:10" x14ac:dyDescent="0.3">
      <c r="I43" t="s">
        <v>186</v>
      </c>
    </row>
    <row r="44" spans="2:10" x14ac:dyDescent="0.3">
      <c r="I44" t="s">
        <v>187</v>
      </c>
      <c r="J44" t="s">
        <v>196</v>
      </c>
    </row>
    <row r="45" spans="2:10" x14ac:dyDescent="0.3">
      <c r="I45" t="s">
        <v>189</v>
      </c>
    </row>
    <row r="46" spans="2:10" x14ac:dyDescent="0.3">
      <c r="I46" t="s">
        <v>197</v>
      </c>
    </row>
    <row r="52" spans="1:7" x14ac:dyDescent="0.3">
      <c r="A52" t="s">
        <v>198</v>
      </c>
      <c r="C52" s="7">
        <v>0.59375</v>
      </c>
    </row>
    <row r="53" spans="1:7" x14ac:dyDescent="0.3">
      <c r="C53" t="s">
        <v>199</v>
      </c>
    </row>
    <row r="54" spans="1:7" x14ac:dyDescent="0.3">
      <c r="C54" t="s">
        <v>200</v>
      </c>
    </row>
    <row r="55" spans="1:7" x14ac:dyDescent="0.3">
      <c r="C55" t="s">
        <v>201</v>
      </c>
    </row>
    <row r="56" spans="1:7" x14ac:dyDescent="0.3">
      <c r="C56" t="s">
        <v>202</v>
      </c>
    </row>
    <row r="57" spans="1:7" x14ac:dyDescent="0.3">
      <c r="C57" t="s">
        <v>203</v>
      </c>
    </row>
    <row r="58" spans="1:7" x14ac:dyDescent="0.3">
      <c r="C58" t="s">
        <v>204</v>
      </c>
    </row>
    <row r="60" spans="1:7" x14ac:dyDescent="0.3">
      <c r="C60" t="s">
        <v>205</v>
      </c>
      <c r="G60" t="s">
        <v>206</v>
      </c>
    </row>
  </sheetData>
  <phoneticPr fontId="6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B3776-D9F9-4BAF-AEBF-7E3873377E27}">
  <sheetPr codeName="Sheet3"/>
  <dimension ref="A1:S26"/>
  <sheetViews>
    <sheetView topLeftCell="A13" workbookViewId="0">
      <selection activeCell="N14" sqref="N14"/>
    </sheetView>
  </sheetViews>
  <sheetFormatPr defaultRowHeight="14.4" x14ac:dyDescent="0.3"/>
  <cols>
    <col min="1" max="1" width="13.44140625" bestFit="1" customWidth="1"/>
    <col min="2" max="2" width="10.44140625" bestFit="1" customWidth="1"/>
    <col min="3" max="3" width="11.109375" style="9" bestFit="1" customWidth="1"/>
    <col min="4" max="4" width="11.109375" style="9" customWidth="1"/>
    <col min="6" max="6" width="9.88671875" bestFit="1" customWidth="1"/>
    <col min="7" max="7" width="11" bestFit="1" customWidth="1"/>
    <col min="8" max="8" width="9.109375" bestFit="1" customWidth="1"/>
    <col min="10" max="10" width="14.21875" bestFit="1" customWidth="1"/>
    <col min="11" max="11" width="11.44140625" bestFit="1" customWidth="1"/>
    <col min="12" max="12" width="9" bestFit="1" customWidth="1"/>
    <col min="13" max="13" width="15.21875" bestFit="1" customWidth="1"/>
    <col min="14" max="14" width="11" bestFit="1" customWidth="1"/>
    <col min="18" max="18" width="12" bestFit="1" customWidth="1"/>
    <col min="19" max="19" width="11" bestFit="1" customWidth="1"/>
  </cols>
  <sheetData>
    <row r="1" spans="1:19" x14ac:dyDescent="0.3">
      <c r="A1" s="5" t="s">
        <v>214</v>
      </c>
      <c r="B1" s="5" t="s">
        <v>207</v>
      </c>
      <c r="C1" s="8" t="s">
        <v>268</v>
      </c>
      <c r="D1" s="8" t="s">
        <v>269</v>
      </c>
      <c r="E1" s="5" t="s">
        <v>208</v>
      </c>
      <c r="F1" s="5" t="s">
        <v>212</v>
      </c>
      <c r="G1" s="5" t="s">
        <v>209</v>
      </c>
      <c r="H1" s="5" t="s">
        <v>210</v>
      </c>
      <c r="I1" s="5" t="s">
        <v>211</v>
      </c>
      <c r="J1" s="5" t="s">
        <v>272</v>
      </c>
      <c r="K1" s="5" t="s">
        <v>273</v>
      </c>
    </row>
    <row r="2" spans="1:19" x14ac:dyDescent="0.3">
      <c r="A2" t="s">
        <v>241</v>
      </c>
      <c r="B2" t="s">
        <v>242</v>
      </c>
      <c r="C2" s="9">
        <v>10</v>
      </c>
      <c r="D2" s="9" t="s">
        <v>267</v>
      </c>
      <c r="E2">
        <v>80</v>
      </c>
      <c r="F2" t="s">
        <v>221</v>
      </c>
      <c r="G2">
        <v>6000000</v>
      </c>
      <c r="H2" t="s">
        <v>217</v>
      </c>
      <c r="I2" t="s">
        <v>243</v>
      </c>
      <c r="J2" t="str">
        <f>IF(AND(C3&gt;5,E2&gt;40),"YES","NO")</f>
        <v>YES</v>
      </c>
      <c r="O2" t="s">
        <v>308</v>
      </c>
    </row>
    <row r="3" spans="1:19" x14ac:dyDescent="0.3">
      <c r="A3" t="s">
        <v>241</v>
      </c>
      <c r="B3" t="s">
        <v>249</v>
      </c>
      <c r="C3" s="9">
        <v>18</v>
      </c>
      <c r="D3" s="9" t="s">
        <v>267</v>
      </c>
      <c r="E3">
        <v>150</v>
      </c>
      <c r="F3" t="s">
        <v>221</v>
      </c>
      <c r="G3">
        <v>8000000</v>
      </c>
      <c r="H3" t="s">
        <v>217</v>
      </c>
      <c r="I3" t="s">
        <v>218</v>
      </c>
      <c r="J3" t="str">
        <f>IF(AND(C4&gt;5,E3&gt;40),"YES","NO")</f>
        <v>YES</v>
      </c>
      <c r="O3" t="s">
        <v>244</v>
      </c>
      <c r="P3" t="s">
        <v>216</v>
      </c>
      <c r="Q3">
        <f>SUMIFS(G2:G25,A2:A25,O3,F2:F25,P3)</f>
        <v>600000</v>
      </c>
    </row>
    <row r="4" spans="1:19" x14ac:dyDescent="0.3">
      <c r="A4" t="s">
        <v>238</v>
      </c>
      <c r="B4" t="s">
        <v>239</v>
      </c>
      <c r="C4" s="9">
        <v>10</v>
      </c>
      <c r="D4" s="9" t="s">
        <v>267</v>
      </c>
      <c r="E4">
        <v>130</v>
      </c>
      <c r="F4" t="s">
        <v>221</v>
      </c>
      <c r="G4">
        <v>10000000</v>
      </c>
      <c r="H4" t="s">
        <v>217</v>
      </c>
      <c r="I4" t="s">
        <v>240</v>
      </c>
      <c r="J4" t="str">
        <f>IF(AND(C5&gt;5,E4&gt;40),"YES","NO")</f>
        <v>NO</v>
      </c>
      <c r="O4" t="s">
        <v>225</v>
      </c>
      <c r="P4" t="s">
        <v>221</v>
      </c>
      <c r="Q4">
        <f>SUMIFS(G3:G26,A3:A26,O4,F3:F26,P4)</f>
        <v>1900000</v>
      </c>
    </row>
    <row r="5" spans="1:19" x14ac:dyDescent="0.3">
      <c r="A5" t="s">
        <v>252</v>
      </c>
      <c r="B5" t="s">
        <v>253</v>
      </c>
      <c r="C5" s="9">
        <v>2</v>
      </c>
      <c r="D5" s="9" t="s">
        <v>267</v>
      </c>
      <c r="E5">
        <v>300</v>
      </c>
      <c r="F5" t="s">
        <v>221</v>
      </c>
      <c r="G5">
        <v>1000000000</v>
      </c>
      <c r="H5" t="s">
        <v>217</v>
      </c>
      <c r="I5" t="s">
        <v>218</v>
      </c>
      <c r="J5" t="b">
        <f>AND(C5&gt;5,E5&gt;40)</f>
        <v>0</v>
      </c>
      <c r="M5" t="s">
        <v>266</v>
      </c>
      <c r="N5">
        <f>AVERAGE(G2:G25)</f>
        <v>71108333.333333328</v>
      </c>
    </row>
    <row r="6" spans="1:19" x14ac:dyDescent="0.3">
      <c r="A6" t="s">
        <v>257</v>
      </c>
      <c r="B6" t="s">
        <v>258</v>
      </c>
      <c r="C6" s="9">
        <v>30</v>
      </c>
      <c r="D6" s="9" t="s">
        <v>267</v>
      </c>
      <c r="E6">
        <v>20</v>
      </c>
      <c r="F6" t="s">
        <v>216</v>
      </c>
      <c r="G6">
        <v>700000</v>
      </c>
      <c r="H6" t="s">
        <v>234</v>
      </c>
      <c r="I6" t="s">
        <v>218</v>
      </c>
      <c r="J6" t="str">
        <f t="shared" ref="J6:J25" si="0">IF(AND(C7&gt;5,E6&gt;40),"YES","NO")</f>
        <v>NO</v>
      </c>
      <c r="R6">
        <f>_xlfn.STDEV.P(G2:G25)</f>
        <v>207313667.17421749</v>
      </c>
      <c r="S6">
        <f>AVERAGE(G2:G25)</f>
        <v>71108333.333333328</v>
      </c>
    </row>
    <row r="7" spans="1:19" x14ac:dyDescent="0.3">
      <c r="A7" t="s">
        <v>232</v>
      </c>
      <c r="B7" t="s">
        <v>233</v>
      </c>
      <c r="C7" s="9">
        <v>3</v>
      </c>
      <c r="D7" s="9" t="s">
        <v>267</v>
      </c>
      <c r="E7">
        <v>150</v>
      </c>
      <c r="F7" t="s">
        <v>216</v>
      </c>
      <c r="G7">
        <v>150000000</v>
      </c>
      <c r="H7" t="s">
        <v>234</v>
      </c>
      <c r="I7" t="s">
        <v>222</v>
      </c>
      <c r="J7" t="str">
        <f t="shared" si="0"/>
        <v>YES</v>
      </c>
      <c r="M7" t="s">
        <v>270</v>
      </c>
      <c r="N7">
        <f>AVERAGE(C2:C25)</f>
        <v>13.291666666666666</v>
      </c>
    </row>
    <row r="8" spans="1:19" x14ac:dyDescent="0.3">
      <c r="A8" t="s">
        <v>228</v>
      </c>
      <c r="B8" t="s">
        <v>229</v>
      </c>
      <c r="C8" s="9">
        <v>18</v>
      </c>
      <c r="D8" s="9" t="s">
        <v>267</v>
      </c>
      <c r="E8">
        <v>30</v>
      </c>
      <c r="F8" t="s">
        <v>221</v>
      </c>
      <c r="G8">
        <v>1700000</v>
      </c>
      <c r="H8" t="s">
        <v>217</v>
      </c>
      <c r="I8" t="s">
        <v>227</v>
      </c>
      <c r="J8" t="str">
        <f t="shared" si="0"/>
        <v>NO</v>
      </c>
      <c r="M8" t="s">
        <v>271</v>
      </c>
      <c r="N8">
        <f>MEDIAN(C2:C25)</f>
        <v>12</v>
      </c>
      <c r="P8" s="4" t="s">
        <v>307</v>
      </c>
      <c r="S8" s="4"/>
    </row>
    <row r="9" spans="1:19" x14ac:dyDescent="0.3">
      <c r="A9" t="s">
        <v>228</v>
      </c>
      <c r="B9" t="s">
        <v>261</v>
      </c>
      <c r="C9" s="9">
        <v>23</v>
      </c>
      <c r="D9" s="9" t="s">
        <v>267</v>
      </c>
      <c r="E9">
        <v>35</v>
      </c>
      <c r="F9" t="s">
        <v>216</v>
      </c>
      <c r="G9">
        <v>900000</v>
      </c>
      <c r="H9" t="s">
        <v>217</v>
      </c>
      <c r="I9" t="s">
        <v>262</v>
      </c>
      <c r="J9" t="str">
        <f t="shared" si="0"/>
        <v>NO</v>
      </c>
      <c r="P9" t="s">
        <v>241</v>
      </c>
      <c r="Q9">
        <f>SUMIF(A2:A25,P9,G2:G25)</f>
        <v>14000000</v>
      </c>
    </row>
    <row r="10" spans="1:19" x14ac:dyDescent="0.3">
      <c r="A10" t="s">
        <v>235</v>
      </c>
      <c r="B10" t="s">
        <v>236</v>
      </c>
      <c r="C10" s="9">
        <v>5</v>
      </c>
      <c r="D10" s="9" t="s">
        <v>267</v>
      </c>
      <c r="E10">
        <v>120</v>
      </c>
      <c r="F10" t="s">
        <v>221</v>
      </c>
      <c r="G10">
        <v>200000000</v>
      </c>
      <c r="H10" t="s">
        <v>217</v>
      </c>
      <c r="I10" t="s">
        <v>237</v>
      </c>
      <c r="J10" t="str">
        <f t="shared" si="0"/>
        <v>YES</v>
      </c>
      <c r="P10" t="s">
        <v>238</v>
      </c>
      <c r="Q10">
        <f>SUMIF(A3:A26,P10,G3:G26)</f>
        <v>10000000</v>
      </c>
    </row>
    <row r="11" spans="1:19" x14ac:dyDescent="0.3">
      <c r="A11" t="s">
        <v>213</v>
      </c>
      <c r="B11" t="s">
        <v>215</v>
      </c>
      <c r="C11" s="9">
        <v>8</v>
      </c>
      <c r="D11" s="9" t="s">
        <v>267</v>
      </c>
      <c r="E11">
        <v>50</v>
      </c>
      <c r="F11" t="s">
        <v>216</v>
      </c>
      <c r="G11">
        <v>1900000</v>
      </c>
      <c r="H11" t="s">
        <v>217</v>
      </c>
      <c r="I11" t="s">
        <v>218</v>
      </c>
      <c r="J11" t="str">
        <f t="shared" si="0"/>
        <v>YES</v>
      </c>
      <c r="P11" t="s">
        <v>225</v>
      </c>
      <c r="Q11">
        <f>SUMIF(A4:A27,P11,G4:G27)</f>
        <v>4300000</v>
      </c>
    </row>
    <row r="12" spans="1:19" x14ac:dyDescent="0.3">
      <c r="A12" t="s">
        <v>213</v>
      </c>
      <c r="B12" t="s">
        <v>256</v>
      </c>
      <c r="C12" s="9">
        <v>15</v>
      </c>
      <c r="D12" s="9" t="s">
        <v>267</v>
      </c>
      <c r="E12">
        <v>40</v>
      </c>
      <c r="F12" t="s">
        <v>216</v>
      </c>
      <c r="G12">
        <v>1500000</v>
      </c>
      <c r="H12" t="s">
        <v>234</v>
      </c>
      <c r="I12" t="s">
        <v>218</v>
      </c>
      <c r="J12" t="str">
        <f t="shared" si="0"/>
        <v>NO</v>
      </c>
      <c r="P12" t="s">
        <v>244</v>
      </c>
      <c r="Q12">
        <f>SUMIF(A5:A28,P12,G5:G28)</f>
        <v>600000</v>
      </c>
    </row>
    <row r="13" spans="1:19" x14ac:dyDescent="0.3">
      <c r="A13" t="s">
        <v>213</v>
      </c>
      <c r="B13" t="s">
        <v>260</v>
      </c>
      <c r="C13" s="9">
        <v>15</v>
      </c>
      <c r="D13" s="9" t="s">
        <v>267</v>
      </c>
      <c r="E13">
        <v>40</v>
      </c>
      <c r="F13" t="s">
        <v>216</v>
      </c>
      <c r="G13">
        <v>1500000</v>
      </c>
      <c r="H13" t="s">
        <v>234</v>
      </c>
      <c r="I13" t="s">
        <v>243</v>
      </c>
      <c r="J13" t="str">
        <f t="shared" si="0"/>
        <v>NO</v>
      </c>
    </row>
    <row r="14" spans="1:19" x14ac:dyDescent="0.3">
      <c r="A14" t="s">
        <v>244</v>
      </c>
      <c r="B14" t="s">
        <v>245</v>
      </c>
      <c r="C14" s="9">
        <v>20</v>
      </c>
      <c r="D14" s="9" t="s">
        <v>267</v>
      </c>
      <c r="E14">
        <v>15</v>
      </c>
      <c r="F14" t="s">
        <v>216</v>
      </c>
      <c r="G14">
        <v>300000</v>
      </c>
      <c r="H14" t="s">
        <v>217</v>
      </c>
      <c r="I14" t="s">
        <v>222</v>
      </c>
      <c r="J14" t="str">
        <f t="shared" si="0"/>
        <v>NO</v>
      </c>
      <c r="N14" s="5" t="s">
        <v>275</v>
      </c>
    </row>
    <row r="15" spans="1:19" x14ac:dyDescent="0.3">
      <c r="A15" t="s">
        <v>244</v>
      </c>
      <c r="B15" t="s">
        <v>255</v>
      </c>
      <c r="C15" s="9">
        <v>25</v>
      </c>
      <c r="D15" s="9" t="s">
        <v>267</v>
      </c>
      <c r="E15">
        <v>30</v>
      </c>
      <c r="F15" t="s">
        <v>216</v>
      </c>
      <c r="G15">
        <v>300000</v>
      </c>
      <c r="H15" t="s">
        <v>217</v>
      </c>
      <c r="I15" t="s">
        <v>222</v>
      </c>
      <c r="J15" t="str">
        <f t="shared" si="0"/>
        <v>NO</v>
      </c>
      <c r="N15" t="s">
        <v>213</v>
      </c>
      <c r="O15">
        <f>AVERAGEIF(A2:A25,N15,C2:C25)</f>
        <v>12.666666666666666</v>
      </c>
    </row>
    <row r="16" spans="1:19" x14ac:dyDescent="0.3">
      <c r="A16" t="s">
        <v>230</v>
      </c>
      <c r="B16" t="s">
        <v>231</v>
      </c>
      <c r="C16" s="9">
        <v>6</v>
      </c>
      <c r="D16" s="9" t="s">
        <v>267</v>
      </c>
      <c r="E16">
        <v>100</v>
      </c>
      <c r="F16" t="s">
        <v>216</v>
      </c>
      <c r="G16">
        <v>10000000</v>
      </c>
      <c r="H16" t="s">
        <v>217</v>
      </c>
      <c r="I16" t="s">
        <v>218</v>
      </c>
      <c r="J16" t="str">
        <f t="shared" si="0"/>
        <v>YES</v>
      </c>
      <c r="N16" t="s">
        <v>244</v>
      </c>
      <c r="O16">
        <f t="shared" ref="O16" si="1">AVERAGEIF(A3:A26,N16,C3:C26)</f>
        <v>22.5</v>
      </c>
    </row>
    <row r="17" spans="1:15" x14ac:dyDescent="0.3">
      <c r="A17" t="s">
        <v>250</v>
      </c>
      <c r="B17" t="s">
        <v>251</v>
      </c>
      <c r="C17" s="9">
        <v>12</v>
      </c>
      <c r="D17" s="9" t="s">
        <v>267</v>
      </c>
      <c r="E17">
        <v>80</v>
      </c>
      <c r="F17" t="s">
        <v>216</v>
      </c>
      <c r="G17">
        <v>2500000</v>
      </c>
      <c r="H17" t="s">
        <v>217</v>
      </c>
      <c r="I17" t="s">
        <v>222</v>
      </c>
      <c r="J17" t="str">
        <f t="shared" si="0"/>
        <v>YES</v>
      </c>
      <c r="N17" t="s">
        <v>228</v>
      </c>
      <c r="O17">
        <f>AVERAGEIF(A4:A27,N17,C4:C27)</f>
        <v>20.5</v>
      </c>
    </row>
    <row r="18" spans="1:15" x14ac:dyDescent="0.3">
      <c r="A18" t="s">
        <v>264</v>
      </c>
      <c r="B18" t="s">
        <v>265</v>
      </c>
      <c r="C18" s="9">
        <v>15</v>
      </c>
      <c r="D18" s="9" t="s">
        <v>267</v>
      </c>
      <c r="E18">
        <v>40</v>
      </c>
      <c r="F18" t="s">
        <v>216</v>
      </c>
      <c r="G18">
        <v>800000</v>
      </c>
      <c r="H18" t="s">
        <v>217</v>
      </c>
      <c r="I18" t="s">
        <v>222</v>
      </c>
      <c r="J18" t="str">
        <f t="shared" si="0"/>
        <v>NO</v>
      </c>
      <c r="N18" t="s">
        <v>225</v>
      </c>
      <c r="O18">
        <f>AVERAGEIF(A5:A28,N18,C5:C28)</f>
        <v>14.25</v>
      </c>
    </row>
    <row r="19" spans="1:15" x14ac:dyDescent="0.3">
      <c r="A19" t="s">
        <v>246</v>
      </c>
      <c r="B19" t="s">
        <v>247</v>
      </c>
      <c r="C19" s="9">
        <v>5</v>
      </c>
      <c r="D19" s="9" t="s">
        <v>267</v>
      </c>
      <c r="E19">
        <v>200</v>
      </c>
      <c r="F19" t="s">
        <v>221</v>
      </c>
      <c r="G19">
        <v>300000000</v>
      </c>
      <c r="H19" t="s">
        <v>217</v>
      </c>
      <c r="I19" t="s">
        <v>248</v>
      </c>
      <c r="J19" t="str">
        <f t="shared" si="0"/>
        <v>YES</v>
      </c>
    </row>
    <row r="20" spans="1:15" x14ac:dyDescent="0.3">
      <c r="A20" t="s">
        <v>225</v>
      </c>
      <c r="B20" t="s">
        <v>226</v>
      </c>
      <c r="C20" s="9">
        <v>15</v>
      </c>
      <c r="D20" s="9" t="s">
        <v>267</v>
      </c>
      <c r="E20">
        <v>30</v>
      </c>
      <c r="F20" t="s">
        <v>221</v>
      </c>
      <c r="G20">
        <v>800000</v>
      </c>
      <c r="H20" t="s">
        <v>217</v>
      </c>
      <c r="I20" t="s">
        <v>227</v>
      </c>
      <c r="J20" t="str">
        <f t="shared" si="0"/>
        <v>NO</v>
      </c>
    </row>
    <row r="21" spans="1:15" x14ac:dyDescent="0.3">
      <c r="A21" t="s">
        <v>225</v>
      </c>
      <c r="B21" t="s">
        <v>254</v>
      </c>
      <c r="C21" s="9">
        <v>10</v>
      </c>
      <c r="D21" s="9" t="s">
        <v>267</v>
      </c>
      <c r="E21">
        <v>50</v>
      </c>
      <c r="F21" t="s">
        <v>216</v>
      </c>
      <c r="G21">
        <v>1200000</v>
      </c>
      <c r="H21" t="s">
        <v>234</v>
      </c>
      <c r="I21" t="s">
        <v>218</v>
      </c>
      <c r="J21" t="str">
        <f t="shared" si="0"/>
        <v>YES</v>
      </c>
      <c r="N21" t="s">
        <v>276</v>
      </c>
    </row>
    <row r="22" spans="1:15" x14ac:dyDescent="0.3">
      <c r="A22" t="s">
        <v>225</v>
      </c>
      <c r="B22" t="s">
        <v>259</v>
      </c>
      <c r="C22" s="9">
        <v>12</v>
      </c>
      <c r="D22" s="9" t="s">
        <v>267</v>
      </c>
      <c r="E22">
        <v>45</v>
      </c>
      <c r="F22" t="s">
        <v>216</v>
      </c>
      <c r="G22">
        <v>1200000</v>
      </c>
      <c r="H22" t="s">
        <v>234</v>
      </c>
      <c r="I22" t="s">
        <v>227</v>
      </c>
      <c r="J22" t="str">
        <f t="shared" si="0"/>
        <v>YES</v>
      </c>
    </row>
    <row r="23" spans="1:15" x14ac:dyDescent="0.3">
      <c r="A23" t="s">
        <v>225</v>
      </c>
      <c r="B23" t="s">
        <v>263</v>
      </c>
      <c r="C23" s="9">
        <v>20</v>
      </c>
      <c r="D23" s="9" t="s">
        <v>267</v>
      </c>
      <c r="E23">
        <v>45</v>
      </c>
      <c r="F23" t="s">
        <v>221</v>
      </c>
      <c r="G23">
        <v>1100000</v>
      </c>
      <c r="H23" t="s">
        <v>217</v>
      </c>
      <c r="I23" t="s">
        <v>243</v>
      </c>
      <c r="J23" t="str">
        <f t="shared" si="0"/>
        <v>YES</v>
      </c>
      <c r="L23">
        <v>80</v>
      </c>
      <c r="M23" t="s">
        <v>244</v>
      </c>
      <c r="N23" t="e" cm="1">
        <f t="array" ref="N23:N24">AVERAGEIFS(C2:C25,A2:A25,M23,E2:E25,L23:L24)</f>
        <v>#DIV/0!</v>
      </c>
    </row>
    <row r="24" spans="1:15" x14ac:dyDescent="0.3">
      <c r="A24" t="s">
        <v>219</v>
      </c>
      <c r="B24" t="s">
        <v>220</v>
      </c>
      <c r="C24" s="9">
        <v>12</v>
      </c>
      <c r="D24" s="9" t="s">
        <v>267</v>
      </c>
      <c r="E24">
        <v>35</v>
      </c>
      <c r="F24" t="s">
        <v>221</v>
      </c>
      <c r="G24">
        <v>1500000</v>
      </c>
      <c r="H24" t="s">
        <v>217</v>
      </c>
      <c r="I24" t="s">
        <v>222</v>
      </c>
      <c r="J24" t="str">
        <f t="shared" si="0"/>
        <v>NO</v>
      </c>
      <c r="L24">
        <v>120</v>
      </c>
      <c r="M24" t="s">
        <v>228</v>
      </c>
      <c r="N24" t="e">
        <v>#DIV/0!</v>
      </c>
    </row>
    <row r="25" spans="1:15" x14ac:dyDescent="0.3">
      <c r="A25" t="s">
        <v>223</v>
      </c>
      <c r="B25" t="s">
        <v>224</v>
      </c>
      <c r="C25" s="9">
        <v>10</v>
      </c>
      <c r="D25" s="9" t="s">
        <v>267</v>
      </c>
      <c r="E25">
        <v>45</v>
      </c>
      <c r="F25" t="s">
        <v>216</v>
      </c>
      <c r="G25">
        <v>4700000</v>
      </c>
      <c r="H25" t="s">
        <v>217</v>
      </c>
      <c r="I25" t="s">
        <v>218</v>
      </c>
      <c r="J25" t="str">
        <f t="shared" si="0"/>
        <v>NO</v>
      </c>
    </row>
    <row r="26" spans="1:15" x14ac:dyDescent="0.3">
      <c r="G26">
        <f>SUM(G2:G25)</f>
        <v>1706600000</v>
      </c>
    </row>
  </sheetData>
  <sortState xmlns:xlrd2="http://schemas.microsoft.com/office/spreadsheetml/2017/richdata2" ref="A2:K26">
    <sortCondition ref="A1:A26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C6894-6D64-4564-A40F-470EEDDF813F}">
  <sheetPr codeName="Sheet4"/>
  <dimension ref="A1:R45"/>
  <sheetViews>
    <sheetView topLeftCell="C13" zoomScale="111" zoomScaleNormal="90" workbookViewId="0">
      <selection activeCell="D16" sqref="D16:I29"/>
    </sheetView>
  </sheetViews>
  <sheetFormatPr defaultRowHeight="14.4" x14ac:dyDescent="0.3"/>
  <cols>
    <col min="5" max="5" width="11.5546875" bestFit="1" customWidth="1"/>
    <col min="6" max="6" width="12.44140625" bestFit="1" customWidth="1"/>
    <col min="7" max="7" width="17.109375" customWidth="1"/>
    <col min="8" max="8" width="14.77734375" customWidth="1"/>
    <col min="10" max="10" width="13.88671875" customWidth="1"/>
  </cols>
  <sheetData>
    <row r="1" spans="1:16" x14ac:dyDescent="0.3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</row>
    <row r="2" spans="1:16" x14ac:dyDescent="0.3">
      <c r="A2" t="s">
        <v>43</v>
      </c>
      <c r="B2">
        <v>10</v>
      </c>
      <c r="C2">
        <v>4</v>
      </c>
      <c r="D2">
        <v>1</v>
      </c>
      <c r="E2">
        <v>1</v>
      </c>
    </row>
    <row r="3" spans="1:16" x14ac:dyDescent="0.3">
      <c r="A3" t="s">
        <v>44</v>
      </c>
      <c r="B3">
        <v>110</v>
      </c>
      <c r="C3">
        <v>3</v>
      </c>
      <c r="D3">
        <v>0</v>
      </c>
      <c r="E3">
        <v>1</v>
      </c>
    </row>
    <row r="4" spans="1:16" x14ac:dyDescent="0.3">
      <c r="A4" t="s">
        <v>45</v>
      </c>
      <c r="B4">
        <v>15</v>
      </c>
      <c r="C4">
        <v>1</v>
      </c>
      <c r="D4">
        <v>3</v>
      </c>
      <c r="E4">
        <v>1</v>
      </c>
    </row>
    <row r="5" spans="1:16" x14ac:dyDescent="0.3">
      <c r="A5" t="s">
        <v>46</v>
      </c>
      <c r="B5">
        <v>4</v>
      </c>
      <c r="C5">
        <v>10</v>
      </c>
      <c r="D5">
        <v>6</v>
      </c>
      <c r="E5">
        <v>0</v>
      </c>
    </row>
    <row r="6" spans="1:16" x14ac:dyDescent="0.3">
      <c r="A6" t="s">
        <v>47</v>
      </c>
      <c r="B6">
        <v>10</v>
      </c>
      <c r="C6">
        <v>4</v>
      </c>
      <c r="D6">
        <v>1</v>
      </c>
      <c r="E6">
        <v>1</v>
      </c>
    </row>
    <row r="7" spans="1:16" x14ac:dyDescent="0.3">
      <c r="A7" t="s">
        <v>48</v>
      </c>
      <c r="B7">
        <v>9</v>
      </c>
      <c r="C7">
        <v>10</v>
      </c>
      <c r="D7">
        <v>1</v>
      </c>
      <c r="E7">
        <v>0</v>
      </c>
    </row>
    <row r="8" spans="1:16" ht="15" thickBot="1" x14ac:dyDescent="0.35">
      <c r="A8" t="s">
        <v>16</v>
      </c>
    </row>
    <row r="9" spans="1:16" x14ac:dyDescent="0.3">
      <c r="O9" s="11"/>
      <c r="P9" s="11"/>
    </row>
    <row r="18" spans="1:17" x14ac:dyDescent="0.3">
      <c r="E18" t="s">
        <v>279</v>
      </c>
      <c r="F18" t="s">
        <v>281</v>
      </c>
      <c r="G18" t="s">
        <v>286</v>
      </c>
      <c r="H18" t="s">
        <v>282</v>
      </c>
      <c r="I18" t="s">
        <v>280</v>
      </c>
    </row>
    <row r="19" spans="1:17" x14ac:dyDescent="0.3">
      <c r="E19" t="s">
        <v>99</v>
      </c>
      <c r="F19" t="s">
        <v>227</v>
      </c>
      <c r="G19">
        <v>34</v>
      </c>
      <c r="H19">
        <v>86</v>
      </c>
      <c r="I19">
        <v>10</v>
      </c>
    </row>
    <row r="20" spans="1:17" x14ac:dyDescent="0.3">
      <c r="E20" t="s">
        <v>100</v>
      </c>
      <c r="F20" t="s">
        <v>227</v>
      </c>
      <c r="G20">
        <v>410</v>
      </c>
      <c r="H20">
        <v>95</v>
      </c>
      <c r="I20">
        <v>1</v>
      </c>
    </row>
    <row r="21" spans="1:17" x14ac:dyDescent="0.3">
      <c r="E21" t="s">
        <v>101</v>
      </c>
      <c r="F21" t="s">
        <v>283</v>
      </c>
      <c r="G21">
        <v>41</v>
      </c>
      <c r="H21">
        <v>81</v>
      </c>
      <c r="I21">
        <v>10</v>
      </c>
    </row>
    <row r="22" spans="1:17" x14ac:dyDescent="0.3">
      <c r="A22" t="str">
        <f>LEFT(F103)</f>
        <v/>
      </c>
      <c r="E22" t="s">
        <v>102</v>
      </c>
      <c r="F22" t="s">
        <v>284</v>
      </c>
      <c r="G22">
        <v>15</v>
      </c>
      <c r="H22">
        <v>75</v>
      </c>
      <c r="I22">
        <v>3</v>
      </c>
    </row>
    <row r="23" spans="1:17" ht="15" thickBot="1" x14ac:dyDescent="0.35">
      <c r="A23" t="str">
        <f>LEFT(E103,4)</f>
        <v/>
      </c>
      <c r="E23" t="s">
        <v>103</v>
      </c>
      <c r="F23" t="s">
        <v>285</v>
      </c>
      <c r="G23">
        <v>16</v>
      </c>
      <c r="H23">
        <v>90</v>
      </c>
      <c r="I23">
        <v>1</v>
      </c>
      <c r="M23" s="1" t="s">
        <v>287</v>
      </c>
      <c r="O23" s="10"/>
      <c r="P23" s="10"/>
      <c r="Q23" s="1" t="s">
        <v>288</v>
      </c>
    </row>
    <row r="24" spans="1:17" x14ac:dyDescent="0.3">
      <c r="E24" t="s">
        <v>104</v>
      </c>
      <c r="F24" t="s">
        <v>227</v>
      </c>
      <c r="G24">
        <v>46</v>
      </c>
      <c r="H24">
        <v>83</v>
      </c>
      <c r="I24">
        <v>10</v>
      </c>
      <c r="M24" t="s">
        <v>227</v>
      </c>
      <c r="N24" t="e">
        <f>AVERAGEIF(F19:F108,M104,H19:H108)</f>
        <v>#DIV/0!</v>
      </c>
      <c r="O24" t="s">
        <v>227</v>
      </c>
      <c r="P24">
        <v>1</v>
      </c>
      <c r="Q24" t="e" cm="1">
        <f t="array" ref="Q24:Q25">AVERAGEIFS(H19:H108,F19:F108,O104,I19:I108,P104:P105)</f>
        <v>#DIV/0!</v>
      </c>
    </row>
    <row r="25" spans="1:17" x14ac:dyDescent="0.3">
      <c r="E25" t="s">
        <v>105</v>
      </c>
      <c r="F25" t="s">
        <v>217</v>
      </c>
      <c r="G25">
        <v>39</v>
      </c>
      <c r="H25">
        <v>91</v>
      </c>
      <c r="I25">
        <v>1</v>
      </c>
      <c r="M25" t="s">
        <v>285</v>
      </c>
      <c r="N25" t="e">
        <f>AVERAGEIF(F100:F109,M105,H100:H109)</f>
        <v>#DIV/0!</v>
      </c>
      <c r="O25" t="s">
        <v>285</v>
      </c>
      <c r="P25">
        <v>10</v>
      </c>
      <c r="Q25" t="e">
        <v>#DIV/0!</v>
      </c>
    </row>
    <row r="26" spans="1:17" x14ac:dyDescent="0.3">
      <c r="E26" t="s">
        <v>106</v>
      </c>
      <c r="F26" t="s">
        <v>285</v>
      </c>
      <c r="G26">
        <v>36</v>
      </c>
      <c r="H26">
        <v>60</v>
      </c>
      <c r="I26">
        <v>4</v>
      </c>
    </row>
    <row r="27" spans="1:17" x14ac:dyDescent="0.3">
      <c r="E27" t="s">
        <v>107</v>
      </c>
      <c r="F27" t="s">
        <v>285</v>
      </c>
      <c r="G27">
        <v>9</v>
      </c>
      <c r="H27">
        <v>65</v>
      </c>
      <c r="I27">
        <v>4</v>
      </c>
    </row>
    <row r="28" spans="1:17" x14ac:dyDescent="0.3">
      <c r="E28" t="s">
        <v>160</v>
      </c>
      <c r="F28" t="s">
        <v>262</v>
      </c>
      <c r="G28">
        <v>1</v>
      </c>
      <c r="H28">
        <v>35</v>
      </c>
      <c r="I28">
        <v>5</v>
      </c>
      <c r="N28" t="e">
        <f>LOOKUP(H23,E19:E27)</f>
        <v>#N/A</v>
      </c>
    </row>
    <row r="29" spans="1:17" x14ac:dyDescent="0.3">
      <c r="G29">
        <f>AVERAGE(G19:G28)</f>
        <v>64.7</v>
      </c>
      <c r="H29">
        <f>AVERAGE(H19:H28)</f>
        <v>76.099999999999994</v>
      </c>
      <c r="I29">
        <f t="shared" ref="I29" si="0">AVERAGE(I19:I28)</f>
        <v>4.9000000000000004</v>
      </c>
      <c r="J29">
        <f>AVERAGE(G29,H29,I29)</f>
        <v>48.56666666666667</v>
      </c>
    </row>
    <row r="33" spans="7:18" x14ac:dyDescent="0.3">
      <c r="R33">
        <f>AVERAGE(H19:H28)</f>
        <v>76.099999999999994</v>
      </c>
    </row>
    <row r="34" spans="7:18" x14ac:dyDescent="0.3">
      <c r="G34" t="s">
        <v>296</v>
      </c>
      <c r="H34" t="s">
        <v>291</v>
      </c>
      <c r="I34" t="str">
        <f>LEFT(H34)</f>
        <v>8</v>
      </c>
      <c r="L34" t="s">
        <v>294</v>
      </c>
      <c r="M34" t="str">
        <f>IF(F104&gt;40,"WATCH A MOVIE","WATCH A WEBSERIES")</f>
        <v>WATCH A WEBSERIES</v>
      </c>
      <c r="R34">
        <f>_xlfn.STDEV.P(H19:H28)</f>
        <v>17.363467395655743</v>
      </c>
    </row>
    <row r="35" spans="7:18" x14ac:dyDescent="0.3">
      <c r="H35" t="s">
        <v>292</v>
      </c>
      <c r="I35" t="str">
        <f t="shared" ref="I35" si="1">LEFT(H35)</f>
        <v>9</v>
      </c>
    </row>
    <row r="36" spans="7:18" x14ac:dyDescent="0.3">
      <c r="H36" t="s">
        <v>293</v>
      </c>
      <c r="I36" t="str">
        <f>LEFT(H36,10)</f>
        <v>10AM</v>
      </c>
      <c r="L36" t="s">
        <v>295</v>
      </c>
      <c r="N36" t="e" cm="1">
        <f t="array" ref="N36">_xlfn.IFS(F104&gt;40,"LET'S DANCE",I104&gt;5,"U WILL GIVE ME PARTY")</f>
        <v>#N/A</v>
      </c>
    </row>
    <row r="39" spans="7:18" x14ac:dyDescent="0.3">
      <c r="G39" t="s">
        <v>297</v>
      </c>
      <c r="H39" t="s">
        <v>133</v>
      </c>
      <c r="I39" t="str">
        <f>LEFT(H39,4)</f>
        <v>DDLJ</v>
      </c>
      <c r="J39" t="str">
        <f>RIGHT(H39)</f>
        <v>J</v>
      </c>
    </row>
    <row r="45" spans="7:18" x14ac:dyDescent="0.3">
      <c r="G45" t="str">
        <f>LOWER(E105)</f>
        <v/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21F50-F861-40F6-B53D-15E92E402E84}">
  <sheetPr codeName="Sheet5"/>
  <dimension ref="A1:J27"/>
  <sheetViews>
    <sheetView workbookViewId="0">
      <selection activeCell="I3" sqref="I3"/>
    </sheetView>
  </sheetViews>
  <sheetFormatPr defaultRowHeight="14.4" x14ac:dyDescent="0.3"/>
  <cols>
    <col min="1" max="1" width="20.33203125" bestFit="1" customWidth="1"/>
    <col min="2" max="2" width="11.33203125" bestFit="1" customWidth="1"/>
    <col min="5" max="5" width="14.109375" bestFit="1" customWidth="1"/>
    <col min="6" max="6" width="14.77734375" bestFit="1" customWidth="1"/>
  </cols>
  <sheetData>
    <row r="1" spans="1:10" x14ac:dyDescent="0.3">
      <c r="A1" t="s">
        <v>0</v>
      </c>
      <c r="B1" t="s">
        <v>1</v>
      </c>
      <c r="C1" t="s">
        <v>2</v>
      </c>
    </row>
    <row r="2" spans="1:10" x14ac:dyDescent="0.3">
      <c r="A2" t="s">
        <v>3</v>
      </c>
      <c r="B2" t="s">
        <v>4</v>
      </c>
      <c r="C2">
        <v>45</v>
      </c>
      <c r="E2" t="s">
        <v>5</v>
      </c>
      <c r="F2" t="s">
        <v>20</v>
      </c>
    </row>
    <row r="3" spans="1:10" x14ac:dyDescent="0.3">
      <c r="A3" t="s">
        <v>6</v>
      </c>
      <c r="B3" t="s">
        <v>4</v>
      </c>
      <c r="C3">
        <v>60</v>
      </c>
      <c r="E3" t="s">
        <v>4</v>
      </c>
      <c r="F3">
        <f ca="1">AVERAGEIF(B2:B10,E3,C2:E3)</f>
        <v>61.666666666666664</v>
      </c>
      <c r="I3">
        <f>AVERAGEIF(B2:B10,E3,C2:C10)</f>
        <v>61.666666666666664</v>
      </c>
    </row>
    <row r="4" spans="1:10" x14ac:dyDescent="0.3">
      <c r="A4" t="s">
        <v>7</v>
      </c>
      <c r="B4" t="s">
        <v>4</v>
      </c>
      <c r="C4">
        <v>80</v>
      </c>
      <c r="E4" t="s">
        <v>8</v>
      </c>
      <c r="F4">
        <f ca="1">AVERAGEIF(B3:B11,E4,C3:E4)</f>
        <v>81.666666666666671</v>
      </c>
    </row>
    <row r="5" spans="1:10" x14ac:dyDescent="0.3">
      <c r="A5" t="s">
        <v>9</v>
      </c>
      <c r="B5" t="s">
        <v>8</v>
      </c>
      <c r="C5">
        <v>65</v>
      </c>
      <c r="E5" t="s">
        <v>10</v>
      </c>
      <c r="F5">
        <f ca="1">AVERAGEIF(B4:B12,E5,C4:E5)</f>
        <v>59.666666666666664</v>
      </c>
    </row>
    <row r="6" spans="1:10" x14ac:dyDescent="0.3">
      <c r="A6" t="s">
        <v>11</v>
      </c>
      <c r="B6" t="s">
        <v>8</v>
      </c>
      <c r="C6">
        <v>80</v>
      </c>
    </row>
    <row r="7" spans="1:10" x14ac:dyDescent="0.3">
      <c r="A7" t="s">
        <v>12</v>
      </c>
      <c r="B7" t="s">
        <v>8</v>
      </c>
      <c r="C7">
        <v>100</v>
      </c>
      <c r="E7" t="s">
        <v>278</v>
      </c>
      <c r="F7">
        <f>AVERAGE(C2:C10)</f>
        <v>67.666666666666671</v>
      </c>
    </row>
    <row r="8" spans="1:10" x14ac:dyDescent="0.3">
      <c r="A8" t="s">
        <v>13</v>
      </c>
      <c r="B8" t="s">
        <v>10</v>
      </c>
      <c r="C8">
        <v>43</v>
      </c>
    </row>
    <row r="9" spans="1:10" x14ac:dyDescent="0.3">
      <c r="A9" t="s">
        <v>14</v>
      </c>
      <c r="B9" t="s">
        <v>10</v>
      </c>
      <c r="C9">
        <v>58</v>
      </c>
    </row>
    <row r="10" spans="1:10" x14ac:dyDescent="0.3">
      <c r="A10" t="s">
        <v>15</v>
      </c>
      <c r="B10" t="s">
        <v>10</v>
      </c>
      <c r="C10">
        <v>78</v>
      </c>
    </row>
    <row r="11" spans="1:10" x14ac:dyDescent="0.3">
      <c r="J11" t="s">
        <v>274</v>
      </c>
    </row>
    <row r="14" spans="1:10" x14ac:dyDescent="0.3">
      <c r="A14" t="s">
        <v>16</v>
      </c>
    </row>
    <row r="15" spans="1:10" x14ac:dyDescent="0.3">
      <c r="J15" t="b">
        <f>OR(B2 = "WATER",C2 &lt; 45)</f>
        <v>0</v>
      </c>
    </row>
    <row r="16" spans="1:10" x14ac:dyDescent="0.3">
      <c r="J16" t="b">
        <f>OR(B2 = "GRASS",C2 &gt;40)</f>
        <v>1</v>
      </c>
    </row>
    <row r="18" spans="1:5" x14ac:dyDescent="0.3">
      <c r="E18" t="s">
        <v>299</v>
      </c>
    </row>
    <row r="19" spans="1:5" x14ac:dyDescent="0.3">
      <c r="E19" t="s">
        <v>300</v>
      </c>
    </row>
    <row r="27" spans="1:5" x14ac:dyDescent="0.3">
      <c r="A27" t="s">
        <v>302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7468C-13F2-4934-A225-5D78DDB79783}">
  <sheetPr codeName="Sheet6"/>
  <dimension ref="A2:K29"/>
  <sheetViews>
    <sheetView topLeftCell="A13" workbookViewId="0">
      <selection activeCell="N21" sqref="N21"/>
    </sheetView>
  </sheetViews>
  <sheetFormatPr defaultRowHeight="14.4" x14ac:dyDescent="0.3"/>
  <cols>
    <col min="8" max="8" width="9.109375" bestFit="1" customWidth="1"/>
  </cols>
  <sheetData>
    <row r="2" spans="1:4" x14ac:dyDescent="0.3">
      <c r="A2">
        <v>100</v>
      </c>
      <c r="B2">
        <v>50</v>
      </c>
    </row>
    <row r="3" spans="1:4" x14ac:dyDescent="0.3">
      <c r="A3">
        <v>1000</v>
      </c>
      <c r="B3">
        <v>500</v>
      </c>
    </row>
    <row r="4" spans="1:4" x14ac:dyDescent="0.3">
      <c r="A4">
        <v>100000</v>
      </c>
      <c r="B4">
        <v>50000</v>
      </c>
      <c r="C4">
        <v>100</v>
      </c>
      <c r="D4">
        <f>LOOKUP(C4,A2:B7)</f>
        <v>50</v>
      </c>
    </row>
    <row r="5" spans="1:4" x14ac:dyDescent="0.3">
      <c r="A5">
        <v>1000000</v>
      </c>
      <c r="B5">
        <v>5000000</v>
      </c>
      <c r="C5">
        <v>1000</v>
      </c>
      <c r="D5">
        <f t="shared" ref="D5:D8" si="0">LOOKUP(C5,A3:B8)</f>
        <v>500</v>
      </c>
    </row>
    <row r="6" spans="1:4" x14ac:dyDescent="0.3">
      <c r="A6">
        <v>15263</v>
      </c>
      <c r="B6">
        <v>20000</v>
      </c>
      <c r="C6">
        <v>100000</v>
      </c>
      <c r="D6">
        <f t="shared" si="0"/>
        <v>20000</v>
      </c>
    </row>
    <row r="7" spans="1:4" x14ac:dyDescent="0.3">
      <c r="A7">
        <v>16165196</v>
      </c>
      <c r="B7">
        <v>50000</v>
      </c>
      <c r="C7">
        <v>1000000</v>
      </c>
      <c r="D7">
        <f t="shared" si="0"/>
        <v>5000000</v>
      </c>
    </row>
    <row r="8" spans="1:4" x14ac:dyDescent="0.3">
      <c r="C8">
        <v>16165796</v>
      </c>
      <c r="D8">
        <f t="shared" si="0"/>
        <v>50000</v>
      </c>
    </row>
    <row r="18" spans="2:11" x14ac:dyDescent="0.3">
      <c r="B18" t="s">
        <v>279</v>
      </c>
      <c r="C18" t="s">
        <v>281</v>
      </c>
      <c r="D18" t="s">
        <v>286</v>
      </c>
      <c r="E18" t="s">
        <v>282</v>
      </c>
      <c r="F18" t="s">
        <v>280</v>
      </c>
    </row>
    <row r="19" spans="2:11" x14ac:dyDescent="0.3">
      <c r="B19" t="s">
        <v>99</v>
      </c>
      <c r="C19" t="s">
        <v>227</v>
      </c>
      <c r="D19">
        <v>34</v>
      </c>
      <c r="E19">
        <v>86</v>
      </c>
      <c r="F19">
        <v>10</v>
      </c>
    </row>
    <row r="20" spans="2:11" x14ac:dyDescent="0.3">
      <c r="B20" t="s">
        <v>100</v>
      </c>
      <c r="C20" t="s">
        <v>227</v>
      </c>
      <c r="D20">
        <v>410</v>
      </c>
      <c r="E20">
        <v>95</v>
      </c>
      <c r="F20">
        <v>1</v>
      </c>
    </row>
    <row r="21" spans="2:11" x14ac:dyDescent="0.3">
      <c r="B21" t="s">
        <v>101</v>
      </c>
      <c r="C21" t="s">
        <v>283</v>
      </c>
      <c r="D21">
        <v>41</v>
      </c>
      <c r="E21">
        <v>81</v>
      </c>
      <c r="F21">
        <v>10</v>
      </c>
      <c r="J21" t="s">
        <v>404</v>
      </c>
      <c r="K21">
        <f>VLOOKUP(J21,B19:F28,5,0)</f>
        <v>5</v>
      </c>
    </row>
    <row r="22" spans="2:11" x14ac:dyDescent="0.3">
      <c r="B22" t="s">
        <v>102</v>
      </c>
      <c r="C22" t="s">
        <v>284</v>
      </c>
      <c r="D22">
        <v>15</v>
      </c>
      <c r="E22">
        <v>75</v>
      </c>
      <c r="F22">
        <v>3</v>
      </c>
    </row>
    <row r="23" spans="2:11" x14ac:dyDescent="0.3">
      <c r="B23" t="s">
        <v>103</v>
      </c>
      <c r="C23" t="s">
        <v>285</v>
      </c>
      <c r="D23">
        <v>16</v>
      </c>
      <c r="E23">
        <v>90</v>
      </c>
      <c r="F23">
        <v>1</v>
      </c>
    </row>
    <row r="24" spans="2:11" x14ac:dyDescent="0.3">
      <c r="B24" t="s">
        <v>104</v>
      </c>
      <c r="C24" t="s">
        <v>227</v>
      </c>
      <c r="D24">
        <v>46</v>
      </c>
      <c r="E24">
        <v>83</v>
      </c>
      <c r="F24">
        <v>10</v>
      </c>
    </row>
    <row r="25" spans="2:11" x14ac:dyDescent="0.3">
      <c r="B25" t="s">
        <v>105</v>
      </c>
      <c r="C25" t="s">
        <v>217</v>
      </c>
      <c r="D25">
        <v>39</v>
      </c>
      <c r="E25">
        <v>91</v>
      </c>
      <c r="F25">
        <v>1</v>
      </c>
    </row>
    <row r="26" spans="2:11" x14ac:dyDescent="0.3">
      <c r="B26" t="s">
        <v>106</v>
      </c>
      <c r="C26" t="s">
        <v>285</v>
      </c>
      <c r="D26">
        <v>36</v>
      </c>
      <c r="E26">
        <v>60</v>
      </c>
      <c r="F26">
        <v>4</v>
      </c>
    </row>
    <row r="27" spans="2:11" x14ac:dyDescent="0.3">
      <c r="B27" t="s">
        <v>107</v>
      </c>
      <c r="C27" t="s">
        <v>285</v>
      </c>
      <c r="D27">
        <v>9</v>
      </c>
      <c r="E27">
        <v>65</v>
      </c>
      <c r="F27">
        <v>4</v>
      </c>
    </row>
    <row r="28" spans="2:11" x14ac:dyDescent="0.3">
      <c r="B28" t="s">
        <v>160</v>
      </c>
      <c r="C28" t="s">
        <v>262</v>
      </c>
      <c r="D28">
        <v>1</v>
      </c>
      <c r="E28">
        <v>35</v>
      </c>
      <c r="F28">
        <v>5</v>
      </c>
    </row>
    <row r="29" spans="2:11" x14ac:dyDescent="0.3">
      <c r="D29">
        <f>AVERAGE(D19:D28)</f>
        <v>64.7</v>
      </c>
      <c r="E29">
        <f>AVERAGE(E19:E28)</f>
        <v>76.099999999999994</v>
      </c>
      <c r="F29">
        <f t="shared" ref="F29" si="1">AVERAGE(F19:F28)</f>
        <v>4.9000000000000004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29462-547F-4A06-909D-F2538E02D621}">
  <sheetPr codeName="Sheet7"/>
  <dimension ref="A1:L14"/>
  <sheetViews>
    <sheetView workbookViewId="0">
      <selection activeCell="B18" sqref="B18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17</v>
      </c>
      <c r="D1" t="s">
        <v>18</v>
      </c>
    </row>
    <row r="2" spans="1:12" x14ac:dyDescent="0.3">
      <c r="A2" t="s">
        <v>3</v>
      </c>
      <c r="B2" t="s">
        <v>4</v>
      </c>
      <c r="C2">
        <v>49</v>
      </c>
      <c r="D2">
        <v>1</v>
      </c>
      <c r="F2" t="s">
        <v>5</v>
      </c>
      <c r="G2" t="s">
        <v>19</v>
      </c>
      <c r="H2" t="s">
        <v>20</v>
      </c>
    </row>
    <row r="3" spans="1:12" x14ac:dyDescent="0.3">
      <c r="A3" t="s">
        <v>6</v>
      </c>
      <c r="B3" t="s">
        <v>4</v>
      </c>
      <c r="C3">
        <v>63</v>
      </c>
      <c r="D3">
        <v>1</v>
      </c>
      <c r="F3" t="s">
        <v>4</v>
      </c>
      <c r="G3">
        <v>1</v>
      </c>
      <c r="H3" cm="1">
        <f t="array" ref="H3:H6">AVERAGEIFS(C2:C13,B2:B13,F3,D2:D13,G3:G6)</f>
        <v>65</v>
      </c>
    </row>
    <row r="4" spans="1:12" x14ac:dyDescent="0.3">
      <c r="A4" t="s">
        <v>7</v>
      </c>
      <c r="B4" t="s">
        <v>4</v>
      </c>
      <c r="C4">
        <v>83</v>
      </c>
      <c r="D4">
        <v>1</v>
      </c>
      <c r="F4" t="s">
        <v>8</v>
      </c>
      <c r="G4">
        <v>1</v>
      </c>
      <c r="H4">
        <v>65</v>
      </c>
    </row>
    <row r="5" spans="1:12" x14ac:dyDescent="0.3">
      <c r="A5" t="s">
        <v>9</v>
      </c>
      <c r="B5" t="s">
        <v>8</v>
      </c>
      <c r="C5">
        <v>43</v>
      </c>
      <c r="D5">
        <v>1</v>
      </c>
      <c r="F5" t="s">
        <v>4</v>
      </c>
      <c r="G5">
        <v>2</v>
      </c>
      <c r="H5">
        <v>81.666666666666671</v>
      </c>
    </row>
    <row r="6" spans="1:12" x14ac:dyDescent="0.3">
      <c r="A6" t="s">
        <v>11</v>
      </c>
      <c r="B6" t="s">
        <v>8</v>
      </c>
      <c r="C6">
        <v>58</v>
      </c>
      <c r="D6">
        <v>1</v>
      </c>
      <c r="F6" t="s">
        <v>8</v>
      </c>
      <c r="G6">
        <v>2</v>
      </c>
      <c r="H6">
        <v>81.666666666666671</v>
      </c>
    </row>
    <row r="7" spans="1:12" x14ac:dyDescent="0.3">
      <c r="A7" t="s">
        <v>12</v>
      </c>
      <c r="B7" t="s">
        <v>8</v>
      </c>
      <c r="C7">
        <v>78</v>
      </c>
      <c r="D7">
        <v>1</v>
      </c>
      <c r="L7" t="e">
        <f ca="1">AVERAGEIF(C2:C13,J9,averageif!F3)</f>
        <v>#DIV/0!</v>
      </c>
    </row>
    <row r="8" spans="1:12" x14ac:dyDescent="0.3">
      <c r="A8" t="s">
        <v>21</v>
      </c>
      <c r="B8" t="s">
        <v>4</v>
      </c>
      <c r="C8">
        <v>65</v>
      </c>
      <c r="D8">
        <v>2</v>
      </c>
    </row>
    <row r="9" spans="1:12" x14ac:dyDescent="0.3">
      <c r="A9" t="s">
        <v>22</v>
      </c>
      <c r="B9" t="s">
        <v>4</v>
      </c>
      <c r="C9">
        <v>80</v>
      </c>
      <c r="D9">
        <v>2</v>
      </c>
      <c r="J9" t="s">
        <v>277</v>
      </c>
    </row>
    <row r="10" spans="1:12" x14ac:dyDescent="0.3">
      <c r="A10" t="s">
        <v>23</v>
      </c>
      <c r="B10" t="s">
        <v>4</v>
      </c>
      <c r="C10">
        <v>100</v>
      </c>
      <c r="D10">
        <v>2</v>
      </c>
    </row>
    <row r="11" spans="1:12" x14ac:dyDescent="0.3">
      <c r="A11" t="s">
        <v>24</v>
      </c>
      <c r="B11" t="s">
        <v>8</v>
      </c>
      <c r="C11">
        <v>43</v>
      </c>
      <c r="D11">
        <v>2</v>
      </c>
    </row>
    <row r="12" spans="1:12" x14ac:dyDescent="0.3">
      <c r="A12" t="s">
        <v>25</v>
      </c>
      <c r="B12" t="s">
        <v>8</v>
      </c>
      <c r="C12">
        <v>58</v>
      </c>
      <c r="D12">
        <v>2</v>
      </c>
    </row>
    <row r="13" spans="1:12" x14ac:dyDescent="0.3">
      <c r="A13" t="s">
        <v>26</v>
      </c>
      <c r="B13" t="s">
        <v>8</v>
      </c>
      <c r="C13">
        <v>78</v>
      </c>
      <c r="D13">
        <v>2</v>
      </c>
    </row>
    <row r="14" spans="1:12" x14ac:dyDescent="0.3">
      <c r="A14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EF95E-01B6-408E-8EC4-11A2814E4AF9}">
  <sheetPr codeName="Sheet8"/>
  <dimension ref="A1:I22"/>
  <sheetViews>
    <sheetView workbookViewId="0">
      <selection activeCell="F12" sqref="F12"/>
    </sheetView>
  </sheetViews>
  <sheetFormatPr defaultRowHeight="14.4" x14ac:dyDescent="0.3"/>
  <cols>
    <col min="6" max="6" width="19" bestFit="1" customWidth="1"/>
  </cols>
  <sheetData>
    <row r="1" spans="1:9" x14ac:dyDescent="0.3">
      <c r="A1" t="s">
        <v>0</v>
      </c>
      <c r="B1" t="s">
        <v>1</v>
      </c>
      <c r="C1" t="s">
        <v>49</v>
      </c>
    </row>
    <row r="2" spans="1:9" x14ac:dyDescent="0.3">
      <c r="A2" t="s">
        <v>50</v>
      </c>
      <c r="B2" t="s">
        <v>51</v>
      </c>
      <c r="C2">
        <v>305</v>
      </c>
    </row>
    <row r="3" spans="1:9" x14ac:dyDescent="0.3">
      <c r="A3" t="s">
        <v>52</v>
      </c>
      <c r="B3" t="s">
        <v>10</v>
      </c>
      <c r="C3">
        <v>510</v>
      </c>
    </row>
    <row r="4" spans="1:9" x14ac:dyDescent="0.3">
      <c r="A4" t="s">
        <v>53</v>
      </c>
      <c r="B4" t="s">
        <v>4</v>
      </c>
      <c r="C4">
        <v>490</v>
      </c>
    </row>
    <row r="5" spans="1:9" x14ac:dyDescent="0.3">
      <c r="A5" t="s">
        <v>54</v>
      </c>
      <c r="B5" t="s">
        <v>10</v>
      </c>
      <c r="C5">
        <v>335</v>
      </c>
      <c r="I5" t="s">
        <v>289</v>
      </c>
    </row>
    <row r="6" spans="1:9" x14ac:dyDescent="0.3">
      <c r="A6" t="s">
        <v>55</v>
      </c>
      <c r="B6" t="s">
        <v>56</v>
      </c>
      <c r="C6">
        <v>465</v>
      </c>
    </row>
    <row r="7" spans="1:9" x14ac:dyDescent="0.3">
      <c r="A7" t="s">
        <v>57</v>
      </c>
      <c r="B7" t="s">
        <v>10</v>
      </c>
      <c r="C7">
        <v>475</v>
      </c>
      <c r="F7" t="str">
        <f>_xlfn.CONCAT(A2, A3)</f>
        <v xml:space="preserve">    Mankey    Poliwrath</v>
      </c>
    </row>
    <row r="8" spans="1:9" x14ac:dyDescent="0.3">
      <c r="A8" t="s">
        <v>58</v>
      </c>
      <c r="B8" t="s">
        <v>10</v>
      </c>
      <c r="C8">
        <v>525</v>
      </c>
      <c r="F8" t="str">
        <f>_xlfn.CONCAT(A6,"-",C6)</f>
        <v xml:space="preserve">    Magneton-465</v>
      </c>
    </row>
    <row r="9" spans="1:9" x14ac:dyDescent="0.3">
      <c r="A9" t="s">
        <v>59</v>
      </c>
      <c r="B9" t="s">
        <v>60</v>
      </c>
      <c r="C9">
        <v>385</v>
      </c>
    </row>
    <row r="10" spans="1:9" x14ac:dyDescent="0.3">
      <c r="A10" t="s">
        <v>61</v>
      </c>
      <c r="B10" t="s">
        <v>62</v>
      </c>
      <c r="C10">
        <v>420</v>
      </c>
    </row>
    <row r="11" spans="1:9" x14ac:dyDescent="0.3">
      <c r="A11" t="s">
        <v>63</v>
      </c>
      <c r="B11" t="s">
        <v>64</v>
      </c>
      <c r="C11">
        <v>349</v>
      </c>
    </row>
    <row r="12" spans="1:9" x14ac:dyDescent="0.3">
      <c r="A12" t="s">
        <v>65</v>
      </c>
      <c r="B12" t="s">
        <v>64</v>
      </c>
      <c r="C12">
        <v>253</v>
      </c>
    </row>
    <row r="13" spans="1:9" x14ac:dyDescent="0.3">
      <c r="A13" t="s">
        <v>66</v>
      </c>
      <c r="B13" t="s">
        <v>67</v>
      </c>
      <c r="C13">
        <v>395</v>
      </c>
    </row>
    <row r="14" spans="1:9" x14ac:dyDescent="0.3">
      <c r="A14" t="s">
        <v>68</v>
      </c>
      <c r="B14" t="s">
        <v>64</v>
      </c>
      <c r="C14">
        <v>310</v>
      </c>
    </row>
    <row r="15" spans="1:9" x14ac:dyDescent="0.3">
      <c r="A15" t="s">
        <v>69</v>
      </c>
      <c r="B15" t="s">
        <v>10</v>
      </c>
      <c r="C15">
        <v>475</v>
      </c>
    </row>
    <row r="16" spans="1:9" x14ac:dyDescent="0.3">
      <c r="A16" t="s">
        <v>70</v>
      </c>
      <c r="B16" t="s">
        <v>71</v>
      </c>
      <c r="C16">
        <v>505</v>
      </c>
    </row>
    <row r="17" spans="1:3" x14ac:dyDescent="0.3">
      <c r="A17" t="s">
        <v>72</v>
      </c>
      <c r="B17" t="s">
        <v>51</v>
      </c>
      <c r="C17">
        <v>455</v>
      </c>
    </row>
    <row r="18" spans="1:3" x14ac:dyDescent="0.3">
      <c r="A18" t="s">
        <v>11</v>
      </c>
      <c r="B18" t="s">
        <v>8</v>
      </c>
      <c r="C18">
        <v>405</v>
      </c>
    </row>
    <row r="19" spans="1:3" x14ac:dyDescent="0.3">
      <c r="A19" t="s">
        <v>73</v>
      </c>
      <c r="B19" t="s">
        <v>71</v>
      </c>
      <c r="C19">
        <v>438</v>
      </c>
    </row>
    <row r="20" spans="1:3" x14ac:dyDescent="0.3">
      <c r="A20" t="s">
        <v>74</v>
      </c>
      <c r="B20" t="s">
        <v>75</v>
      </c>
      <c r="C20">
        <v>310</v>
      </c>
    </row>
    <row r="21" spans="1:3" x14ac:dyDescent="0.3">
      <c r="A21" t="s">
        <v>76</v>
      </c>
      <c r="B21" t="s">
        <v>10</v>
      </c>
      <c r="C21">
        <v>200</v>
      </c>
    </row>
    <row r="22" spans="1:3" x14ac:dyDescent="0.3">
      <c r="A22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8BF39-5E72-4AC8-BAA9-4DD5142A3185}">
  <sheetPr codeName="Sheet9"/>
  <dimension ref="A1:O31"/>
  <sheetViews>
    <sheetView workbookViewId="0">
      <selection activeCell="E12" sqref="E12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77</v>
      </c>
      <c r="D1" t="s">
        <v>49</v>
      </c>
    </row>
    <row r="2" spans="1:15" x14ac:dyDescent="0.3">
      <c r="A2" t="s">
        <v>50</v>
      </c>
      <c r="B2" t="s">
        <v>51</v>
      </c>
      <c r="D2">
        <v>305</v>
      </c>
    </row>
    <row r="3" spans="1:15" x14ac:dyDescent="0.3">
      <c r="A3" t="s">
        <v>52</v>
      </c>
      <c r="B3" t="s">
        <v>10</v>
      </c>
      <c r="C3" t="s">
        <v>51</v>
      </c>
      <c r="D3">
        <v>510</v>
      </c>
    </row>
    <row r="4" spans="1:15" x14ac:dyDescent="0.3">
      <c r="A4" t="s">
        <v>53</v>
      </c>
      <c r="B4" t="s">
        <v>4</v>
      </c>
      <c r="C4" t="s">
        <v>71</v>
      </c>
      <c r="D4">
        <v>490</v>
      </c>
      <c r="F4">
        <f xml:space="preserve"> 490+335+395+310</f>
        <v>1530</v>
      </c>
    </row>
    <row r="5" spans="1:15" x14ac:dyDescent="0.3">
      <c r="A5" t="s">
        <v>54</v>
      </c>
      <c r="B5" t="s">
        <v>10</v>
      </c>
      <c r="C5" t="s">
        <v>71</v>
      </c>
      <c r="D5">
        <v>335</v>
      </c>
    </row>
    <row r="6" spans="1:15" x14ac:dyDescent="0.3">
      <c r="A6" t="s">
        <v>55</v>
      </c>
      <c r="B6" t="s">
        <v>56</v>
      </c>
      <c r="C6" t="s">
        <v>78</v>
      </c>
      <c r="D6">
        <v>465</v>
      </c>
    </row>
    <row r="7" spans="1:15" x14ac:dyDescent="0.3">
      <c r="A7" t="s">
        <v>57</v>
      </c>
      <c r="B7" t="s">
        <v>10</v>
      </c>
      <c r="C7" t="s">
        <v>79</v>
      </c>
      <c r="D7">
        <v>475</v>
      </c>
      <c r="O7" t="s">
        <v>301</v>
      </c>
    </row>
    <row r="8" spans="1:15" x14ac:dyDescent="0.3">
      <c r="A8" t="s">
        <v>58</v>
      </c>
      <c r="B8" t="s">
        <v>10</v>
      </c>
      <c r="C8" t="s">
        <v>79</v>
      </c>
      <c r="D8">
        <v>525</v>
      </c>
    </row>
    <row r="9" spans="1:15" x14ac:dyDescent="0.3">
      <c r="A9" t="s">
        <v>59</v>
      </c>
      <c r="B9" t="s">
        <v>60</v>
      </c>
      <c r="C9" t="s">
        <v>80</v>
      </c>
      <c r="D9">
        <v>385</v>
      </c>
      <c r="I9" t="s">
        <v>290</v>
      </c>
    </row>
    <row r="10" spans="1:15" x14ac:dyDescent="0.3">
      <c r="A10" t="s">
        <v>61</v>
      </c>
      <c r="B10" t="s">
        <v>62</v>
      </c>
      <c r="D10">
        <v>420</v>
      </c>
    </row>
    <row r="11" spans="1:15" x14ac:dyDescent="0.3">
      <c r="A11" t="s">
        <v>63</v>
      </c>
      <c r="B11" t="s">
        <v>64</v>
      </c>
      <c r="C11" t="s">
        <v>81</v>
      </c>
      <c r="D11">
        <v>349</v>
      </c>
      <c r="O11">
        <f>_xlfn.STDEV.P(D2:D21)</f>
        <v>89.757381312068148</v>
      </c>
    </row>
    <row r="12" spans="1:15" x14ac:dyDescent="0.3">
      <c r="A12" t="s">
        <v>65</v>
      </c>
      <c r="B12" t="s">
        <v>64</v>
      </c>
      <c r="D12">
        <v>253</v>
      </c>
      <c r="I12">
        <f>COUNT(D2:D21)</f>
        <v>20</v>
      </c>
      <c r="O12">
        <f>_xlfn.STDEV.S(D2:D21)</f>
        <v>92.089130166034479</v>
      </c>
    </row>
    <row r="13" spans="1:15" x14ac:dyDescent="0.3">
      <c r="A13" t="s">
        <v>66</v>
      </c>
      <c r="B13" t="s">
        <v>67</v>
      </c>
      <c r="C13" t="s">
        <v>71</v>
      </c>
      <c r="D13">
        <v>395</v>
      </c>
      <c r="I13">
        <f>SUM(D2:D21)</f>
        <v>8005</v>
      </c>
    </row>
    <row r="14" spans="1:15" x14ac:dyDescent="0.3">
      <c r="A14" t="s">
        <v>68</v>
      </c>
      <c r="B14" t="s">
        <v>64</v>
      </c>
      <c r="C14" t="s">
        <v>81</v>
      </c>
      <c r="D14">
        <v>310</v>
      </c>
    </row>
    <row r="15" spans="1:15" x14ac:dyDescent="0.3">
      <c r="A15" t="s">
        <v>69</v>
      </c>
      <c r="B15" t="s">
        <v>10</v>
      </c>
      <c r="D15">
        <v>475</v>
      </c>
      <c r="O15" t="s">
        <v>303</v>
      </c>
    </row>
    <row r="16" spans="1:15" x14ac:dyDescent="0.3">
      <c r="A16" t="s">
        <v>70</v>
      </c>
      <c r="B16" t="s">
        <v>71</v>
      </c>
      <c r="C16" t="s">
        <v>80</v>
      </c>
      <c r="D16">
        <v>505</v>
      </c>
      <c r="O16" t="s">
        <v>304</v>
      </c>
    </row>
    <row r="17" spans="1:15" x14ac:dyDescent="0.3">
      <c r="A17" t="s">
        <v>72</v>
      </c>
      <c r="B17" t="s">
        <v>51</v>
      </c>
      <c r="D17">
        <v>455</v>
      </c>
      <c r="O17" t="s">
        <v>305</v>
      </c>
    </row>
    <row r="18" spans="1:15" x14ac:dyDescent="0.3">
      <c r="A18" t="s">
        <v>11</v>
      </c>
      <c r="B18" t="s">
        <v>8</v>
      </c>
      <c r="D18">
        <v>405</v>
      </c>
    </row>
    <row r="19" spans="1:15" x14ac:dyDescent="0.3">
      <c r="A19" t="s">
        <v>73</v>
      </c>
      <c r="B19" t="s">
        <v>71</v>
      </c>
      <c r="D19">
        <v>438</v>
      </c>
    </row>
    <row r="20" spans="1:15" x14ac:dyDescent="0.3">
      <c r="A20" t="s">
        <v>74</v>
      </c>
      <c r="B20" t="s">
        <v>75</v>
      </c>
      <c r="C20" t="s">
        <v>71</v>
      </c>
      <c r="D20">
        <v>310</v>
      </c>
    </row>
    <row r="21" spans="1:15" x14ac:dyDescent="0.3">
      <c r="A21" t="s">
        <v>76</v>
      </c>
      <c r="B21" t="s">
        <v>10</v>
      </c>
      <c r="D21">
        <v>200</v>
      </c>
    </row>
    <row r="22" spans="1:15" x14ac:dyDescent="0.3">
      <c r="A22" t="s">
        <v>16</v>
      </c>
      <c r="E22">
        <f>AVERAGE(D2:D21)</f>
        <v>400.25</v>
      </c>
    </row>
    <row r="26" spans="1:15" x14ac:dyDescent="0.3">
      <c r="A26" s="5" t="s">
        <v>306</v>
      </c>
    </row>
    <row r="28" spans="1:15" x14ac:dyDescent="0.3">
      <c r="G28">
        <f>SUMIF(C2:C21,C4,D2:D21)</f>
        <v>1530</v>
      </c>
    </row>
    <row r="29" spans="1:15" x14ac:dyDescent="0.3">
      <c r="A29">
        <f>SUM(D2:D21)</f>
        <v>8005</v>
      </c>
    </row>
    <row r="30" spans="1:15" x14ac:dyDescent="0.3">
      <c r="A30">
        <f>COUNT(D2:D21)</f>
        <v>20</v>
      </c>
    </row>
    <row r="31" spans="1:15" x14ac:dyDescent="0.3">
      <c r="A31">
        <f>AVERAGE(D2:D21)</f>
        <v>400.25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D2D2E-C5E5-4A54-AF93-8A330D3BA328}">
  <sheetPr codeName="Sheet10"/>
  <dimension ref="A1:G22"/>
  <sheetViews>
    <sheetView workbookViewId="0">
      <selection activeCell="G24" sqref="G23:G2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77</v>
      </c>
      <c r="D1" t="s">
        <v>49</v>
      </c>
    </row>
    <row r="2" spans="1:7" x14ac:dyDescent="0.3">
      <c r="A2" t="s">
        <v>50</v>
      </c>
      <c r="B2" t="s">
        <v>51</v>
      </c>
      <c r="D2">
        <v>305</v>
      </c>
    </row>
    <row r="3" spans="1:7" x14ac:dyDescent="0.3">
      <c r="A3" t="s">
        <v>52</v>
      </c>
      <c r="B3" t="s">
        <v>10</v>
      </c>
      <c r="C3" t="s">
        <v>51</v>
      </c>
      <c r="D3">
        <v>510</v>
      </c>
    </row>
    <row r="4" spans="1:7" x14ac:dyDescent="0.3">
      <c r="A4" t="s">
        <v>53</v>
      </c>
      <c r="B4" t="s">
        <v>4</v>
      </c>
      <c r="C4" t="s">
        <v>71</v>
      </c>
      <c r="D4">
        <v>490</v>
      </c>
    </row>
    <row r="5" spans="1:7" x14ac:dyDescent="0.3">
      <c r="A5" t="s">
        <v>54</v>
      </c>
      <c r="B5" t="s">
        <v>10</v>
      </c>
      <c r="C5" t="s">
        <v>71</v>
      </c>
      <c r="D5">
        <v>335</v>
      </c>
    </row>
    <row r="6" spans="1:7" x14ac:dyDescent="0.3">
      <c r="A6" t="s">
        <v>55</v>
      </c>
      <c r="B6" t="s">
        <v>56</v>
      </c>
      <c r="C6" t="s">
        <v>78</v>
      </c>
      <c r="D6">
        <v>465</v>
      </c>
    </row>
    <row r="7" spans="1:7" x14ac:dyDescent="0.3">
      <c r="A7" t="s">
        <v>57</v>
      </c>
      <c r="B7" t="s">
        <v>10</v>
      </c>
      <c r="C7" t="s">
        <v>79</v>
      </c>
      <c r="D7">
        <v>475</v>
      </c>
    </row>
    <row r="8" spans="1:7" x14ac:dyDescent="0.3">
      <c r="A8" t="s">
        <v>58</v>
      </c>
      <c r="B8" t="s">
        <v>10</v>
      </c>
      <c r="C8" t="s">
        <v>79</v>
      </c>
      <c r="D8">
        <v>525</v>
      </c>
    </row>
    <row r="9" spans="1:7" x14ac:dyDescent="0.3">
      <c r="A9" t="s">
        <v>59</v>
      </c>
      <c r="B9" t="s">
        <v>60</v>
      </c>
      <c r="C9" t="s">
        <v>80</v>
      </c>
      <c r="D9">
        <v>385</v>
      </c>
    </row>
    <row r="10" spans="1:7" x14ac:dyDescent="0.3">
      <c r="A10" t="s">
        <v>61</v>
      </c>
      <c r="B10" t="s">
        <v>62</v>
      </c>
      <c r="D10">
        <v>420</v>
      </c>
    </row>
    <row r="11" spans="1:7" x14ac:dyDescent="0.3">
      <c r="A11" t="s">
        <v>63</v>
      </c>
      <c r="B11" t="s">
        <v>64</v>
      </c>
      <c r="C11" t="s">
        <v>81</v>
      </c>
      <c r="D11">
        <v>349</v>
      </c>
      <c r="G11" t="s">
        <v>298</v>
      </c>
    </row>
    <row r="12" spans="1:7" x14ac:dyDescent="0.3">
      <c r="A12" t="s">
        <v>65</v>
      </c>
      <c r="B12" t="s">
        <v>64</v>
      </c>
      <c r="D12">
        <v>253</v>
      </c>
      <c r="G12">
        <f>COUNTA(C2:C21)</f>
        <v>12</v>
      </c>
    </row>
    <row r="13" spans="1:7" x14ac:dyDescent="0.3">
      <c r="A13" t="s">
        <v>66</v>
      </c>
      <c r="B13" t="s">
        <v>67</v>
      </c>
      <c r="C13" t="s">
        <v>71</v>
      </c>
      <c r="D13">
        <v>395</v>
      </c>
    </row>
    <row r="14" spans="1:7" x14ac:dyDescent="0.3">
      <c r="A14" t="s">
        <v>68</v>
      </c>
      <c r="B14" t="s">
        <v>64</v>
      </c>
      <c r="C14" t="s">
        <v>81</v>
      </c>
      <c r="D14">
        <v>310</v>
      </c>
    </row>
    <row r="15" spans="1:7" x14ac:dyDescent="0.3">
      <c r="A15" t="s">
        <v>69</v>
      </c>
      <c r="B15" t="s">
        <v>10</v>
      </c>
      <c r="D15">
        <v>475</v>
      </c>
    </row>
    <row r="16" spans="1:7" x14ac:dyDescent="0.3">
      <c r="A16" t="s">
        <v>70</v>
      </c>
      <c r="B16" t="s">
        <v>71</v>
      </c>
      <c r="C16" t="s">
        <v>80</v>
      </c>
      <c r="D16">
        <v>505</v>
      </c>
    </row>
    <row r="17" spans="1:4" x14ac:dyDescent="0.3">
      <c r="A17" t="s">
        <v>72</v>
      </c>
      <c r="B17" t="s">
        <v>51</v>
      </c>
      <c r="D17">
        <v>455</v>
      </c>
    </row>
    <row r="18" spans="1:4" x14ac:dyDescent="0.3">
      <c r="A18" t="s">
        <v>11</v>
      </c>
      <c r="B18" t="s">
        <v>8</v>
      </c>
      <c r="D18">
        <v>405</v>
      </c>
    </row>
    <row r="19" spans="1:4" x14ac:dyDescent="0.3">
      <c r="A19" t="s">
        <v>73</v>
      </c>
      <c r="B19" t="s">
        <v>71</v>
      </c>
      <c r="D19">
        <v>438</v>
      </c>
    </row>
    <row r="20" spans="1:4" x14ac:dyDescent="0.3">
      <c r="A20" t="s">
        <v>74</v>
      </c>
      <c r="B20" t="s">
        <v>75</v>
      </c>
      <c r="C20" t="s">
        <v>71</v>
      </c>
      <c r="D20">
        <v>310</v>
      </c>
    </row>
    <row r="21" spans="1:4" x14ac:dyDescent="0.3">
      <c r="A21" t="s">
        <v>76</v>
      </c>
      <c r="B21" t="s">
        <v>10</v>
      </c>
      <c r="D21">
        <v>200</v>
      </c>
    </row>
    <row r="22" spans="1:4" x14ac:dyDescent="0.3">
      <c r="A22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5433E-4EF8-4A2F-888D-DA12D422E992}">
  <sheetPr codeName="Sheet11"/>
  <dimension ref="A1:J22"/>
  <sheetViews>
    <sheetView workbookViewId="0">
      <selection activeCell="L12" sqref="L1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77</v>
      </c>
      <c r="D1" t="s">
        <v>49</v>
      </c>
    </row>
    <row r="2" spans="1:10" x14ac:dyDescent="0.3">
      <c r="A2" t="s">
        <v>50</v>
      </c>
      <c r="B2" t="s">
        <v>51</v>
      </c>
      <c r="D2">
        <v>305</v>
      </c>
    </row>
    <row r="3" spans="1:10" x14ac:dyDescent="0.3">
      <c r="A3" t="s">
        <v>52</v>
      </c>
      <c r="B3" t="s">
        <v>10</v>
      </c>
      <c r="C3" t="s">
        <v>51</v>
      </c>
      <c r="D3">
        <v>510</v>
      </c>
    </row>
    <row r="4" spans="1:10" x14ac:dyDescent="0.3">
      <c r="A4" t="s">
        <v>53</v>
      </c>
      <c r="B4" t="s">
        <v>4</v>
      </c>
      <c r="C4" t="s">
        <v>71</v>
      </c>
      <c r="D4">
        <v>490</v>
      </c>
    </row>
    <row r="5" spans="1:10" x14ac:dyDescent="0.3">
      <c r="A5" t="s">
        <v>54</v>
      </c>
      <c r="B5" t="s">
        <v>10</v>
      </c>
      <c r="C5" t="s">
        <v>71</v>
      </c>
      <c r="D5">
        <v>335</v>
      </c>
    </row>
    <row r="6" spans="1:10" x14ac:dyDescent="0.3">
      <c r="A6" t="s">
        <v>55</v>
      </c>
      <c r="B6" t="s">
        <v>56</v>
      </c>
      <c r="C6" t="s">
        <v>78</v>
      </c>
      <c r="D6">
        <v>465</v>
      </c>
      <c r="I6" t="s">
        <v>71</v>
      </c>
      <c r="J6">
        <f>COUNTIF(C2:C21,I6)</f>
        <v>4</v>
      </c>
    </row>
    <row r="7" spans="1:10" x14ac:dyDescent="0.3">
      <c r="A7" t="s">
        <v>57</v>
      </c>
      <c r="B7" t="s">
        <v>10</v>
      </c>
      <c r="C7" t="s">
        <v>79</v>
      </c>
      <c r="D7">
        <v>475</v>
      </c>
      <c r="I7" t="s">
        <v>79</v>
      </c>
      <c r="J7">
        <f>COUNTIF(C3:C22,I7)</f>
        <v>2</v>
      </c>
    </row>
    <row r="8" spans="1:10" x14ac:dyDescent="0.3">
      <c r="A8" t="s">
        <v>58</v>
      </c>
      <c r="B8" t="s">
        <v>10</v>
      </c>
      <c r="C8" t="s">
        <v>79</v>
      </c>
      <c r="D8">
        <v>525</v>
      </c>
    </row>
    <row r="9" spans="1:10" x14ac:dyDescent="0.3">
      <c r="A9" t="s">
        <v>59</v>
      </c>
      <c r="B9" t="s">
        <v>60</v>
      </c>
      <c r="C9" t="s">
        <v>80</v>
      </c>
      <c r="D9">
        <v>385</v>
      </c>
    </row>
    <row r="10" spans="1:10" x14ac:dyDescent="0.3">
      <c r="A10" t="s">
        <v>61</v>
      </c>
      <c r="B10" t="s">
        <v>62</v>
      </c>
      <c r="D10">
        <v>420</v>
      </c>
    </row>
    <row r="11" spans="1:10" x14ac:dyDescent="0.3">
      <c r="A11" t="s">
        <v>63</v>
      </c>
      <c r="B11" t="s">
        <v>64</v>
      </c>
      <c r="C11" t="s">
        <v>81</v>
      </c>
      <c r="D11">
        <v>349</v>
      </c>
    </row>
    <row r="12" spans="1:10" x14ac:dyDescent="0.3">
      <c r="A12" t="s">
        <v>65</v>
      </c>
      <c r="B12" t="s">
        <v>64</v>
      </c>
      <c r="D12">
        <v>253</v>
      </c>
    </row>
    <row r="13" spans="1:10" x14ac:dyDescent="0.3">
      <c r="A13" t="s">
        <v>66</v>
      </c>
      <c r="B13" t="s">
        <v>67</v>
      </c>
      <c r="C13" t="s">
        <v>71</v>
      </c>
      <c r="D13">
        <v>395</v>
      </c>
    </row>
    <row r="14" spans="1:10" x14ac:dyDescent="0.3">
      <c r="A14" t="s">
        <v>68</v>
      </c>
      <c r="B14" t="s">
        <v>64</v>
      </c>
      <c r="C14" t="s">
        <v>81</v>
      </c>
      <c r="D14">
        <v>310</v>
      </c>
    </row>
    <row r="15" spans="1:10" x14ac:dyDescent="0.3">
      <c r="A15" t="s">
        <v>69</v>
      </c>
      <c r="B15" t="s">
        <v>10</v>
      </c>
      <c r="D15">
        <v>475</v>
      </c>
    </row>
    <row r="16" spans="1:10" x14ac:dyDescent="0.3">
      <c r="A16" t="s">
        <v>70</v>
      </c>
      <c r="B16" t="s">
        <v>71</v>
      </c>
      <c r="C16" t="s">
        <v>80</v>
      </c>
      <c r="D16">
        <v>505</v>
      </c>
    </row>
    <row r="17" spans="1:4" x14ac:dyDescent="0.3">
      <c r="A17" t="s">
        <v>72</v>
      </c>
      <c r="B17" t="s">
        <v>51</v>
      </c>
      <c r="D17">
        <v>455</v>
      </c>
    </row>
    <row r="18" spans="1:4" x14ac:dyDescent="0.3">
      <c r="A18" t="s">
        <v>11</v>
      </c>
      <c r="B18" t="s">
        <v>8</v>
      </c>
      <c r="D18">
        <v>405</v>
      </c>
    </row>
    <row r="19" spans="1:4" x14ac:dyDescent="0.3">
      <c r="A19" t="s">
        <v>73</v>
      </c>
      <c r="B19" t="s">
        <v>71</v>
      </c>
      <c r="D19">
        <v>438</v>
      </c>
    </row>
    <row r="20" spans="1:4" x14ac:dyDescent="0.3">
      <c r="A20" t="s">
        <v>74</v>
      </c>
      <c r="B20" t="s">
        <v>75</v>
      </c>
      <c r="C20" t="s">
        <v>71</v>
      </c>
      <c r="D20">
        <v>310</v>
      </c>
    </row>
    <row r="21" spans="1:4" x14ac:dyDescent="0.3">
      <c r="A21" t="s">
        <v>76</v>
      </c>
      <c r="B21" t="s">
        <v>10</v>
      </c>
      <c r="D21">
        <v>200</v>
      </c>
    </row>
    <row r="22" spans="1:4" x14ac:dyDescent="0.3">
      <c r="A22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D20C8-5DFE-4348-A461-CC6F5EFEBA59}">
  <sheetPr codeName="Sheet12"/>
  <dimension ref="A1"/>
  <sheetViews>
    <sheetView workbookViewId="0">
      <selection activeCell="K28" sqref="K28"/>
    </sheetView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4EA42-2203-45C0-8ECB-37A382F29C5A}">
  <sheetPr codeName="Sheet13"/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2C9B1-7FB7-44DD-A54D-ACD79F33F973}">
  <sheetPr codeName="Sheet14"/>
  <dimension ref="A1"/>
  <sheetViews>
    <sheetView workbookViewId="0">
      <selection activeCell="N28" sqref="N28"/>
    </sheetView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212A8-8E76-4BB9-83A4-FBB6784E9272}">
  <sheetPr codeName="Sheet15"/>
  <dimension ref="A1:S32"/>
  <sheetViews>
    <sheetView topLeftCell="A16" workbookViewId="0">
      <selection activeCell="L27" sqref="L27"/>
    </sheetView>
  </sheetViews>
  <sheetFormatPr defaultRowHeight="14.4" x14ac:dyDescent="0.3"/>
  <cols>
    <col min="3" max="3" width="4.5546875" bestFit="1" customWidth="1"/>
    <col min="7" max="7" width="11" bestFit="1" customWidth="1"/>
    <col min="14" max="14" width="18.44140625" customWidth="1"/>
    <col min="15" max="15" width="23.77734375" customWidth="1"/>
  </cols>
  <sheetData>
    <row r="1" spans="1:19" x14ac:dyDescent="0.3">
      <c r="A1" s="5" t="s">
        <v>214</v>
      </c>
      <c r="B1" s="5" t="s">
        <v>207</v>
      </c>
      <c r="C1" s="8" t="s">
        <v>269</v>
      </c>
      <c r="D1" s="5" t="s">
        <v>208</v>
      </c>
      <c r="E1" s="8" t="s">
        <v>268</v>
      </c>
      <c r="F1" s="5" t="s">
        <v>212</v>
      </c>
      <c r="G1" s="5" t="s">
        <v>209</v>
      </c>
      <c r="H1" s="5" t="s">
        <v>210</v>
      </c>
      <c r="I1" s="5" t="s">
        <v>211</v>
      </c>
      <c r="J1" s="5" t="s">
        <v>272</v>
      </c>
    </row>
    <row r="2" spans="1:19" ht="15" thickBot="1" x14ac:dyDescent="0.35">
      <c r="A2" t="s">
        <v>241</v>
      </c>
      <c r="B2" t="s">
        <v>242</v>
      </c>
      <c r="C2" s="9" t="s">
        <v>267</v>
      </c>
      <c r="D2">
        <v>80</v>
      </c>
      <c r="E2" s="9">
        <v>10</v>
      </c>
      <c r="F2" t="s">
        <v>221</v>
      </c>
      <c r="G2">
        <v>6000000</v>
      </c>
      <c r="H2" t="s">
        <v>217</v>
      </c>
      <c r="I2" t="s">
        <v>243</v>
      </c>
      <c r="J2" t="str">
        <f>IF(AND(E3&gt;5,D2&gt;40),"YES","NO")</f>
        <v>YES</v>
      </c>
    </row>
    <row r="3" spans="1:19" x14ac:dyDescent="0.3">
      <c r="A3" t="s">
        <v>241</v>
      </c>
      <c r="B3" t="s">
        <v>249</v>
      </c>
      <c r="C3" s="9" t="s">
        <v>267</v>
      </c>
      <c r="D3">
        <v>150</v>
      </c>
      <c r="E3" s="9">
        <v>18</v>
      </c>
      <c r="F3" t="s">
        <v>221</v>
      </c>
      <c r="G3">
        <v>8000000</v>
      </c>
      <c r="H3" t="s">
        <v>217</v>
      </c>
      <c r="I3" t="s">
        <v>218</v>
      </c>
      <c r="J3" t="str">
        <f>IF(AND(E4&gt;5,D3&gt;40),"YES","NO")</f>
        <v>YES</v>
      </c>
      <c r="N3" s="11" t="s">
        <v>310</v>
      </c>
      <c r="O3" s="11"/>
      <c r="Q3" s="12"/>
      <c r="R3" s="12">
        <v>80</v>
      </c>
      <c r="S3" s="12">
        <v>10</v>
      </c>
    </row>
    <row r="4" spans="1:19" x14ac:dyDescent="0.3">
      <c r="A4" t="s">
        <v>238</v>
      </c>
      <c r="B4" t="s">
        <v>239</v>
      </c>
      <c r="C4" s="9" t="s">
        <v>267</v>
      </c>
      <c r="D4">
        <v>130</v>
      </c>
      <c r="E4" s="9">
        <v>10</v>
      </c>
      <c r="F4" t="s">
        <v>221</v>
      </c>
      <c r="G4">
        <v>10000000</v>
      </c>
      <c r="H4" t="s">
        <v>217</v>
      </c>
      <c r="I4" t="s">
        <v>240</v>
      </c>
      <c r="J4" t="str">
        <f>IF(AND(E5&gt;5,D4&gt;40),"YES","NO")</f>
        <v>NO</v>
      </c>
      <c r="Q4">
        <v>80</v>
      </c>
      <c r="R4">
        <v>1</v>
      </c>
    </row>
    <row r="5" spans="1:19" ht="15" thickBot="1" x14ac:dyDescent="0.35">
      <c r="A5" t="s">
        <v>252</v>
      </c>
      <c r="B5" t="s">
        <v>253</v>
      </c>
      <c r="C5" s="9" t="s">
        <v>267</v>
      </c>
      <c r="D5">
        <v>300</v>
      </c>
      <c r="E5" s="9">
        <v>2</v>
      </c>
      <c r="F5" t="s">
        <v>221</v>
      </c>
      <c r="G5">
        <v>1000000000</v>
      </c>
      <c r="H5" t="s">
        <v>217</v>
      </c>
      <c r="I5" t="s">
        <v>218</v>
      </c>
      <c r="J5" t="b">
        <f>AND(E5&gt;5,D5&gt;40)</f>
        <v>0</v>
      </c>
      <c r="N5" t="s">
        <v>311</v>
      </c>
      <c r="O5">
        <v>71108333.333333328</v>
      </c>
      <c r="Q5" s="10">
        <v>10</v>
      </c>
      <c r="R5" s="10">
        <v>-0.65596577602065342</v>
      </c>
      <c r="S5" s="10">
        <v>1</v>
      </c>
    </row>
    <row r="6" spans="1:19" x14ac:dyDescent="0.3">
      <c r="A6" t="s">
        <v>257</v>
      </c>
      <c r="B6" t="s">
        <v>258</v>
      </c>
      <c r="C6" s="9" t="s">
        <v>267</v>
      </c>
      <c r="D6">
        <v>20</v>
      </c>
      <c r="E6" s="9">
        <v>30</v>
      </c>
      <c r="F6" t="s">
        <v>216</v>
      </c>
      <c r="G6">
        <v>700000</v>
      </c>
      <c r="H6" t="s">
        <v>234</v>
      </c>
      <c r="I6" t="s">
        <v>218</v>
      </c>
      <c r="J6" t="str">
        <f t="shared" ref="J6:J25" si="0">IF(AND(E7&gt;5,D6&gt;40),"YES","NO")</f>
        <v>NO</v>
      </c>
      <c r="N6" t="s">
        <v>312</v>
      </c>
      <c r="O6">
        <v>43227887.836855382</v>
      </c>
    </row>
    <row r="7" spans="1:19" x14ac:dyDescent="0.3">
      <c r="A7" t="s">
        <v>232</v>
      </c>
      <c r="B7" t="s">
        <v>233</v>
      </c>
      <c r="C7" s="9" t="s">
        <v>267</v>
      </c>
      <c r="D7">
        <v>150</v>
      </c>
      <c r="E7" s="9">
        <v>3</v>
      </c>
      <c r="F7" t="s">
        <v>216</v>
      </c>
      <c r="G7">
        <v>150000000</v>
      </c>
      <c r="H7" t="s">
        <v>234</v>
      </c>
      <c r="I7" t="s">
        <v>222</v>
      </c>
      <c r="J7" t="str">
        <f t="shared" si="0"/>
        <v>YES</v>
      </c>
      <c r="N7" t="s">
        <v>313</v>
      </c>
      <c r="O7">
        <v>1600000</v>
      </c>
    </row>
    <row r="8" spans="1:19" x14ac:dyDescent="0.3">
      <c r="A8" t="s">
        <v>228</v>
      </c>
      <c r="B8" t="s">
        <v>229</v>
      </c>
      <c r="C8" s="9" t="s">
        <v>267</v>
      </c>
      <c r="D8">
        <v>30</v>
      </c>
      <c r="E8" s="9">
        <v>18</v>
      </c>
      <c r="F8" t="s">
        <v>221</v>
      </c>
      <c r="G8">
        <v>1700000</v>
      </c>
      <c r="H8" t="s">
        <v>217</v>
      </c>
      <c r="I8" t="s">
        <v>227</v>
      </c>
      <c r="J8" t="str">
        <f t="shared" si="0"/>
        <v>NO</v>
      </c>
      <c r="N8" t="s">
        <v>314</v>
      </c>
      <c r="O8">
        <v>1500000</v>
      </c>
    </row>
    <row r="9" spans="1:19" x14ac:dyDescent="0.3">
      <c r="A9" t="s">
        <v>228</v>
      </c>
      <c r="B9" t="s">
        <v>261</v>
      </c>
      <c r="C9" s="9" t="s">
        <v>267</v>
      </c>
      <c r="D9">
        <v>35</v>
      </c>
      <c r="E9" s="9">
        <v>23</v>
      </c>
      <c r="F9" t="s">
        <v>216</v>
      </c>
      <c r="G9">
        <v>900000</v>
      </c>
      <c r="H9" t="s">
        <v>217</v>
      </c>
      <c r="I9" t="s">
        <v>262</v>
      </c>
      <c r="J9" t="str">
        <f t="shared" si="0"/>
        <v>NO</v>
      </c>
      <c r="N9" t="s">
        <v>315</v>
      </c>
      <c r="O9">
        <v>211772535.71711791</v>
      </c>
    </row>
    <row r="10" spans="1:19" x14ac:dyDescent="0.3">
      <c r="A10" t="s">
        <v>235</v>
      </c>
      <c r="B10" t="s">
        <v>236</v>
      </c>
      <c r="C10" s="9" t="s">
        <v>267</v>
      </c>
      <c r="D10">
        <v>120</v>
      </c>
      <c r="E10" s="9">
        <v>5</v>
      </c>
      <c r="F10" t="s">
        <v>221</v>
      </c>
      <c r="G10">
        <v>200000000</v>
      </c>
      <c r="H10" t="s">
        <v>217</v>
      </c>
      <c r="I10" t="s">
        <v>237</v>
      </c>
      <c r="J10" t="str">
        <f t="shared" si="0"/>
        <v>YES</v>
      </c>
      <c r="N10" t="s">
        <v>316</v>
      </c>
      <c r="O10">
        <v>4.4847606884057976E+16</v>
      </c>
    </row>
    <row r="11" spans="1:19" x14ac:dyDescent="0.3">
      <c r="A11" t="s">
        <v>213</v>
      </c>
      <c r="B11" t="s">
        <v>215</v>
      </c>
      <c r="C11" s="9" t="s">
        <v>267</v>
      </c>
      <c r="D11">
        <v>50</v>
      </c>
      <c r="E11" s="9">
        <v>8</v>
      </c>
      <c r="F11" t="s">
        <v>216</v>
      </c>
      <c r="G11">
        <v>1900000</v>
      </c>
      <c r="H11" t="s">
        <v>217</v>
      </c>
      <c r="I11" t="s">
        <v>218</v>
      </c>
      <c r="J11" t="str">
        <f t="shared" si="0"/>
        <v>YES</v>
      </c>
      <c r="N11" t="s">
        <v>317</v>
      </c>
      <c r="O11">
        <v>17.563986305651383</v>
      </c>
    </row>
    <row r="12" spans="1:19" x14ac:dyDescent="0.3">
      <c r="A12" t="s">
        <v>213</v>
      </c>
      <c r="B12" t="s">
        <v>256</v>
      </c>
      <c r="C12" s="9" t="s">
        <v>267</v>
      </c>
      <c r="D12">
        <v>40</v>
      </c>
      <c r="E12" s="9">
        <v>15</v>
      </c>
      <c r="F12" t="s">
        <v>216</v>
      </c>
      <c r="G12">
        <v>1500000</v>
      </c>
      <c r="H12" t="s">
        <v>234</v>
      </c>
      <c r="I12" t="s">
        <v>218</v>
      </c>
      <c r="J12" t="str">
        <f t="shared" si="0"/>
        <v>NO</v>
      </c>
      <c r="N12" t="s">
        <v>318</v>
      </c>
      <c r="O12">
        <v>4.0436971295869393</v>
      </c>
    </row>
    <row r="13" spans="1:19" x14ac:dyDescent="0.3">
      <c r="A13" t="s">
        <v>213</v>
      </c>
      <c r="B13" t="s">
        <v>260</v>
      </c>
      <c r="C13" s="9" t="s">
        <v>267</v>
      </c>
      <c r="D13">
        <v>40</v>
      </c>
      <c r="E13" s="9">
        <v>15</v>
      </c>
      <c r="F13" t="s">
        <v>216</v>
      </c>
      <c r="G13">
        <v>1500000</v>
      </c>
      <c r="H13" t="s">
        <v>234</v>
      </c>
      <c r="I13" t="s">
        <v>243</v>
      </c>
      <c r="J13" t="str">
        <f t="shared" si="0"/>
        <v>NO</v>
      </c>
      <c r="N13" t="s">
        <v>319</v>
      </c>
      <c r="O13">
        <v>999700000</v>
      </c>
    </row>
    <row r="14" spans="1:19" x14ac:dyDescent="0.3">
      <c r="A14" t="s">
        <v>244</v>
      </c>
      <c r="B14" t="s">
        <v>245</v>
      </c>
      <c r="C14" s="9" t="s">
        <v>267</v>
      </c>
      <c r="D14">
        <v>15</v>
      </c>
      <c r="E14" s="9">
        <v>20</v>
      </c>
      <c r="F14" t="s">
        <v>216</v>
      </c>
      <c r="G14">
        <v>300000</v>
      </c>
      <c r="H14" t="s">
        <v>217</v>
      </c>
      <c r="I14" t="s">
        <v>222</v>
      </c>
      <c r="J14" t="str">
        <f t="shared" si="0"/>
        <v>NO</v>
      </c>
      <c r="N14" t="s">
        <v>320</v>
      </c>
      <c r="O14">
        <v>300000</v>
      </c>
    </row>
    <row r="15" spans="1:19" x14ac:dyDescent="0.3">
      <c r="A15" t="s">
        <v>244</v>
      </c>
      <c r="B15" t="s">
        <v>255</v>
      </c>
      <c r="C15" s="9" t="s">
        <v>267</v>
      </c>
      <c r="D15">
        <v>30</v>
      </c>
      <c r="E15" s="9">
        <v>25</v>
      </c>
      <c r="F15" t="s">
        <v>216</v>
      </c>
      <c r="G15">
        <v>300000</v>
      </c>
      <c r="H15" t="s">
        <v>217</v>
      </c>
      <c r="I15" t="s">
        <v>222</v>
      </c>
      <c r="J15" t="str">
        <f t="shared" si="0"/>
        <v>NO</v>
      </c>
      <c r="N15" t="s">
        <v>321</v>
      </c>
      <c r="O15">
        <v>1000000000</v>
      </c>
    </row>
    <row r="16" spans="1:19" x14ac:dyDescent="0.3">
      <c r="A16" t="s">
        <v>230</v>
      </c>
      <c r="B16" t="s">
        <v>231</v>
      </c>
      <c r="C16" s="9" t="s">
        <v>267</v>
      </c>
      <c r="D16">
        <v>100</v>
      </c>
      <c r="E16" s="9">
        <v>6</v>
      </c>
      <c r="F16" t="s">
        <v>216</v>
      </c>
      <c r="G16">
        <v>10000000</v>
      </c>
      <c r="H16" t="s">
        <v>217</v>
      </c>
      <c r="I16" t="s">
        <v>218</v>
      </c>
      <c r="J16" t="str">
        <f t="shared" si="0"/>
        <v>YES</v>
      </c>
      <c r="N16" t="s">
        <v>322</v>
      </c>
      <c r="O16">
        <v>1706600000</v>
      </c>
    </row>
    <row r="17" spans="1:15" ht="15" thickBot="1" x14ac:dyDescent="0.35">
      <c r="A17" t="s">
        <v>250</v>
      </c>
      <c r="B17" t="s">
        <v>251</v>
      </c>
      <c r="C17" s="9" t="s">
        <v>267</v>
      </c>
      <c r="D17">
        <v>80</v>
      </c>
      <c r="E17" s="9">
        <v>12</v>
      </c>
      <c r="F17" t="s">
        <v>216</v>
      </c>
      <c r="G17">
        <v>2500000</v>
      </c>
      <c r="H17" t="s">
        <v>217</v>
      </c>
      <c r="I17" t="s">
        <v>222</v>
      </c>
      <c r="J17" t="str">
        <f t="shared" si="0"/>
        <v>YES</v>
      </c>
      <c r="N17" s="10" t="s">
        <v>323</v>
      </c>
      <c r="O17" s="10">
        <v>24</v>
      </c>
    </row>
    <row r="18" spans="1:15" x14ac:dyDescent="0.3">
      <c r="A18" t="s">
        <v>264</v>
      </c>
      <c r="B18" t="s">
        <v>265</v>
      </c>
      <c r="C18" s="9" t="s">
        <v>267</v>
      </c>
      <c r="D18">
        <v>40</v>
      </c>
      <c r="E18" s="9">
        <v>15</v>
      </c>
      <c r="F18" t="s">
        <v>216</v>
      </c>
      <c r="G18">
        <v>800000</v>
      </c>
      <c r="H18" t="s">
        <v>217</v>
      </c>
      <c r="I18" t="s">
        <v>222</v>
      </c>
      <c r="J18" t="str">
        <f t="shared" si="0"/>
        <v>NO</v>
      </c>
    </row>
    <row r="19" spans="1:15" x14ac:dyDescent="0.3">
      <c r="A19" t="s">
        <v>246</v>
      </c>
      <c r="B19" t="s">
        <v>247</v>
      </c>
      <c r="C19" s="9" t="s">
        <v>267</v>
      </c>
      <c r="D19">
        <v>200</v>
      </c>
      <c r="E19" s="9">
        <v>5</v>
      </c>
      <c r="F19" t="s">
        <v>221</v>
      </c>
      <c r="G19">
        <v>300000000</v>
      </c>
      <c r="H19" t="s">
        <v>217</v>
      </c>
      <c r="I19" t="s">
        <v>248</v>
      </c>
      <c r="J19" t="str">
        <f t="shared" si="0"/>
        <v>YES</v>
      </c>
    </row>
    <row r="20" spans="1:15" x14ac:dyDescent="0.3">
      <c r="A20" t="s">
        <v>225</v>
      </c>
      <c r="B20" t="s">
        <v>226</v>
      </c>
      <c r="C20" s="9" t="s">
        <v>267</v>
      </c>
      <c r="D20">
        <v>30</v>
      </c>
      <c r="E20" s="9">
        <v>15</v>
      </c>
      <c r="F20" t="s">
        <v>221</v>
      </c>
      <c r="G20">
        <v>800000</v>
      </c>
      <c r="H20" t="s">
        <v>217</v>
      </c>
      <c r="I20" t="s">
        <v>227</v>
      </c>
      <c r="J20" t="str">
        <f t="shared" si="0"/>
        <v>NO</v>
      </c>
    </row>
    <row r="21" spans="1:15" x14ac:dyDescent="0.3">
      <c r="A21" t="s">
        <v>225</v>
      </c>
      <c r="B21" t="s">
        <v>254</v>
      </c>
      <c r="C21" s="9" t="s">
        <v>267</v>
      </c>
      <c r="D21">
        <v>50</v>
      </c>
      <c r="E21" s="9">
        <v>10</v>
      </c>
      <c r="F21" t="s">
        <v>216</v>
      </c>
      <c r="G21">
        <v>1200000</v>
      </c>
      <c r="H21" t="s">
        <v>234</v>
      </c>
      <c r="I21" t="s">
        <v>218</v>
      </c>
      <c r="J21" t="str">
        <f t="shared" si="0"/>
        <v>YES</v>
      </c>
    </row>
    <row r="22" spans="1:15" x14ac:dyDescent="0.3">
      <c r="A22" t="s">
        <v>225</v>
      </c>
      <c r="B22" t="s">
        <v>259</v>
      </c>
      <c r="C22" s="9" t="s">
        <v>267</v>
      </c>
      <c r="D22">
        <v>45</v>
      </c>
      <c r="E22" s="9">
        <v>12</v>
      </c>
      <c r="F22" t="s">
        <v>216</v>
      </c>
      <c r="G22">
        <v>1200000</v>
      </c>
      <c r="H22" t="s">
        <v>234</v>
      </c>
      <c r="I22" t="s">
        <v>227</v>
      </c>
      <c r="J22" t="str">
        <f t="shared" si="0"/>
        <v>YES</v>
      </c>
      <c r="N22" t="s">
        <v>324</v>
      </c>
      <c r="O22" t="s">
        <v>325</v>
      </c>
    </row>
    <row r="23" spans="1:15" x14ac:dyDescent="0.3">
      <c r="A23" t="s">
        <v>225</v>
      </c>
      <c r="B23" t="s">
        <v>263</v>
      </c>
      <c r="C23" s="9" t="s">
        <v>267</v>
      </c>
      <c r="D23">
        <v>45</v>
      </c>
      <c r="E23" s="9">
        <v>20</v>
      </c>
      <c r="F23" t="s">
        <v>221</v>
      </c>
      <c r="G23">
        <v>1100000</v>
      </c>
      <c r="H23" t="s">
        <v>217</v>
      </c>
      <c r="I23" t="s">
        <v>243</v>
      </c>
      <c r="J23" t="str">
        <f t="shared" si="0"/>
        <v>YES</v>
      </c>
    </row>
    <row r="24" spans="1:15" x14ac:dyDescent="0.3">
      <c r="A24" t="s">
        <v>219</v>
      </c>
      <c r="B24" t="s">
        <v>220</v>
      </c>
      <c r="C24" s="9" t="s">
        <v>267</v>
      </c>
      <c r="D24">
        <v>35</v>
      </c>
      <c r="E24" s="9">
        <v>12</v>
      </c>
      <c r="F24" t="s">
        <v>221</v>
      </c>
      <c r="G24">
        <v>1500000</v>
      </c>
      <c r="H24" t="s">
        <v>217</v>
      </c>
      <c r="I24" t="s">
        <v>222</v>
      </c>
      <c r="J24" t="str">
        <f t="shared" si="0"/>
        <v>NO</v>
      </c>
      <c r="N24" t="s">
        <v>326</v>
      </c>
    </row>
    <row r="25" spans="1:15" x14ac:dyDescent="0.3">
      <c r="A25" t="s">
        <v>223</v>
      </c>
      <c r="B25" t="s">
        <v>224</v>
      </c>
      <c r="C25" s="9" t="s">
        <v>267</v>
      </c>
      <c r="D25">
        <v>45</v>
      </c>
      <c r="E25" s="9">
        <v>10</v>
      </c>
      <c r="F25" t="s">
        <v>216</v>
      </c>
      <c r="G25">
        <v>4700000</v>
      </c>
      <c r="H25" t="s">
        <v>217</v>
      </c>
      <c r="I25" t="s">
        <v>218</v>
      </c>
      <c r="J25" t="str">
        <f t="shared" si="0"/>
        <v>NO</v>
      </c>
      <c r="N25" t="s">
        <v>327</v>
      </c>
    </row>
    <row r="26" spans="1:15" x14ac:dyDescent="0.3">
      <c r="G26">
        <f>AVERAGE(G2:G25)</f>
        <v>71108333.333333328</v>
      </c>
    </row>
    <row r="29" spans="1:15" x14ac:dyDescent="0.3">
      <c r="G29" t="s">
        <v>328</v>
      </c>
      <c r="H29">
        <f>CORREL(E2:E25,G2:G25)</f>
        <v>-0.49372919085687944</v>
      </c>
    </row>
    <row r="32" spans="1:15" x14ac:dyDescent="0.3">
      <c r="G32">
        <f>CORREL(D2:D25,E2:E25)</f>
        <v>-0.65350600538239867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833F3-634B-4575-85B8-8AF95276EDF2}">
  <sheetPr codeName="Sheet16"/>
  <dimension ref="A1:U58"/>
  <sheetViews>
    <sheetView topLeftCell="A31" zoomScale="130" zoomScaleNormal="130" workbookViewId="0">
      <selection activeCell="L47" sqref="L47"/>
    </sheetView>
  </sheetViews>
  <sheetFormatPr defaultRowHeight="14.4" x14ac:dyDescent="0.3"/>
  <cols>
    <col min="1" max="1" width="13.88671875" bestFit="1" customWidth="1"/>
    <col min="2" max="2" width="10.6640625" bestFit="1" customWidth="1"/>
    <col min="7" max="7" width="11" bestFit="1" customWidth="1"/>
    <col min="13" max="13" width="19.44140625" bestFit="1" customWidth="1"/>
  </cols>
  <sheetData>
    <row r="1" spans="1:14" x14ac:dyDescent="0.3">
      <c r="A1" t="s">
        <v>329</v>
      </c>
      <c r="M1" t="s">
        <v>330</v>
      </c>
    </row>
    <row r="2" spans="1:14" ht="15" thickBot="1" x14ac:dyDescent="0.35">
      <c r="A2" s="5" t="s">
        <v>214</v>
      </c>
      <c r="B2" s="5" t="s">
        <v>207</v>
      </c>
      <c r="C2" s="8" t="s">
        <v>269</v>
      </c>
      <c r="D2" s="5" t="s">
        <v>208</v>
      </c>
      <c r="E2" s="8" t="s">
        <v>268</v>
      </c>
      <c r="F2" s="5" t="s">
        <v>212</v>
      </c>
      <c r="G2" s="5" t="s">
        <v>209</v>
      </c>
      <c r="H2" s="5" t="s">
        <v>210</v>
      </c>
      <c r="I2" s="5" t="s">
        <v>211</v>
      </c>
    </row>
    <row r="3" spans="1:14" x14ac:dyDescent="0.3">
      <c r="A3" t="s">
        <v>241</v>
      </c>
      <c r="B3" t="s">
        <v>242</v>
      </c>
      <c r="C3" s="9" t="s">
        <v>267</v>
      </c>
      <c r="D3">
        <v>80</v>
      </c>
      <c r="E3" s="9">
        <v>10</v>
      </c>
      <c r="F3" t="s">
        <v>221</v>
      </c>
      <c r="G3">
        <v>6000000</v>
      </c>
      <c r="H3" t="s">
        <v>217</v>
      </c>
      <c r="I3" t="s">
        <v>243</v>
      </c>
      <c r="M3" s="11" t="s">
        <v>331</v>
      </c>
    </row>
    <row r="4" spans="1:14" x14ac:dyDescent="0.3">
      <c r="A4" t="s">
        <v>241</v>
      </c>
      <c r="B4" t="s">
        <v>249</v>
      </c>
      <c r="C4" s="9" t="s">
        <v>267</v>
      </c>
      <c r="D4">
        <v>150</v>
      </c>
      <c r="E4" s="9">
        <v>18</v>
      </c>
      <c r="F4" t="s">
        <v>221</v>
      </c>
      <c r="G4">
        <v>8000000</v>
      </c>
      <c r="H4" t="s">
        <v>217</v>
      </c>
      <c r="I4" t="s">
        <v>218</v>
      </c>
      <c r="M4" t="s">
        <v>332</v>
      </c>
    </row>
    <row r="5" spans="1:14" x14ac:dyDescent="0.3">
      <c r="A5" t="s">
        <v>238</v>
      </c>
      <c r="B5" t="s">
        <v>239</v>
      </c>
      <c r="C5" s="9" t="s">
        <v>267</v>
      </c>
      <c r="D5">
        <v>130</v>
      </c>
      <c r="E5" s="9">
        <v>10</v>
      </c>
      <c r="F5" t="s">
        <v>221</v>
      </c>
      <c r="G5">
        <v>10000000</v>
      </c>
      <c r="H5" t="s">
        <v>217</v>
      </c>
      <c r="I5" t="s">
        <v>240</v>
      </c>
      <c r="M5" t="s">
        <v>333</v>
      </c>
    </row>
    <row r="6" spans="1:14" x14ac:dyDescent="0.3">
      <c r="A6" t="s">
        <v>252</v>
      </c>
      <c r="B6" t="s">
        <v>253</v>
      </c>
      <c r="C6" s="9" t="s">
        <v>267</v>
      </c>
      <c r="D6">
        <v>300</v>
      </c>
      <c r="E6" s="9">
        <v>2</v>
      </c>
      <c r="F6" t="s">
        <v>221</v>
      </c>
      <c r="G6">
        <v>1000000000</v>
      </c>
      <c r="H6" t="s">
        <v>217</v>
      </c>
      <c r="I6" t="s">
        <v>218</v>
      </c>
      <c r="M6" t="s">
        <v>334</v>
      </c>
    </row>
    <row r="7" spans="1:14" x14ac:dyDescent="0.3">
      <c r="A7" t="s">
        <v>257</v>
      </c>
      <c r="B7" t="s">
        <v>258</v>
      </c>
      <c r="C7" s="9" t="s">
        <v>267</v>
      </c>
      <c r="D7">
        <v>20</v>
      </c>
      <c r="E7" s="9">
        <v>30</v>
      </c>
      <c r="F7" t="s">
        <v>216</v>
      </c>
      <c r="G7">
        <v>700000</v>
      </c>
      <c r="H7" t="s">
        <v>234</v>
      </c>
      <c r="I7" t="s">
        <v>218</v>
      </c>
      <c r="M7" t="s">
        <v>312</v>
      </c>
    </row>
    <row r="8" spans="1:14" ht="15" thickBot="1" x14ac:dyDescent="0.35">
      <c r="A8" t="s">
        <v>232</v>
      </c>
      <c r="B8" t="s">
        <v>233</v>
      </c>
      <c r="C8" s="9" t="s">
        <v>267</v>
      </c>
      <c r="D8">
        <v>150</v>
      </c>
      <c r="E8" s="9">
        <v>3</v>
      </c>
      <c r="F8" t="s">
        <v>216</v>
      </c>
      <c r="G8">
        <v>150000000</v>
      </c>
      <c r="H8" t="s">
        <v>234</v>
      </c>
      <c r="I8" t="s">
        <v>222</v>
      </c>
      <c r="M8" s="10" t="s">
        <v>335</v>
      </c>
    </row>
    <row r="9" spans="1:14" x14ac:dyDescent="0.3">
      <c r="A9" t="s">
        <v>228</v>
      </c>
      <c r="B9" t="s">
        <v>229</v>
      </c>
      <c r="C9" s="9" t="s">
        <v>267</v>
      </c>
      <c r="D9">
        <v>30</v>
      </c>
      <c r="E9" s="9">
        <v>18</v>
      </c>
      <c r="F9" t="s">
        <v>221</v>
      </c>
      <c r="G9">
        <v>1700000</v>
      </c>
      <c r="H9" t="s">
        <v>217</v>
      </c>
      <c r="I9" t="s">
        <v>227</v>
      </c>
    </row>
    <row r="10" spans="1:14" ht="15" thickBot="1" x14ac:dyDescent="0.35">
      <c r="A10" t="s">
        <v>228</v>
      </c>
      <c r="B10" t="s">
        <v>261</v>
      </c>
      <c r="C10" s="9" t="s">
        <v>267</v>
      </c>
      <c r="D10">
        <v>35</v>
      </c>
      <c r="E10" s="9">
        <v>23</v>
      </c>
      <c r="F10" t="s">
        <v>216</v>
      </c>
      <c r="G10">
        <v>900000</v>
      </c>
      <c r="H10" t="s">
        <v>217</v>
      </c>
      <c r="I10" t="s">
        <v>262</v>
      </c>
      <c r="M10" t="s">
        <v>336</v>
      </c>
    </row>
    <row r="11" spans="1:14" x14ac:dyDescent="0.3">
      <c r="A11" t="s">
        <v>235</v>
      </c>
      <c r="B11" t="s">
        <v>236</v>
      </c>
      <c r="C11" s="9" t="s">
        <v>267</v>
      </c>
      <c r="D11">
        <v>120</v>
      </c>
      <c r="E11" s="9">
        <v>5</v>
      </c>
      <c r="F11" t="s">
        <v>221</v>
      </c>
      <c r="G11">
        <v>200000000</v>
      </c>
      <c r="H11" t="s">
        <v>217</v>
      </c>
      <c r="I11" t="s">
        <v>237</v>
      </c>
      <c r="M11" s="12"/>
    </row>
    <row r="12" spans="1:14" ht="15" thickBot="1" x14ac:dyDescent="0.35">
      <c r="A12" t="s">
        <v>213</v>
      </c>
      <c r="B12" t="s">
        <v>215</v>
      </c>
      <c r="C12" s="9" t="s">
        <v>267</v>
      </c>
      <c r="D12">
        <v>50</v>
      </c>
      <c r="E12" s="9">
        <v>8</v>
      </c>
      <c r="F12" t="s">
        <v>216</v>
      </c>
      <c r="G12">
        <v>1900000</v>
      </c>
      <c r="H12" t="s">
        <v>217</v>
      </c>
      <c r="I12" t="s">
        <v>218</v>
      </c>
      <c r="M12" t="s">
        <v>337</v>
      </c>
    </row>
    <row r="13" spans="1:14" x14ac:dyDescent="0.3">
      <c r="A13" t="s">
        <v>213</v>
      </c>
      <c r="B13" t="s">
        <v>256</v>
      </c>
      <c r="C13" s="9" t="s">
        <v>267</v>
      </c>
      <c r="D13">
        <v>40</v>
      </c>
      <c r="E13" s="9">
        <v>15</v>
      </c>
      <c r="F13" t="s">
        <v>216</v>
      </c>
      <c r="G13">
        <v>1500000</v>
      </c>
      <c r="H13" t="s">
        <v>234</v>
      </c>
      <c r="I13" t="s">
        <v>218</v>
      </c>
      <c r="M13" t="s">
        <v>338</v>
      </c>
      <c r="N13" s="11"/>
    </row>
    <row r="14" spans="1:14" ht="15" thickBot="1" x14ac:dyDescent="0.35">
      <c r="A14" t="s">
        <v>213</v>
      </c>
      <c r="B14" t="s">
        <v>260</v>
      </c>
      <c r="C14" s="9" t="s">
        <v>267</v>
      </c>
      <c r="D14">
        <v>40</v>
      </c>
      <c r="E14" s="9">
        <v>15</v>
      </c>
      <c r="F14" t="s">
        <v>216</v>
      </c>
      <c r="G14">
        <v>1500000</v>
      </c>
      <c r="H14" t="s">
        <v>234</v>
      </c>
      <c r="I14" t="s">
        <v>243</v>
      </c>
      <c r="M14" s="10" t="s">
        <v>339</v>
      </c>
      <c r="N14">
        <v>0.47475758291438036</v>
      </c>
    </row>
    <row r="15" spans="1:14" ht="15" thickBot="1" x14ac:dyDescent="0.35">
      <c r="A15" t="s">
        <v>244</v>
      </c>
      <c r="B15" t="s">
        <v>245</v>
      </c>
      <c r="C15" s="9" t="s">
        <v>267</v>
      </c>
      <c r="D15">
        <v>15</v>
      </c>
      <c r="E15" s="9">
        <v>20</v>
      </c>
      <c r="F15" t="s">
        <v>216</v>
      </c>
      <c r="G15">
        <v>300000</v>
      </c>
      <c r="H15" t="s">
        <v>217</v>
      </c>
      <c r="I15" t="s">
        <v>222</v>
      </c>
      <c r="N15">
        <v>0.22539476253470472</v>
      </c>
    </row>
    <row r="16" spans="1:14" x14ac:dyDescent="0.3">
      <c r="A16" t="s">
        <v>244</v>
      </c>
      <c r="B16" t="s">
        <v>255</v>
      </c>
      <c r="C16" s="9" t="s">
        <v>267</v>
      </c>
      <c r="D16">
        <v>30</v>
      </c>
      <c r="E16" s="9">
        <v>25</v>
      </c>
      <c r="F16" t="s">
        <v>216</v>
      </c>
      <c r="G16">
        <v>300000</v>
      </c>
      <c r="H16" t="s">
        <v>217</v>
      </c>
      <c r="I16" t="s">
        <v>222</v>
      </c>
      <c r="M16" s="12"/>
      <c r="N16">
        <v>0.18191650166513948</v>
      </c>
    </row>
    <row r="17" spans="1:21" x14ac:dyDescent="0.3">
      <c r="A17" t="s">
        <v>230</v>
      </c>
      <c r="B17" t="s">
        <v>231</v>
      </c>
      <c r="C17" s="9" t="s">
        <v>267</v>
      </c>
      <c r="D17">
        <v>100</v>
      </c>
      <c r="E17" s="9">
        <v>6</v>
      </c>
      <c r="F17" t="s">
        <v>216</v>
      </c>
      <c r="G17">
        <v>10000000</v>
      </c>
      <c r="H17" t="s">
        <v>217</v>
      </c>
      <c r="I17" t="s">
        <v>218</v>
      </c>
      <c r="M17" t="s">
        <v>340</v>
      </c>
      <c r="N17">
        <v>13.481943587467676</v>
      </c>
    </row>
    <row r="18" spans="1:21" ht="15" thickBot="1" x14ac:dyDescent="0.35">
      <c r="A18" t="s">
        <v>250</v>
      </c>
      <c r="B18" t="s">
        <v>251</v>
      </c>
      <c r="C18" s="9" t="s">
        <v>267</v>
      </c>
      <c r="D18">
        <v>80</v>
      </c>
      <c r="E18" s="9">
        <v>12</v>
      </c>
      <c r="F18" t="s">
        <v>216</v>
      </c>
      <c r="G18">
        <v>2500000</v>
      </c>
      <c r="H18" t="s">
        <v>217</v>
      </c>
      <c r="I18" t="s">
        <v>222</v>
      </c>
      <c r="M18" s="10" t="s">
        <v>353</v>
      </c>
      <c r="N18" s="10">
        <v>24</v>
      </c>
    </row>
    <row r="19" spans="1:21" x14ac:dyDescent="0.3">
      <c r="A19" t="s">
        <v>264</v>
      </c>
      <c r="B19" t="s">
        <v>265</v>
      </c>
      <c r="C19" s="9" t="s">
        <v>267</v>
      </c>
      <c r="D19">
        <v>40</v>
      </c>
      <c r="E19" s="9">
        <v>15</v>
      </c>
      <c r="F19" t="s">
        <v>216</v>
      </c>
      <c r="G19">
        <v>800000</v>
      </c>
      <c r="H19" t="s">
        <v>217</v>
      </c>
      <c r="I19" t="s">
        <v>222</v>
      </c>
    </row>
    <row r="20" spans="1:21" ht="15" thickBot="1" x14ac:dyDescent="0.35">
      <c r="A20" t="s">
        <v>246</v>
      </c>
      <c r="B20" t="s">
        <v>247</v>
      </c>
      <c r="C20" s="9" t="s">
        <v>267</v>
      </c>
      <c r="D20">
        <v>200</v>
      </c>
      <c r="E20" s="9">
        <v>5</v>
      </c>
      <c r="F20" t="s">
        <v>221</v>
      </c>
      <c r="G20">
        <v>300000000</v>
      </c>
      <c r="H20" t="s">
        <v>217</v>
      </c>
      <c r="I20" t="s">
        <v>248</v>
      </c>
    </row>
    <row r="21" spans="1:21" x14ac:dyDescent="0.3">
      <c r="A21" t="s">
        <v>225</v>
      </c>
      <c r="B21" t="s">
        <v>226</v>
      </c>
      <c r="C21" s="9" t="s">
        <v>267</v>
      </c>
      <c r="D21">
        <v>30</v>
      </c>
      <c r="E21" s="9">
        <v>15</v>
      </c>
      <c r="F21" t="s">
        <v>221</v>
      </c>
      <c r="G21">
        <v>800000</v>
      </c>
      <c r="H21" t="s">
        <v>217</v>
      </c>
      <c r="I21" t="s">
        <v>227</v>
      </c>
      <c r="N21" s="12" t="s">
        <v>341</v>
      </c>
      <c r="O21" s="12" t="s">
        <v>342</v>
      </c>
      <c r="P21" s="12" t="s">
        <v>343</v>
      </c>
      <c r="Q21" s="12" t="s">
        <v>344</v>
      </c>
      <c r="R21" s="12" t="s">
        <v>345</v>
      </c>
    </row>
    <row r="22" spans="1:21" x14ac:dyDescent="0.3">
      <c r="A22" t="s">
        <v>225</v>
      </c>
      <c r="B22" t="s">
        <v>254</v>
      </c>
      <c r="C22" s="9" t="s">
        <v>267</v>
      </c>
      <c r="D22">
        <v>50</v>
      </c>
      <c r="E22" s="9">
        <v>10</v>
      </c>
      <c r="F22" t="s">
        <v>216</v>
      </c>
      <c r="G22">
        <v>1200000</v>
      </c>
      <c r="H22" t="s">
        <v>234</v>
      </c>
      <c r="I22" t="s">
        <v>218</v>
      </c>
      <c r="M22" t="s">
        <v>354</v>
      </c>
      <c r="N22">
        <v>1</v>
      </c>
      <c r="O22">
        <v>1216.4555333998014</v>
      </c>
      <c r="P22">
        <v>1216.4555333998014</v>
      </c>
      <c r="Q22">
        <v>6.6925438759771776</v>
      </c>
      <c r="R22">
        <v>1.682282618601233E-2</v>
      </c>
    </row>
    <row r="23" spans="1:21" ht="15" thickBot="1" x14ac:dyDescent="0.35">
      <c r="A23" t="s">
        <v>225</v>
      </c>
      <c r="B23" t="s">
        <v>259</v>
      </c>
      <c r="C23" s="9" t="s">
        <v>267</v>
      </c>
      <c r="D23">
        <v>45</v>
      </c>
      <c r="E23" s="9">
        <v>12</v>
      </c>
      <c r="F23" t="s">
        <v>216</v>
      </c>
      <c r="G23">
        <v>1200000</v>
      </c>
      <c r="H23" t="s">
        <v>234</v>
      </c>
      <c r="I23" t="s">
        <v>227</v>
      </c>
      <c r="N23">
        <v>23</v>
      </c>
      <c r="O23">
        <v>4180.5444666001986</v>
      </c>
      <c r="P23">
        <v>181.7628028956608</v>
      </c>
    </row>
    <row r="24" spans="1:21" ht="15" thickBot="1" x14ac:dyDescent="0.35">
      <c r="A24" t="s">
        <v>225</v>
      </c>
      <c r="B24" t="s">
        <v>263</v>
      </c>
      <c r="C24" s="9" t="s">
        <v>267</v>
      </c>
      <c r="D24">
        <v>45</v>
      </c>
      <c r="E24" s="9">
        <v>20</v>
      </c>
      <c r="F24" t="s">
        <v>221</v>
      </c>
      <c r="G24">
        <v>1100000</v>
      </c>
      <c r="H24" t="s">
        <v>217</v>
      </c>
      <c r="I24" t="s">
        <v>243</v>
      </c>
      <c r="M24" s="12" t="s">
        <v>355</v>
      </c>
      <c r="N24" s="10">
        <v>24</v>
      </c>
      <c r="O24" s="10">
        <v>5397</v>
      </c>
      <c r="P24" s="10"/>
      <c r="Q24" s="10"/>
      <c r="R24" s="10"/>
    </row>
    <row r="25" spans="1:21" ht="15" thickBot="1" x14ac:dyDescent="0.35">
      <c r="A25" t="s">
        <v>219</v>
      </c>
      <c r="B25" t="s">
        <v>220</v>
      </c>
      <c r="C25" s="9" t="s">
        <v>267</v>
      </c>
      <c r="D25">
        <v>35</v>
      </c>
      <c r="E25" s="9">
        <v>12</v>
      </c>
      <c r="F25" t="s">
        <v>221</v>
      </c>
      <c r="G25">
        <v>1500000</v>
      </c>
      <c r="H25" t="s">
        <v>217</v>
      </c>
      <c r="I25" t="s">
        <v>222</v>
      </c>
      <c r="M25">
        <v>2.0833333333333335</v>
      </c>
    </row>
    <row r="26" spans="1:21" x14ac:dyDescent="0.3">
      <c r="A26" t="s">
        <v>223</v>
      </c>
      <c r="B26" t="s">
        <v>224</v>
      </c>
      <c r="C26" s="9" t="s">
        <v>267</v>
      </c>
      <c r="D26">
        <v>45</v>
      </c>
      <c r="E26" s="9">
        <v>10</v>
      </c>
      <c r="F26" t="s">
        <v>216</v>
      </c>
      <c r="G26">
        <v>4700000</v>
      </c>
      <c r="H26" t="s">
        <v>217</v>
      </c>
      <c r="I26" t="s">
        <v>218</v>
      </c>
      <c r="M26">
        <v>6.25</v>
      </c>
      <c r="N26" s="12" t="s">
        <v>346</v>
      </c>
      <c r="O26" s="12" t="s">
        <v>312</v>
      </c>
      <c r="P26" s="12" t="s">
        <v>347</v>
      </c>
      <c r="Q26" s="12" t="s">
        <v>348</v>
      </c>
      <c r="R26" s="12" t="s">
        <v>349</v>
      </c>
      <c r="S26" s="12" t="s">
        <v>350</v>
      </c>
      <c r="T26" s="12" t="s">
        <v>351</v>
      </c>
      <c r="U26" s="12" t="s">
        <v>352</v>
      </c>
    </row>
    <row r="27" spans="1:21" x14ac:dyDescent="0.3">
      <c r="M27">
        <v>10.416666666666668</v>
      </c>
      <c r="N27">
        <v>0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</row>
    <row r="28" spans="1:21" ht="15" thickBot="1" x14ac:dyDescent="0.35">
      <c r="M28">
        <v>14.583333333333334</v>
      </c>
      <c r="N28" s="10">
        <v>6.9651046859421736E-2</v>
      </c>
      <c r="O28" s="10">
        <v>2.6923532120379966E-2</v>
      </c>
      <c r="P28" s="10">
        <v>2.5869951441734815</v>
      </c>
      <c r="Q28" s="10">
        <v>1.648237838402708E-2</v>
      </c>
      <c r="R28" s="10">
        <v>1.3955477239236E-2</v>
      </c>
      <c r="S28" s="10">
        <v>0.12534661647960749</v>
      </c>
      <c r="T28" s="10">
        <v>1.3955477239236E-2</v>
      </c>
      <c r="U28" s="10">
        <v>0.12534661647960749</v>
      </c>
    </row>
    <row r="29" spans="1:21" x14ac:dyDescent="0.3">
      <c r="M29">
        <v>18.75</v>
      </c>
    </row>
    <row r="30" spans="1:21" x14ac:dyDescent="0.3">
      <c r="M30">
        <v>22.916666666666668</v>
      </c>
    </row>
    <row r="31" spans="1:21" ht="15" thickBot="1" x14ac:dyDescent="0.35">
      <c r="M31">
        <v>27.083333333333332</v>
      </c>
    </row>
    <row r="32" spans="1:21" x14ac:dyDescent="0.3">
      <c r="B32" s="12"/>
      <c r="C32" s="12" t="s">
        <v>208</v>
      </c>
      <c r="D32" s="12" t="s">
        <v>268</v>
      </c>
      <c r="M32">
        <v>31.25</v>
      </c>
    </row>
    <row r="33" spans="2:14" ht="15" thickBot="1" x14ac:dyDescent="0.35">
      <c r="B33" t="s">
        <v>208</v>
      </c>
      <c r="C33">
        <v>1</v>
      </c>
      <c r="M33">
        <v>35.416666666666671</v>
      </c>
    </row>
    <row r="34" spans="2:14" ht="15" thickBot="1" x14ac:dyDescent="0.35">
      <c r="B34" s="10" t="s">
        <v>268</v>
      </c>
      <c r="C34" s="10">
        <v>-0.67029826710476625</v>
      </c>
      <c r="D34" s="10">
        <v>1</v>
      </c>
      <c r="M34">
        <v>39.583333333333336</v>
      </c>
      <c r="N34" s="12" t="s">
        <v>237</v>
      </c>
    </row>
    <row r="35" spans="2:14" x14ac:dyDescent="0.3">
      <c r="M35">
        <v>43.750000000000007</v>
      </c>
      <c r="N35">
        <v>2</v>
      </c>
    </row>
    <row r="36" spans="2:14" x14ac:dyDescent="0.3">
      <c r="M36">
        <v>47.916666666666671</v>
      </c>
      <c r="N36">
        <v>3</v>
      </c>
    </row>
    <row r="37" spans="2:14" x14ac:dyDescent="0.3">
      <c r="M37">
        <v>52.083333333333336</v>
      </c>
      <c r="N37">
        <v>5</v>
      </c>
    </row>
    <row r="38" spans="2:14" x14ac:dyDescent="0.3">
      <c r="M38">
        <v>56.250000000000007</v>
      </c>
      <c r="N38">
        <v>5</v>
      </c>
    </row>
    <row r="39" spans="2:14" x14ac:dyDescent="0.3">
      <c r="M39">
        <v>60.416666666666671</v>
      </c>
      <c r="N39">
        <v>6</v>
      </c>
    </row>
    <row r="40" spans="2:14" x14ac:dyDescent="0.3">
      <c r="M40">
        <v>64.583333333333343</v>
      </c>
      <c r="N40">
        <v>8</v>
      </c>
    </row>
    <row r="41" spans="2:14" x14ac:dyDescent="0.3">
      <c r="M41">
        <v>68.75</v>
      </c>
      <c r="N41">
        <v>10</v>
      </c>
    </row>
    <row r="42" spans="2:14" x14ac:dyDescent="0.3">
      <c r="M42">
        <v>72.916666666666671</v>
      </c>
      <c r="N42">
        <v>10</v>
      </c>
    </row>
    <row r="43" spans="2:14" x14ac:dyDescent="0.3">
      <c r="M43">
        <v>77.083333333333329</v>
      </c>
      <c r="N43">
        <v>10</v>
      </c>
    </row>
    <row r="44" spans="2:14" x14ac:dyDescent="0.3">
      <c r="M44">
        <v>81.25</v>
      </c>
      <c r="N44">
        <v>10</v>
      </c>
    </row>
    <row r="45" spans="2:14" x14ac:dyDescent="0.3">
      <c r="M45">
        <v>85.416666666666671</v>
      </c>
      <c r="N45">
        <v>12</v>
      </c>
    </row>
    <row r="46" spans="2:14" x14ac:dyDescent="0.3">
      <c r="M46">
        <v>89.583333333333329</v>
      </c>
      <c r="N46">
        <v>12</v>
      </c>
    </row>
    <row r="47" spans="2:14" x14ac:dyDescent="0.3">
      <c r="M47">
        <v>93.75</v>
      </c>
      <c r="N47">
        <v>12</v>
      </c>
    </row>
    <row r="48" spans="2:14" ht="15" thickBot="1" x14ac:dyDescent="0.35">
      <c r="M48" s="10">
        <v>97.916666666666671</v>
      </c>
      <c r="N48">
        <v>15</v>
      </c>
    </row>
    <row r="49" spans="14:14" x14ac:dyDescent="0.3">
      <c r="N49">
        <v>15</v>
      </c>
    </row>
    <row r="50" spans="14:14" x14ac:dyDescent="0.3">
      <c r="N50">
        <v>15</v>
      </c>
    </row>
    <row r="51" spans="14:14" x14ac:dyDescent="0.3">
      <c r="N51">
        <v>15</v>
      </c>
    </row>
    <row r="52" spans="14:14" x14ac:dyDescent="0.3">
      <c r="N52">
        <v>18</v>
      </c>
    </row>
    <row r="53" spans="14:14" x14ac:dyDescent="0.3">
      <c r="N53">
        <v>18</v>
      </c>
    </row>
    <row r="54" spans="14:14" x14ac:dyDescent="0.3">
      <c r="N54">
        <v>20</v>
      </c>
    </row>
    <row r="55" spans="14:14" x14ac:dyDescent="0.3">
      <c r="N55">
        <v>20</v>
      </c>
    </row>
    <row r="56" spans="14:14" x14ac:dyDescent="0.3">
      <c r="N56">
        <v>23</v>
      </c>
    </row>
    <row r="57" spans="14:14" x14ac:dyDescent="0.3">
      <c r="N57">
        <v>25</v>
      </c>
    </row>
    <row r="58" spans="14:14" ht="15" thickBot="1" x14ac:dyDescent="0.35">
      <c r="N58" s="10">
        <v>30</v>
      </c>
    </row>
  </sheetData>
  <sortState xmlns:xlrd2="http://schemas.microsoft.com/office/spreadsheetml/2017/richdata2" ref="N35:N58">
    <sortCondition ref="N35"/>
  </sortState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61DC6-D59E-4575-84CA-83EB3333BD71}">
  <sheetPr codeName="Sheet17"/>
  <dimension ref="A1:U44"/>
  <sheetViews>
    <sheetView workbookViewId="0">
      <selection activeCell="I7" sqref="I7"/>
    </sheetView>
  </sheetViews>
  <sheetFormatPr defaultRowHeight="14.4" x14ac:dyDescent="0.3"/>
  <cols>
    <col min="1" max="1" width="11.5546875" style="9" bestFit="1" customWidth="1"/>
    <col min="2" max="2" width="10.77734375" style="9" bestFit="1" customWidth="1"/>
    <col min="3" max="3" width="12.21875" style="9" bestFit="1" customWidth="1"/>
    <col min="4" max="4" width="12.109375" style="9" bestFit="1" customWidth="1"/>
    <col min="7" max="7" width="12.6640625" bestFit="1" customWidth="1"/>
    <col min="8" max="8" width="16.5546875" bestFit="1" customWidth="1"/>
    <col min="16" max="16" width="10.77734375" bestFit="1" customWidth="1"/>
    <col min="17" max="17" width="12.21875" bestFit="1" customWidth="1"/>
    <col min="18" max="18" width="12.109375" bestFit="1" customWidth="1"/>
    <col min="19" max="19" width="12.88671875" bestFit="1" customWidth="1"/>
  </cols>
  <sheetData>
    <row r="1" spans="1:14" ht="15" thickBot="1" x14ac:dyDescent="0.35">
      <c r="A1" s="9" t="s">
        <v>279</v>
      </c>
      <c r="B1" s="9" t="s">
        <v>356</v>
      </c>
      <c r="C1" s="9" t="s">
        <v>282</v>
      </c>
      <c r="D1" s="9" t="s">
        <v>357</v>
      </c>
    </row>
    <row r="2" spans="1:14" x14ac:dyDescent="0.3">
      <c r="A2" s="9" t="s">
        <v>285</v>
      </c>
      <c r="B2" s="9">
        <v>65</v>
      </c>
      <c r="C2" s="9">
        <v>560</v>
      </c>
      <c r="D2" s="9" t="s">
        <v>285</v>
      </c>
      <c r="F2" s="12" t="s">
        <v>356</v>
      </c>
      <c r="G2" s="12"/>
      <c r="H2" s="12" t="s">
        <v>282</v>
      </c>
      <c r="I2" s="12"/>
    </row>
    <row r="3" spans="1:14" x14ac:dyDescent="0.3">
      <c r="A3" s="9" t="s">
        <v>218</v>
      </c>
      <c r="B3" s="9">
        <v>75</v>
      </c>
      <c r="C3" s="9">
        <v>580</v>
      </c>
      <c r="D3" s="9" t="s">
        <v>285</v>
      </c>
    </row>
    <row r="4" spans="1:14" x14ac:dyDescent="0.3">
      <c r="A4" s="9" t="s">
        <v>358</v>
      </c>
      <c r="B4" s="9">
        <v>69</v>
      </c>
      <c r="C4" s="9">
        <v>445</v>
      </c>
      <c r="D4" s="9" t="s">
        <v>218</v>
      </c>
      <c r="F4" t="s">
        <v>311</v>
      </c>
      <c r="G4">
        <v>79.099999999999994</v>
      </c>
      <c r="H4" t="s">
        <v>311</v>
      </c>
      <c r="I4">
        <v>443.1</v>
      </c>
    </row>
    <row r="5" spans="1:14" x14ac:dyDescent="0.3">
      <c r="A5" s="9" t="s">
        <v>234</v>
      </c>
      <c r="B5" s="9">
        <v>78</v>
      </c>
      <c r="C5" s="9">
        <v>360</v>
      </c>
      <c r="D5" s="9" t="s">
        <v>358</v>
      </c>
      <c r="F5" t="s">
        <v>312</v>
      </c>
      <c r="G5">
        <v>4.0700805342837594</v>
      </c>
      <c r="H5" t="s">
        <v>312</v>
      </c>
      <c r="I5">
        <v>32.440526780213922</v>
      </c>
    </row>
    <row r="6" spans="1:14" x14ac:dyDescent="0.3">
      <c r="A6" s="9" t="s">
        <v>359</v>
      </c>
      <c r="B6" s="9">
        <v>98</v>
      </c>
      <c r="C6" s="9">
        <v>520</v>
      </c>
      <c r="D6" s="9" t="s">
        <v>285</v>
      </c>
      <c r="F6" t="s">
        <v>313</v>
      </c>
      <c r="G6">
        <v>76.5</v>
      </c>
      <c r="H6" t="s">
        <v>313</v>
      </c>
      <c r="I6">
        <v>462.5</v>
      </c>
    </row>
    <row r="7" spans="1:14" x14ac:dyDescent="0.3">
      <c r="A7" s="9" t="s">
        <v>344</v>
      </c>
      <c r="B7" s="9">
        <v>95</v>
      </c>
      <c r="C7" s="9">
        <v>480</v>
      </c>
      <c r="D7" s="9" t="s">
        <v>218</v>
      </c>
      <c r="F7" t="s">
        <v>314</v>
      </c>
      <c r="G7">
        <v>65</v>
      </c>
      <c r="H7" t="s">
        <v>314</v>
      </c>
      <c r="I7" t="e">
        <v>#N/A</v>
      </c>
    </row>
    <row r="8" spans="1:14" x14ac:dyDescent="0.3">
      <c r="A8" s="9" t="s">
        <v>243</v>
      </c>
      <c r="B8" s="9">
        <v>90</v>
      </c>
      <c r="C8" s="9">
        <v>495</v>
      </c>
      <c r="D8" s="9" t="s">
        <v>218</v>
      </c>
      <c r="F8" t="s">
        <v>315</v>
      </c>
      <c r="G8">
        <v>12.870724748651714</v>
      </c>
      <c r="H8" t="s">
        <v>315</v>
      </c>
      <c r="I8">
        <v>102.58595312116454</v>
      </c>
    </row>
    <row r="9" spans="1:14" x14ac:dyDescent="0.3">
      <c r="A9" s="9" t="s">
        <v>360</v>
      </c>
      <c r="B9" s="9">
        <v>67</v>
      </c>
      <c r="C9" s="9">
        <v>295</v>
      </c>
      <c r="D9" s="9" t="s">
        <v>358</v>
      </c>
      <c r="F9" t="s">
        <v>316</v>
      </c>
      <c r="G9">
        <v>165.65555555555571</v>
      </c>
      <c r="H9" t="s">
        <v>316</v>
      </c>
      <c r="I9">
        <v>10523.877777777767</v>
      </c>
      <c r="L9">
        <f>CORREL(B2:B11,C2:C11)</f>
        <v>0.11881479644805866</v>
      </c>
    </row>
    <row r="10" spans="1:14" x14ac:dyDescent="0.3">
      <c r="A10" s="9" t="s">
        <v>361</v>
      </c>
      <c r="B10" s="9">
        <v>65</v>
      </c>
      <c r="C10" s="9">
        <v>400</v>
      </c>
      <c r="D10" s="9" t="s">
        <v>218</v>
      </c>
      <c r="F10" t="s">
        <v>317</v>
      </c>
      <c r="G10">
        <v>-1.7432288466751782</v>
      </c>
      <c r="H10" t="s">
        <v>317</v>
      </c>
      <c r="I10">
        <v>-1.220686338596817</v>
      </c>
    </row>
    <row r="11" spans="1:14" x14ac:dyDescent="0.3">
      <c r="A11" s="9" t="s">
        <v>362</v>
      </c>
      <c r="B11" s="9">
        <v>89</v>
      </c>
      <c r="C11" s="9">
        <v>296</v>
      </c>
      <c r="D11" s="9" t="s">
        <v>358</v>
      </c>
      <c r="F11" t="s">
        <v>318</v>
      </c>
      <c r="G11">
        <v>0.29689722385248857</v>
      </c>
      <c r="H11" t="s">
        <v>318</v>
      </c>
      <c r="I11">
        <v>-0.29296488321791325</v>
      </c>
      <c r="M11" t="s">
        <v>330</v>
      </c>
    </row>
    <row r="12" spans="1:14" ht="15" thickBot="1" x14ac:dyDescent="0.35">
      <c r="F12" t="s">
        <v>319</v>
      </c>
      <c r="G12">
        <v>33</v>
      </c>
      <c r="H12" t="s">
        <v>319</v>
      </c>
      <c r="I12">
        <v>285</v>
      </c>
    </row>
    <row r="13" spans="1:14" ht="15" thickBot="1" x14ac:dyDescent="0.35">
      <c r="F13" t="s">
        <v>320</v>
      </c>
      <c r="G13">
        <v>65</v>
      </c>
      <c r="H13" t="s">
        <v>320</v>
      </c>
      <c r="I13">
        <v>295</v>
      </c>
      <c r="M13" s="11" t="s">
        <v>331</v>
      </c>
      <c r="N13" s="11"/>
    </row>
    <row r="14" spans="1:14" x14ac:dyDescent="0.3">
      <c r="A14" s="12"/>
      <c r="B14" s="12">
        <v>65</v>
      </c>
      <c r="C14" s="12">
        <v>560</v>
      </c>
      <c r="F14" t="s">
        <v>321</v>
      </c>
      <c r="G14">
        <v>98</v>
      </c>
      <c r="H14" t="s">
        <v>321</v>
      </c>
      <c r="I14">
        <v>580</v>
      </c>
      <c r="M14" t="s">
        <v>332</v>
      </c>
      <c r="N14">
        <v>0.96917418838600711</v>
      </c>
    </row>
    <row r="15" spans="1:14" x14ac:dyDescent="0.3">
      <c r="A15">
        <v>65</v>
      </c>
      <c r="B15">
        <v>1</v>
      </c>
      <c r="C15"/>
      <c r="F15" t="s">
        <v>322</v>
      </c>
      <c r="G15">
        <v>791</v>
      </c>
      <c r="H15" t="s">
        <v>322</v>
      </c>
      <c r="I15">
        <v>4431</v>
      </c>
      <c r="M15" t="s">
        <v>333</v>
      </c>
      <c r="N15">
        <v>0.93929860743367555</v>
      </c>
    </row>
    <row r="16" spans="1:14" ht="15" thickBot="1" x14ac:dyDescent="0.35">
      <c r="A16" s="10">
        <v>560</v>
      </c>
      <c r="B16" s="10">
        <v>0.32271697265215865</v>
      </c>
      <c r="C16" s="10">
        <v>1</v>
      </c>
      <c r="F16" s="10" t="s">
        <v>323</v>
      </c>
      <c r="G16" s="10">
        <v>10</v>
      </c>
      <c r="H16" s="10" t="s">
        <v>323</v>
      </c>
      <c r="I16" s="10">
        <v>10</v>
      </c>
      <c r="M16" t="s">
        <v>334</v>
      </c>
      <c r="N16">
        <v>0.8281874963225645</v>
      </c>
    </row>
    <row r="17" spans="13:21" x14ac:dyDescent="0.3">
      <c r="M17" t="s">
        <v>312</v>
      </c>
      <c r="N17">
        <v>20.78586727778217</v>
      </c>
    </row>
    <row r="18" spans="13:21" ht="15" thickBot="1" x14ac:dyDescent="0.35">
      <c r="M18" s="10" t="s">
        <v>335</v>
      </c>
      <c r="N18" s="10">
        <v>10</v>
      </c>
    </row>
    <row r="20" spans="13:21" ht="15" thickBot="1" x14ac:dyDescent="0.35">
      <c r="M20" t="s">
        <v>336</v>
      </c>
    </row>
    <row r="21" spans="13:21" x14ac:dyDescent="0.3">
      <c r="M21" s="12"/>
      <c r="N21" s="12" t="s">
        <v>341</v>
      </c>
      <c r="O21" s="12" t="s">
        <v>342</v>
      </c>
      <c r="P21" s="12" t="s">
        <v>343</v>
      </c>
      <c r="Q21" s="12" t="s">
        <v>344</v>
      </c>
      <c r="R21" s="12" t="s">
        <v>345</v>
      </c>
    </row>
    <row r="22" spans="13:21" x14ac:dyDescent="0.3">
      <c r="M22" t="s">
        <v>337</v>
      </c>
      <c r="N22">
        <v>1</v>
      </c>
      <c r="O22">
        <v>60170.529493593822</v>
      </c>
      <c r="P22">
        <v>60170.529493593822</v>
      </c>
      <c r="Q22">
        <v>139.26677971458864</v>
      </c>
      <c r="R22">
        <v>2.4347863599384906E-6</v>
      </c>
    </row>
    <row r="23" spans="13:21" x14ac:dyDescent="0.3">
      <c r="M23" t="s">
        <v>338</v>
      </c>
      <c r="N23">
        <v>9</v>
      </c>
      <c r="O23">
        <v>3888.4705064061804</v>
      </c>
      <c r="P23">
        <v>432.0522784895756</v>
      </c>
    </row>
    <row r="24" spans="13:21" ht="15" thickBot="1" x14ac:dyDescent="0.35">
      <c r="M24" s="10" t="s">
        <v>339</v>
      </c>
      <c r="N24" s="10">
        <v>10</v>
      </c>
      <c r="O24" s="10">
        <v>64059</v>
      </c>
      <c r="P24" s="10"/>
      <c r="Q24" s="10"/>
      <c r="R24" s="10"/>
    </row>
    <row r="25" spans="13:21" ht="15" thickBot="1" x14ac:dyDescent="0.35"/>
    <row r="26" spans="13:21" x14ac:dyDescent="0.3">
      <c r="M26" s="12"/>
      <c r="N26" s="12" t="s">
        <v>346</v>
      </c>
      <c r="O26" s="12" t="s">
        <v>312</v>
      </c>
      <c r="P26" s="12" t="s">
        <v>347</v>
      </c>
      <c r="Q26" s="12" t="s">
        <v>348</v>
      </c>
      <c r="R26" s="12" t="s">
        <v>349</v>
      </c>
      <c r="S26" s="12" t="s">
        <v>350</v>
      </c>
      <c r="T26" s="12" t="s">
        <v>351</v>
      </c>
      <c r="U26" s="12" t="s">
        <v>352</v>
      </c>
    </row>
    <row r="27" spans="13:21" x14ac:dyDescent="0.3">
      <c r="M27" t="s">
        <v>340</v>
      </c>
      <c r="N27">
        <v>0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</row>
    <row r="28" spans="13:21" ht="15" thickBot="1" x14ac:dyDescent="0.35">
      <c r="M28" s="10" t="s">
        <v>353</v>
      </c>
      <c r="N28" s="10">
        <v>0.17098563668953412</v>
      </c>
      <c r="O28" s="10">
        <v>1.448891495087745E-2</v>
      </c>
      <c r="P28" s="10">
        <v>11.801134679114064</v>
      </c>
      <c r="Q28" s="10">
        <v>8.8766714045054721E-7</v>
      </c>
      <c r="R28" s="10">
        <v>0.13820943395223267</v>
      </c>
      <c r="S28" s="10">
        <v>0.20376183942683557</v>
      </c>
      <c r="T28" s="10">
        <v>0.13820943395223267</v>
      </c>
      <c r="U28" s="10">
        <v>0.20376183942683557</v>
      </c>
    </row>
    <row r="32" spans="13:21" x14ac:dyDescent="0.3">
      <c r="M32" t="s">
        <v>354</v>
      </c>
    </row>
    <row r="33" spans="13:14" ht="15" thickBot="1" x14ac:dyDescent="0.35"/>
    <row r="34" spans="13:14" x14ac:dyDescent="0.3">
      <c r="M34" s="12" t="s">
        <v>355</v>
      </c>
      <c r="N34" s="12" t="s">
        <v>237</v>
      </c>
    </row>
    <row r="35" spans="13:14" x14ac:dyDescent="0.3">
      <c r="M35">
        <v>5</v>
      </c>
      <c r="N35">
        <v>65</v>
      </c>
    </row>
    <row r="36" spans="13:14" x14ac:dyDescent="0.3">
      <c r="M36">
        <v>15</v>
      </c>
      <c r="N36">
        <v>65</v>
      </c>
    </row>
    <row r="37" spans="13:14" x14ac:dyDescent="0.3">
      <c r="M37">
        <v>25</v>
      </c>
      <c r="N37">
        <v>67</v>
      </c>
    </row>
    <row r="38" spans="13:14" x14ac:dyDescent="0.3">
      <c r="M38">
        <v>35</v>
      </c>
      <c r="N38">
        <v>69</v>
      </c>
    </row>
    <row r="39" spans="13:14" x14ac:dyDescent="0.3">
      <c r="M39">
        <v>45</v>
      </c>
      <c r="N39">
        <v>75</v>
      </c>
    </row>
    <row r="40" spans="13:14" x14ac:dyDescent="0.3">
      <c r="M40">
        <v>55</v>
      </c>
      <c r="N40">
        <v>78</v>
      </c>
    </row>
    <row r="41" spans="13:14" x14ac:dyDescent="0.3">
      <c r="M41">
        <v>65</v>
      </c>
      <c r="N41">
        <v>89</v>
      </c>
    </row>
    <row r="42" spans="13:14" x14ac:dyDescent="0.3">
      <c r="M42">
        <v>75</v>
      </c>
      <c r="N42">
        <v>90</v>
      </c>
    </row>
    <row r="43" spans="13:14" x14ac:dyDescent="0.3">
      <c r="M43">
        <v>85</v>
      </c>
      <c r="N43">
        <v>95</v>
      </c>
    </row>
    <row r="44" spans="13:14" ht="15" thickBot="1" x14ac:dyDescent="0.35">
      <c r="M44" s="10">
        <v>95</v>
      </c>
      <c r="N44" s="10">
        <v>98</v>
      </c>
    </row>
  </sheetData>
  <sortState xmlns:xlrd2="http://schemas.microsoft.com/office/spreadsheetml/2017/richdata2" ref="N35:N44">
    <sortCondition ref="N35"/>
  </sortState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51CD8-FDE5-4690-A138-C2BB5AF44F65}">
  <sheetPr codeName="Sheet18"/>
  <dimension ref="A1:Q26"/>
  <sheetViews>
    <sheetView topLeftCell="E1" workbookViewId="0">
      <selection activeCell="L21" sqref="L21"/>
    </sheetView>
  </sheetViews>
  <sheetFormatPr defaultRowHeight="14.4" x14ac:dyDescent="0.3"/>
  <cols>
    <col min="2" max="2" width="10.77734375" bestFit="1" customWidth="1"/>
    <col min="3" max="3" width="12.21875" bestFit="1" customWidth="1"/>
    <col min="4" max="4" width="12.109375" bestFit="1" customWidth="1"/>
    <col min="6" max="6" width="12.21875" bestFit="1" customWidth="1"/>
    <col min="7" max="7" width="12" bestFit="1" customWidth="1"/>
    <col min="8" max="8" width="12.88671875" bestFit="1" customWidth="1"/>
    <col min="9" max="9" width="34.88671875" bestFit="1" customWidth="1"/>
    <col min="12" max="12" width="43.33203125" bestFit="1" customWidth="1"/>
    <col min="13" max="13" width="11.33203125" bestFit="1" customWidth="1"/>
    <col min="16" max="16" width="15.33203125" bestFit="1" customWidth="1"/>
  </cols>
  <sheetData>
    <row r="1" spans="1:17" x14ac:dyDescent="0.3">
      <c r="A1" s="9" t="s">
        <v>279</v>
      </c>
      <c r="B1" s="9" t="s">
        <v>356</v>
      </c>
      <c r="C1" s="9" t="s">
        <v>282</v>
      </c>
      <c r="D1" s="9" t="s">
        <v>357</v>
      </c>
    </row>
    <row r="2" spans="1:17" ht="15" thickBot="1" x14ac:dyDescent="0.35">
      <c r="A2" s="9" t="s">
        <v>285</v>
      </c>
      <c r="B2" s="9">
        <v>65</v>
      </c>
      <c r="C2" s="9">
        <v>398</v>
      </c>
      <c r="D2" s="9">
        <v>3</v>
      </c>
      <c r="J2" t="s">
        <v>375</v>
      </c>
      <c r="K2" t="s">
        <v>364</v>
      </c>
      <c r="L2" t="s">
        <v>365</v>
      </c>
      <c r="M2" t="s">
        <v>366</v>
      </c>
      <c r="N2" t="s">
        <v>309</v>
      </c>
      <c r="O2" t="s">
        <v>367</v>
      </c>
      <c r="P2" t="s">
        <v>368</v>
      </c>
      <c r="Q2" t="s">
        <v>369</v>
      </c>
    </row>
    <row r="3" spans="1:17" ht="21" x14ac:dyDescent="0.4">
      <c r="A3" s="9" t="s">
        <v>218</v>
      </c>
      <c r="B3" s="9">
        <v>75</v>
      </c>
      <c r="C3" s="9">
        <v>500</v>
      </c>
      <c r="D3" s="9">
        <v>1</v>
      </c>
      <c r="F3" s="12"/>
      <c r="G3" s="12" t="s">
        <v>356</v>
      </c>
      <c r="H3" s="12" t="s">
        <v>282</v>
      </c>
      <c r="I3" s="14" t="s">
        <v>363</v>
      </c>
      <c r="J3" s="13" t="s">
        <v>376</v>
      </c>
      <c r="K3">
        <v>800</v>
      </c>
      <c r="L3" t="s">
        <v>370</v>
      </c>
      <c r="M3" t="s">
        <v>371</v>
      </c>
      <c r="N3" t="s">
        <v>372</v>
      </c>
      <c r="O3">
        <v>30</v>
      </c>
      <c r="P3" t="s">
        <v>373</v>
      </c>
      <c r="Q3" t="s">
        <v>374</v>
      </c>
    </row>
    <row r="4" spans="1:17" x14ac:dyDescent="0.3">
      <c r="A4" s="9" t="s">
        <v>358</v>
      </c>
      <c r="B4" s="9">
        <v>69</v>
      </c>
      <c r="C4" s="9">
        <v>420</v>
      </c>
      <c r="D4" s="9">
        <v>2</v>
      </c>
      <c r="F4" t="s">
        <v>356</v>
      </c>
      <c r="G4">
        <v>1</v>
      </c>
    </row>
    <row r="5" spans="1:17" ht="15" thickBot="1" x14ac:dyDescent="0.35">
      <c r="A5" s="9" t="s">
        <v>234</v>
      </c>
      <c r="B5" s="9">
        <v>78</v>
      </c>
      <c r="C5" s="9">
        <v>510</v>
      </c>
      <c r="D5" s="9">
        <v>1</v>
      </c>
      <c r="F5" s="10" t="s">
        <v>282</v>
      </c>
      <c r="G5" s="10">
        <v>0.93766233941649679</v>
      </c>
      <c r="H5" s="10">
        <v>1</v>
      </c>
    </row>
    <row r="6" spans="1:17" x14ac:dyDescent="0.3">
      <c r="A6" s="9" t="s">
        <v>359</v>
      </c>
      <c r="B6" s="9">
        <v>98</v>
      </c>
      <c r="C6" s="9">
        <v>560</v>
      </c>
      <c r="D6" s="9">
        <v>1</v>
      </c>
    </row>
    <row r="7" spans="1:17" x14ac:dyDescent="0.3">
      <c r="A7" s="9" t="s">
        <v>344</v>
      </c>
      <c r="B7" s="9">
        <v>95</v>
      </c>
      <c r="C7" s="9">
        <v>555</v>
      </c>
      <c r="D7" s="9">
        <v>1</v>
      </c>
    </row>
    <row r="8" spans="1:17" x14ac:dyDescent="0.3">
      <c r="A8" s="9" t="s">
        <v>243</v>
      </c>
      <c r="B8" s="9">
        <v>90</v>
      </c>
      <c r="C8" s="9">
        <v>540</v>
      </c>
      <c r="D8" s="9">
        <v>1</v>
      </c>
      <c r="L8" t="s">
        <v>376</v>
      </c>
      <c r="N8" t="s">
        <v>378</v>
      </c>
    </row>
    <row r="9" spans="1:17" x14ac:dyDescent="0.3">
      <c r="L9" t="s">
        <v>370</v>
      </c>
      <c r="N9" t="s">
        <v>379</v>
      </c>
    </row>
    <row r="10" spans="1:17" ht="15" thickBot="1" x14ac:dyDescent="0.35">
      <c r="L10" t="s">
        <v>372</v>
      </c>
      <c r="M10" t="s">
        <v>381</v>
      </c>
      <c r="N10" t="s">
        <v>380</v>
      </c>
    </row>
    <row r="11" spans="1:17" x14ac:dyDescent="0.3">
      <c r="F11" s="12"/>
      <c r="G11" s="12" t="s">
        <v>356</v>
      </c>
      <c r="H11" s="12" t="s">
        <v>282</v>
      </c>
      <c r="I11" s="12" t="s">
        <v>357</v>
      </c>
      <c r="L11">
        <v>30</v>
      </c>
    </row>
    <row r="12" spans="1:17" x14ac:dyDescent="0.3">
      <c r="F12" t="s">
        <v>356</v>
      </c>
      <c r="G12">
        <v>1</v>
      </c>
      <c r="L12" t="s">
        <v>377</v>
      </c>
    </row>
    <row r="13" spans="1:17" x14ac:dyDescent="0.3">
      <c r="F13" t="s">
        <v>282</v>
      </c>
      <c r="G13">
        <v>0.93766233941649679</v>
      </c>
      <c r="H13">
        <v>1</v>
      </c>
      <c r="L13" t="s">
        <v>377</v>
      </c>
    </row>
    <row r="14" spans="1:17" ht="15" thickBot="1" x14ac:dyDescent="0.35">
      <c r="F14" s="10" t="s">
        <v>357</v>
      </c>
      <c r="G14" s="10">
        <v>-0.73947639921786401</v>
      </c>
      <c r="H14" s="10">
        <v>-0.90649075497560472</v>
      </c>
      <c r="I14" s="10">
        <v>1</v>
      </c>
    </row>
    <row r="17" spans="6:13" x14ac:dyDescent="0.3">
      <c r="J17" t="s">
        <v>391</v>
      </c>
    </row>
    <row r="18" spans="6:13" x14ac:dyDescent="0.3">
      <c r="F18">
        <v>750</v>
      </c>
      <c r="J18" t="s">
        <v>398</v>
      </c>
    </row>
    <row r="19" spans="6:13" x14ac:dyDescent="0.3">
      <c r="F19" s="15" t="s">
        <v>401</v>
      </c>
      <c r="G19" t="s">
        <v>396</v>
      </c>
      <c r="H19" t="s">
        <v>394</v>
      </c>
      <c r="I19" t="s">
        <v>390</v>
      </c>
      <c r="J19" t="s">
        <v>391</v>
      </c>
      <c r="L19" t="s">
        <v>382</v>
      </c>
      <c r="M19" t="s">
        <v>385</v>
      </c>
    </row>
    <row r="20" spans="6:13" x14ac:dyDescent="0.3">
      <c r="F20" t="s">
        <v>402</v>
      </c>
      <c r="L20" t="s">
        <v>384</v>
      </c>
      <c r="M20" t="s">
        <v>386</v>
      </c>
    </row>
    <row r="21" spans="6:13" x14ac:dyDescent="0.3">
      <c r="G21" t="s">
        <v>397</v>
      </c>
      <c r="H21" t="s">
        <v>395</v>
      </c>
      <c r="I21" t="s">
        <v>392</v>
      </c>
      <c r="J21" t="s">
        <v>393</v>
      </c>
      <c r="L21" t="s">
        <v>383</v>
      </c>
      <c r="M21" t="s">
        <v>387</v>
      </c>
    </row>
    <row r="22" spans="6:13" x14ac:dyDescent="0.3">
      <c r="F22">
        <v>950</v>
      </c>
      <c r="J22" t="s">
        <v>399</v>
      </c>
    </row>
    <row r="23" spans="6:13" x14ac:dyDescent="0.3">
      <c r="J23" t="s">
        <v>400</v>
      </c>
    </row>
    <row r="25" spans="6:13" x14ac:dyDescent="0.3">
      <c r="L25" t="s">
        <v>388</v>
      </c>
    </row>
    <row r="26" spans="6:13" x14ac:dyDescent="0.3">
      <c r="F26" t="s">
        <v>403</v>
      </c>
      <c r="L26" t="s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59521-83CC-4C28-8C78-722FAF585996}">
  <sheetPr codeName="Sheet19"/>
  <dimension ref="A1:V67"/>
  <sheetViews>
    <sheetView topLeftCell="A4" workbookViewId="0">
      <selection activeCell="H21" sqref="H21:Q26"/>
    </sheetView>
  </sheetViews>
  <sheetFormatPr defaultRowHeight="14.4" x14ac:dyDescent="0.3"/>
  <cols>
    <col min="1" max="1" width="9.77734375" bestFit="1" customWidth="1"/>
    <col min="2" max="2" width="22.88671875" bestFit="1" customWidth="1"/>
    <col min="3" max="3" width="14.109375" bestFit="1" customWidth="1"/>
    <col min="4" max="4" width="14.5546875" bestFit="1" customWidth="1"/>
    <col min="5" max="5" width="9.44140625" bestFit="1" customWidth="1"/>
    <col min="8" max="8" width="13.88671875" bestFit="1" customWidth="1"/>
    <col min="9" max="9" width="10.6640625" bestFit="1" customWidth="1"/>
    <col min="10" max="10" width="11.5546875" bestFit="1" customWidth="1"/>
    <col min="11" max="11" width="4.5546875" bestFit="1" customWidth="1"/>
    <col min="12" max="12" width="4" bestFit="1" customWidth="1"/>
    <col min="13" max="13" width="10.109375" bestFit="1" customWidth="1"/>
    <col min="14" max="14" width="11" bestFit="1" customWidth="1"/>
    <col min="15" max="15" width="9.21875" bestFit="1" customWidth="1"/>
    <col min="16" max="16" width="6.77734375" bestFit="1" customWidth="1"/>
    <col min="17" max="17" width="14.21875" bestFit="1" customWidth="1"/>
    <col min="19" max="19" width="16.5546875" bestFit="1" customWidth="1"/>
    <col min="20" max="20" width="14.6640625" customWidth="1"/>
  </cols>
  <sheetData>
    <row r="1" spans="1:20" ht="33" thickBot="1" x14ac:dyDescent="0.65">
      <c r="A1" s="25" t="s">
        <v>405</v>
      </c>
      <c r="B1" s="25"/>
      <c r="C1" s="25"/>
      <c r="D1" s="25"/>
      <c r="E1" s="25"/>
      <c r="F1" s="25"/>
      <c r="G1" s="25"/>
    </row>
    <row r="2" spans="1:20" ht="15" thickBot="1" x14ac:dyDescent="0.35">
      <c r="H2" s="16" t="s">
        <v>214</v>
      </c>
      <c r="I2" s="16" t="s">
        <v>207</v>
      </c>
      <c r="J2" s="17" t="s">
        <v>268</v>
      </c>
      <c r="K2" s="17" t="s">
        <v>269</v>
      </c>
      <c r="L2" s="16" t="s">
        <v>208</v>
      </c>
      <c r="M2" s="16" t="s">
        <v>212</v>
      </c>
      <c r="N2" s="16" t="s">
        <v>209</v>
      </c>
      <c r="O2" s="16" t="s">
        <v>210</v>
      </c>
      <c r="P2" s="16" t="s">
        <v>211</v>
      </c>
      <c r="Q2" s="16" t="s">
        <v>272</v>
      </c>
      <c r="R2" s="10" t="s">
        <v>429</v>
      </c>
    </row>
    <row r="3" spans="1:20" ht="15" thickBot="1" x14ac:dyDescent="0.35">
      <c r="H3" s="18" t="s">
        <v>241</v>
      </c>
      <c r="I3" s="18" t="s">
        <v>242</v>
      </c>
      <c r="J3" s="19">
        <v>10</v>
      </c>
      <c r="K3" s="19" t="s">
        <v>267</v>
      </c>
      <c r="L3" s="18">
        <v>80</v>
      </c>
      <c r="M3" s="18" t="s">
        <v>221</v>
      </c>
      <c r="N3" s="18">
        <v>6000000</v>
      </c>
      <c r="O3" s="18" t="s">
        <v>217</v>
      </c>
      <c r="P3" s="18" t="s">
        <v>243</v>
      </c>
      <c r="Q3" s="18" t="str">
        <f>IF(AND(J4&gt;5,L3&gt;40),"YES","NO")</f>
        <v>YES</v>
      </c>
    </row>
    <row r="4" spans="1:20" ht="15" thickBot="1" x14ac:dyDescent="0.35">
      <c r="H4" s="18" t="s">
        <v>241</v>
      </c>
      <c r="I4" s="18" t="s">
        <v>249</v>
      </c>
      <c r="J4" s="19">
        <v>18</v>
      </c>
      <c r="K4" s="19" t="s">
        <v>267</v>
      </c>
      <c r="L4" s="18">
        <v>150</v>
      </c>
      <c r="M4" s="18" t="s">
        <v>221</v>
      </c>
      <c r="N4" s="18">
        <v>8000000</v>
      </c>
      <c r="O4" s="18" t="s">
        <v>217</v>
      </c>
      <c r="P4" s="18" t="s">
        <v>218</v>
      </c>
      <c r="Q4" s="18" t="str">
        <f>IF(AND(J5&gt;5,L4&gt;40),"YES","NO")</f>
        <v>YES</v>
      </c>
    </row>
    <row r="5" spans="1:20" ht="15" thickBot="1" x14ac:dyDescent="0.35">
      <c r="A5" s="20" t="s">
        <v>406</v>
      </c>
      <c r="B5" s="18" t="s">
        <v>407</v>
      </c>
      <c r="C5" t="s">
        <v>422</v>
      </c>
      <c r="H5" s="18" t="s">
        <v>238</v>
      </c>
      <c r="I5" s="18" t="s">
        <v>239</v>
      </c>
      <c r="J5" s="19">
        <v>10</v>
      </c>
      <c r="K5" s="19" t="s">
        <v>267</v>
      </c>
      <c r="L5" s="18">
        <v>130</v>
      </c>
      <c r="M5" s="18" t="s">
        <v>221</v>
      </c>
      <c r="N5" s="18">
        <v>10000000</v>
      </c>
      <c r="O5" s="18" t="s">
        <v>217</v>
      </c>
      <c r="P5" s="18" t="s">
        <v>240</v>
      </c>
      <c r="Q5" s="18" t="str">
        <f>IF(AND(J6&gt;5,L5&gt;40),"YES","NO")</f>
        <v>NO</v>
      </c>
    </row>
    <row r="6" spans="1:20" ht="15" thickBot="1" x14ac:dyDescent="0.35">
      <c r="A6" s="20" t="s">
        <v>408</v>
      </c>
      <c r="B6" s="18" t="s">
        <v>409</v>
      </c>
      <c r="C6" t="s">
        <v>423</v>
      </c>
      <c r="H6" s="18" t="s">
        <v>252</v>
      </c>
      <c r="I6" s="18" t="s">
        <v>253</v>
      </c>
      <c r="J6" s="19">
        <v>2</v>
      </c>
      <c r="K6" s="19" t="s">
        <v>267</v>
      </c>
      <c r="L6" s="18">
        <v>300</v>
      </c>
      <c r="M6" s="18" t="s">
        <v>221</v>
      </c>
      <c r="N6" s="18">
        <v>1000000000</v>
      </c>
      <c r="O6" s="18" t="s">
        <v>217</v>
      </c>
      <c r="P6" s="18" t="s">
        <v>218</v>
      </c>
      <c r="Q6" s="18" t="b">
        <f>AND(J6&gt;5,L6&gt;40)</f>
        <v>0</v>
      </c>
      <c r="S6" s="11" t="s">
        <v>209</v>
      </c>
      <c r="T6" s="11"/>
    </row>
    <row r="7" spans="1:20" ht="15" thickBot="1" x14ac:dyDescent="0.35">
      <c r="A7" s="20" t="s">
        <v>410</v>
      </c>
      <c r="B7" s="18" t="s">
        <v>411</v>
      </c>
      <c r="H7" s="18" t="s">
        <v>257</v>
      </c>
      <c r="I7" s="18" t="s">
        <v>258</v>
      </c>
      <c r="J7" s="19">
        <v>30</v>
      </c>
      <c r="K7" s="19" t="s">
        <v>267</v>
      </c>
      <c r="L7" s="18">
        <v>20</v>
      </c>
      <c r="M7" s="18" t="s">
        <v>216</v>
      </c>
      <c r="N7" s="18">
        <v>700000</v>
      </c>
      <c r="O7" s="18" t="s">
        <v>234</v>
      </c>
      <c r="P7" s="18" t="s">
        <v>218</v>
      </c>
      <c r="Q7" s="18" t="str">
        <f t="shared" ref="Q7:Q26" si="0">IF(AND(J8&gt;5,L7&gt;40),"YES","NO")</f>
        <v>NO</v>
      </c>
    </row>
    <row r="8" spans="1:20" ht="15" thickBot="1" x14ac:dyDescent="0.35">
      <c r="A8" s="20" t="s">
        <v>412</v>
      </c>
      <c r="B8" s="18" t="s">
        <v>413</v>
      </c>
      <c r="H8" s="18" t="s">
        <v>232</v>
      </c>
      <c r="I8" s="18" t="s">
        <v>233</v>
      </c>
      <c r="J8" s="19">
        <v>3</v>
      </c>
      <c r="K8" s="19" t="s">
        <v>267</v>
      </c>
      <c r="L8" s="18">
        <v>150</v>
      </c>
      <c r="M8" s="18" t="s">
        <v>216</v>
      </c>
      <c r="N8" s="18">
        <v>150000000</v>
      </c>
      <c r="O8" s="18" t="s">
        <v>234</v>
      </c>
      <c r="P8" s="18" t="s">
        <v>222</v>
      </c>
      <c r="Q8" s="18" t="str">
        <f t="shared" si="0"/>
        <v>YES</v>
      </c>
      <c r="S8" t="s">
        <v>311</v>
      </c>
      <c r="T8">
        <v>71108333.333333328</v>
      </c>
    </row>
    <row r="9" spans="1:20" ht="15" thickBot="1" x14ac:dyDescent="0.35">
      <c r="A9" s="20" t="s">
        <v>414</v>
      </c>
      <c r="B9" s="18" t="s">
        <v>415</v>
      </c>
      <c r="H9" s="18" t="s">
        <v>228</v>
      </c>
      <c r="I9" s="18" t="s">
        <v>229</v>
      </c>
      <c r="J9" s="19">
        <v>18</v>
      </c>
      <c r="K9" s="19" t="s">
        <v>267</v>
      </c>
      <c r="L9" s="18">
        <v>30</v>
      </c>
      <c r="M9" s="18" t="s">
        <v>221</v>
      </c>
      <c r="N9" s="18">
        <v>1700000</v>
      </c>
      <c r="O9" s="18" t="s">
        <v>217</v>
      </c>
      <c r="P9" s="18" t="s">
        <v>227</v>
      </c>
      <c r="Q9" s="18" t="str">
        <f t="shared" si="0"/>
        <v>NO</v>
      </c>
      <c r="S9" t="s">
        <v>312</v>
      </c>
      <c r="T9">
        <v>43227887.836855382</v>
      </c>
    </row>
    <row r="10" spans="1:20" ht="15" thickBot="1" x14ac:dyDescent="0.35">
      <c r="A10" s="20" t="s">
        <v>416</v>
      </c>
      <c r="B10" s="18" t="s">
        <v>417</v>
      </c>
      <c r="H10" s="18" t="s">
        <v>228</v>
      </c>
      <c r="I10" s="18" t="s">
        <v>261</v>
      </c>
      <c r="J10" s="19">
        <v>23</v>
      </c>
      <c r="K10" s="19" t="s">
        <v>267</v>
      </c>
      <c r="L10" s="18">
        <v>35</v>
      </c>
      <c r="M10" s="18" t="s">
        <v>216</v>
      </c>
      <c r="N10" s="18">
        <v>900000</v>
      </c>
      <c r="O10" s="18" t="s">
        <v>217</v>
      </c>
      <c r="P10" s="18" t="s">
        <v>262</v>
      </c>
      <c r="Q10" s="18" t="str">
        <f t="shared" si="0"/>
        <v>NO</v>
      </c>
      <c r="S10" t="s">
        <v>313</v>
      </c>
      <c r="T10">
        <v>1600000</v>
      </c>
    </row>
    <row r="11" spans="1:20" ht="15" thickBot="1" x14ac:dyDescent="0.35">
      <c r="A11" s="20" t="s">
        <v>418</v>
      </c>
      <c r="B11" s="18" t="s">
        <v>419</v>
      </c>
      <c r="H11" s="18" t="s">
        <v>235</v>
      </c>
      <c r="I11" s="18" t="s">
        <v>236</v>
      </c>
      <c r="J11" s="19">
        <v>5</v>
      </c>
      <c r="K11" s="19" t="s">
        <v>267</v>
      </c>
      <c r="L11" s="18">
        <v>120</v>
      </c>
      <c r="M11" s="18" t="s">
        <v>221</v>
      </c>
      <c r="N11" s="18">
        <v>200000000</v>
      </c>
      <c r="O11" s="18" t="s">
        <v>217</v>
      </c>
      <c r="P11" s="18" t="s">
        <v>237</v>
      </c>
      <c r="Q11" s="18" t="str">
        <f t="shared" si="0"/>
        <v>YES</v>
      </c>
      <c r="S11" t="s">
        <v>314</v>
      </c>
      <c r="T11">
        <v>1500000</v>
      </c>
    </row>
    <row r="12" spans="1:20" ht="15" thickBot="1" x14ac:dyDescent="0.35">
      <c r="A12" s="20" t="s">
        <v>420</v>
      </c>
      <c r="B12" s="18" t="s">
        <v>421</v>
      </c>
      <c r="H12" s="18" t="s">
        <v>213</v>
      </c>
      <c r="I12" s="18" t="s">
        <v>215</v>
      </c>
      <c r="J12" s="19">
        <v>8</v>
      </c>
      <c r="K12" s="19" t="s">
        <v>267</v>
      </c>
      <c r="L12" s="18">
        <v>50</v>
      </c>
      <c r="M12" s="18" t="s">
        <v>216</v>
      </c>
      <c r="N12" s="18">
        <v>1900000</v>
      </c>
      <c r="O12" s="18" t="s">
        <v>217</v>
      </c>
      <c r="P12" s="18" t="s">
        <v>218</v>
      </c>
      <c r="Q12" s="18" t="str">
        <f t="shared" si="0"/>
        <v>YES</v>
      </c>
      <c r="S12" t="s">
        <v>315</v>
      </c>
      <c r="T12">
        <v>211772535.71711791</v>
      </c>
    </row>
    <row r="13" spans="1:20" ht="15" thickBot="1" x14ac:dyDescent="0.35">
      <c r="H13" s="18" t="s">
        <v>213</v>
      </c>
      <c r="I13" s="18" t="s">
        <v>256</v>
      </c>
      <c r="J13" s="19">
        <v>15</v>
      </c>
      <c r="K13" s="19" t="s">
        <v>267</v>
      </c>
      <c r="L13" s="18">
        <v>40</v>
      </c>
      <c r="M13" s="18" t="s">
        <v>216</v>
      </c>
      <c r="N13" s="18">
        <v>1500000</v>
      </c>
      <c r="O13" s="18" t="s">
        <v>234</v>
      </c>
      <c r="P13" s="18" t="s">
        <v>218</v>
      </c>
      <c r="Q13" s="18" t="str">
        <f t="shared" si="0"/>
        <v>NO</v>
      </c>
      <c r="S13" t="s">
        <v>316</v>
      </c>
      <c r="T13">
        <v>4.4847606884057976E+16</v>
      </c>
    </row>
    <row r="14" spans="1:20" ht="15" thickBot="1" x14ac:dyDescent="0.35">
      <c r="H14" s="18" t="s">
        <v>213</v>
      </c>
      <c r="I14" s="18" t="s">
        <v>260</v>
      </c>
      <c r="J14" s="19">
        <v>15</v>
      </c>
      <c r="K14" s="19" t="s">
        <v>267</v>
      </c>
      <c r="L14" s="18">
        <v>40</v>
      </c>
      <c r="M14" s="18" t="s">
        <v>216</v>
      </c>
      <c r="N14" s="18">
        <v>1500000</v>
      </c>
      <c r="O14" s="18" t="s">
        <v>234</v>
      </c>
      <c r="P14" s="18" t="s">
        <v>243</v>
      </c>
      <c r="Q14" s="18" t="str">
        <f t="shared" si="0"/>
        <v>NO</v>
      </c>
      <c r="S14" t="s">
        <v>317</v>
      </c>
      <c r="T14">
        <v>17.563986305651383</v>
      </c>
    </row>
    <row r="15" spans="1:20" ht="15" thickBot="1" x14ac:dyDescent="0.35">
      <c r="H15" s="18" t="s">
        <v>244</v>
      </c>
      <c r="I15" s="18" t="s">
        <v>245</v>
      </c>
      <c r="J15" s="19">
        <v>20</v>
      </c>
      <c r="K15" s="19" t="s">
        <v>267</v>
      </c>
      <c r="L15" s="18">
        <v>15</v>
      </c>
      <c r="M15" s="18" t="s">
        <v>216</v>
      </c>
      <c r="N15" s="18">
        <v>300000</v>
      </c>
      <c r="O15" s="18" t="s">
        <v>217</v>
      </c>
      <c r="P15" s="18" t="s">
        <v>222</v>
      </c>
      <c r="Q15" s="18" t="str">
        <f t="shared" si="0"/>
        <v>NO</v>
      </c>
      <c r="S15" t="s">
        <v>318</v>
      </c>
      <c r="T15">
        <v>4.0436971295869393</v>
      </c>
    </row>
    <row r="16" spans="1:20" ht="15" thickBot="1" x14ac:dyDescent="0.35">
      <c r="H16" s="18" t="s">
        <v>244</v>
      </c>
      <c r="I16" s="18" t="s">
        <v>255</v>
      </c>
      <c r="J16" s="19">
        <v>25</v>
      </c>
      <c r="K16" s="19" t="s">
        <v>267</v>
      </c>
      <c r="L16" s="18">
        <v>30</v>
      </c>
      <c r="M16" s="18" t="s">
        <v>216</v>
      </c>
      <c r="N16" s="18">
        <v>300000</v>
      </c>
      <c r="O16" s="18" t="s">
        <v>217</v>
      </c>
      <c r="P16" s="18" t="s">
        <v>222</v>
      </c>
      <c r="Q16" s="18" t="str">
        <f t="shared" si="0"/>
        <v>NO</v>
      </c>
      <c r="S16" t="s">
        <v>319</v>
      </c>
      <c r="T16">
        <v>999700000</v>
      </c>
    </row>
    <row r="17" spans="1:22" ht="15" thickBot="1" x14ac:dyDescent="0.35">
      <c r="H17" s="18" t="s">
        <v>230</v>
      </c>
      <c r="I17" s="18" t="s">
        <v>231</v>
      </c>
      <c r="J17" s="19">
        <v>6</v>
      </c>
      <c r="K17" s="19" t="s">
        <v>267</v>
      </c>
      <c r="L17" s="18">
        <v>100</v>
      </c>
      <c r="M17" s="18" t="s">
        <v>216</v>
      </c>
      <c r="N17" s="18">
        <v>10000000</v>
      </c>
      <c r="O17" s="18" t="s">
        <v>217</v>
      </c>
      <c r="P17" s="18" t="s">
        <v>218</v>
      </c>
      <c r="Q17" s="18" t="str">
        <f t="shared" si="0"/>
        <v>YES</v>
      </c>
      <c r="S17" t="s">
        <v>320</v>
      </c>
      <c r="T17">
        <v>300000</v>
      </c>
    </row>
    <row r="18" spans="1:22" ht="15" thickBot="1" x14ac:dyDescent="0.35">
      <c r="H18" s="18" t="s">
        <v>250</v>
      </c>
      <c r="I18" s="18" t="s">
        <v>251</v>
      </c>
      <c r="J18" s="19">
        <v>12</v>
      </c>
      <c r="K18" s="19" t="s">
        <v>267</v>
      </c>
      <c r="L18" s="18">
        <v>80</v>
      </c>
      <c r="M18" s="18" t="s">
        <v>216</v>
      </c>
      <c r="N18" s="18">
        <v>2500000</v>
      </c>
      <c r="O18" s="18" t="s">
        <v>217</v>
      </c>
      <c r="P18" s="18" t="s">
        <v>222</v>
      </c>
      <c r="Q18" s="18" t="str">
        <f t="shared" si="0"/>
        <v>YES</v>
      </c>
      <c r="S18" t="s">
        <v>321</v>
      </c>
      <c r="T18">
        <v>1000000000</v>
      </c>
    </row>
    <row r="19" spans="1:22" ht="15" thickBot="1" x14ac:dyDescent="0.35">
      <c r="H19" s="18" t="s">
        <v>264</v>
      </c>
      <c r="I19" s="18" t="s">
        <v>265</v>
      </c>
      <c r="J19" s="19">
        <v>15</v>
      </c>
      <c r="K19" s="19" t="s">
        <v>267</v>
      </c>
      <c r="L19" s="18">
        <v>40</v>
      </c>
      <c r="M19" s="18" t="s">
        <v>216</v>
      </c>
      <c r="N19" s="18">
        <v>800000</v>
      </c>
      <c r="O19" s="18" t="s">
        <v>217</v>
      </c>
      <c r="P19" s="18" t="s">
        <v>222</v>
      </c>
      <c r="Q19" s="18" t="str">
        <f t="shared" si="0"/>
        <v>NO</v>
      </c>
      <c r="S19" t="s">
        <v>322</v>
      </c>
      <c r="T19">
        <v>1706600000</v>
      </c>
    </row>
    <row r="20" spans="1:22" ht="15" thickBot="1" x14ac:dyDescent="0.35">
      <c r="B20" t="s">
        <v>434</v>
      </c>
      <c r="H20" s="18" t="s">
        <v>246</v>
      </c>
      <c r="I20" s="18" t="s">
        <v>247</v>
      </c>
      <c r="J20" s="19">
        <v>5</v>
      </c>
      <c r="K20" s="19" t="s">
        <v>267</v>
      </c>
      <c r="L20" s="18">
        <v>200</v>
      </c>
      <c r="M20" s="18" t="s">
        <v>221</v>
      </c>
      <c r="N20" s="18">
        <v>300000000</v>
      </c>
      <c r="O20" s="18" t="s">
        <v>217</v>
      </c>
      <c r="P20" s="18" t="s">
        <v>248</v>
      </c>
      <c r="Q20" s="18" t="str">
        <f t="shared" si="0"/>
        <v>YES</v>
      </c>
      <c r="S20" s="10" t="s">
        <v>323</v>
      </c>
      <c r="T20" s="10">
        <v>24</v>
      </c>
    </row>
    <row r="21" spans="1:22" ht="15" thickBot="1" x14ac:dyDescent="0.35">
      <c r="A21" t="s">
        <v>427</v>
      </c>
      <c r="B21" t="s">
        <v>424</v>
      </c>
      <c r="H21" s="18" t="s">
        <v>225</v>
      </c>
      <c r="I21" s="18" t="s">
        <v>226</v>
      </c>
      <c r="J21" s="19">
        <v>15</v>
      </c>
      <c r="K21" s="19" t="s">
        <v>267</v>
      </c>
      <c r="L21" s="18">
        <v>30</v>
      </c>
      <c r="M21" s="18" t="s">
        <v>221</v>
      </c>
      <c r="N21" s="18">
        <v>800000</v>
      </c>
      <c r="O21" s="18" t="s">
        <v>217</v>
      </c>
      <c r="P21" s="18" t="s">
        <v>227</v>
      </c>
      <c r="Q21" s="18" t="str">
        <f t="shared" si="0"/>
        <v>NO</v>
      </c>
    </row>
    <row r="22" spans="1:22" ht="15" thickBot="1" x14ac:dyDescent="0.35">
      <c r="B22" t="s">
        <v>430</v>
      </c>
      <c r="C22">
        <v>300000</v>
      </c>
      <c r="D22" t="s">
        <v>431</v>
      </c>
      <c r="H22" s="18" t="s">
        <v>225</v>
      </c>
      <c r="I22" s="18" t="s">
        <v>254</v>
      </c>
      <c r="J22" s="19">
        <v>10</v>
      </c>
      <c r="K22" s="19" t="s">
        <v>267</v>
      </c>
      <c r="L22" s="18">
        <v>50</v>
      </c>
      <c r="M22" s="18" t="s">
        <v>216</v>
      </c>
      <c r="N22" s="18">
        <v>1200000</v>
      </c>
      <c r="O22" s="18" t="s">
        <v>234</v>
      </c>
      <c r="P22" s="18" t="s">
        <v>218</v>
      </c>
      <c r="Q22" s="18" t="str">
        <f t="shared" si="0"/>
        <v>YES</v>
      </c>
    </row>
    <row r="23" spans="1:22" ht="15" thickBot="1" x14ac:dyDescent="0.35">
      <c r="B23" t="s">
        <v>425</v>
      </c>
      <c r="C23">
        <v>9</v>
      </c>
      <c r="D23" t="s">
        <v>432</v>
      </c>
      <c r="H23" s="18" t="s">
        <v>225</v>
      </c>
      <c r="I23" s="18" t="s">
        <v>259</v>
      </c>
      <c r="J23" s="19">
        <v>12</v>
      </c>
      <c r="K23" s="19" t="s">
        <v>267</v>
      </c>
      <c r="L23" s="18">
        <v>45</v>
      </c>
      <c r="M23" s="18" t="s">
        <v>216</v>
      </c>
      <c r="N23" s="18">
        <v>1200000</v>
      </c>
      <c r="O23" s="18" t="s">
        <v>234</v>
      </c>
      <c r="P23" s="18" t="s">
        <v>227</v>
      </c>
      <c r="Q23" s="18" t="str">
        <f t="shared" si="0"/>
        <v>YES</v>
      </c>
    </row>
    <row r="24" spans="1:22" ht="15" thickBot="1" x14ac:dyDescent="0.35">
      <c r="B24" t="s">
        <v>426</v>
      </c>
      <c r="C24">
        <f>MIN(J3:J26)</f>
        <v>2</v>
      </c>
      <c r="D24">
        <f>MAX(J3:J26)</f>
        <v>30</v>
      </c>
      <c r="H24" s="18" t="s">
        <v>225</v>
      </c>
      <c r="I24" s="18" t="s">
        <v>263</v>
      </c>
      <c r="J24" s="19">
        <v>20</v>
      </c>
      <c r="K24" s="19" t="s">
        <v>267</v>
      </c>
      <c r="L24" s="18">
        <v>45</v>
      </c>
      <c r="M24" s="18" t="s">
        <v>221</v>
      </c>
      <c r="N24" s="18">
        <v>1100000</v>
      </c>
      <c r="O24" s="18" t="s">
        <v>217</v>
      </c>
      <c r="P24" s="18" t="s">
        <v>243</v>
      </c>
      <c r="Q24" s="18" t="str">
        <f t="shared" si="0"/>
        <v>YES</v>
      </c>
    </row>
    <row r="25" spans="1:22" ht="15" thickBot="1" x14ac:dyDescent="0.35">
      <c r="B25" t="s">
        <v>433</v>
      </c>
      <c r="C25" t="s">
        <v>217</v>
      </c>
      <c r="D25" t="s">
        <v>234</v>
      </c>
      <c r="H25" s="18" t="s">
        <v>219</v>
      </c>
      <c r="I25" s="18" t="s">
        <v>220</v>
      </c>
      <c r="J25" s="19">
        <v>12</v>
      </c>
      <c r="K25" s="19" t="s">
        <v>267</v>
      </c>
      <c r="L25" s="18">
        <v>35</v>
      </c>
      <c r="M25" s="18" t="s">
        <v>221</v>
      </c>
      <c r="N25" s="18">
        <v>1500000</v>
      </c>
      <c r="O25" s="18" t="s">
        <v>217</v>
      </c>
      <c r="P25" s="18" t="s">
        <v>222</v>
      </c>
      <c r="Q25" s="18" t="str">
        <f t="shared" si="0"/>
        <v>NO</v>
      </c>
    </row>
    <row r="26" spans="1:22" ht="15" thickBot="1" x14ac:dyDescent="0.35">
      <c r="B26" t="s">
        <v>428</v>
      </c>
      <c r="C26" t="s">
        <v>221</v>
      </c>
      <c r="D26" t="s">
        <v>216</v>
      </c>
      <c r="H26" s="18" t="s">
        <v>223</v>
      </c>
      <c r="I26" s="18" t="s">
        <v>224</v>
      </c>
      <c r="J26" s="19">
        <v>10</v>
      </c>
      <c r="K26" s="19" t="s">
        <v>267</v>
      </c>
      <c r="L26" s="18">
        <v>45</v>
      </c>
      <c r="M26" s="18" t="s">
        <v>216</v>
      </c>
      <c r="N26" s="18">
        <v>4700000</v>
      </c>
      <c r="O26" s="18" t="s">
        <v>217</v>
      </c>
      <c r="P26" s="18" t="s">
        <v>218</v>
      </c>
      <c r="Q26" s="18" t="str">
        <f t="shared" si="0"/>
        <v>NO</v>
      </c>
    </row>
    <row r="28" spans="1:22" x14ac:dyDescent="0.3">
      <c r="I28" t="s">
        <v>478</v>
      </c>
    </row>
    <row r="29" spans="1:22" x14ac:dyDescent="0.3">
      <c r="B29" t="s">
        <v>435</v>
      </c>
    </row>
    <row r="30" spans="1:22" x14ac:dyDescent="0.3">
      <c r="B30">
        <v>30000</v>
      </c>
      <c r="C30" t="s">
        <v>431</v>
      </c>
    </row>
    <row r="31" spans="1:22" x14ac:dyDescent="0.3">
      <c r="B31" t="s">
        <v>436</v>
      </c>
      <c r="C31">
        <v>9</v>
      </c>
      <c r="I31" t="s">
        <v>472</v>
      </c>
      <c r="P31" t="s">
        <v>474</v>
      </c>
      <c r="Q31" t="s">
        <v>476</v>
      </c>
      <c r="R31" t="s">
        <v>479</v>
      </c>
      <c r="S31" t="s">
        <v>480</v>
      </c>
      <c r="T31" t="s">
        <v>481</v>
      </c>
      <c r="U31" t="s">
        <v>482</v>
      </c>
      <c r="V31" t="s">
        <v>483</v>
      </c>
    </row>
    <row r="32" spans="1:22" x14ac:dyDescent="0.3">
      <c r="B32" t="s">
        <v>437</v>
      </c>
      <c r="C32">
        <v>2</v>
      </c>
      <c r="D32">
        <v>30</v>
      </c>
      <c r="I32" t="s">
        <v>473</v>
      </c>
      <c r="P32" t="s">
        <v>475</v>
      </c>
      <c r="Q32" t="s">
        <v>477</v>
      </c>
      <c r="V32" t="s">
        <v>484</v>
      </c>
    </row>
    <row r="33" spans="1:15" x14ac:dyDescent="0.3">
      <c r="B33" t="s">
        <v>438</v>
      </c>
      <c r="C33" t="s">
        <v>217</v>
      </c>
      <c r="D33" t="s">
        <v>234</v>
      </c>
      <c r="I33" t="s">
        <v>493</v>
      </c>
      <c r="L33" t="s">
        <v>485</v>
      </c>
    </row>
    <row r="34" spans="1:15" x14ac:dyDescent="0.3">
      <c r="B34" t="s">
        <v>212</v>
      </c>
      <c r="C34" t="s">
        <v>221</v>
      </c>
      <c r="D34" t="s">
        <v>216</v>
      </c>
      <c r="L34" t="s">
        <v>486</v>
      </c>
    </row>
    <row r="35" spans="1:15" x14ac:dyDescent="0.3">
      <c r="L35" t="s">
        <v>487</v>
      </c>
    </row>
    <row r="36" spans="1:15" x14ac:dyDescent="0.3">
      <c r="L36" t="s">
        <v>488</v>
      </c>
    </row>
    <row r="37" spans="1:15" x14ac:dyDescent="0.3">
      <c r="L37" t="s">
        <v>489</v>
      </c>
      <c r="O37" t="s">
        <v>492</v>
      </c>
    </row>
    <row r="38" spans="1:15" x14ac:dyDescent="0.3">
      <c r="L38" t="s">
        <v>490</v>
      </c>
    </row>
    <row r="39" spans="1:15" x14ac:dyDescent="0.3">
      <c r="A39" t="s">
        <v>494</v>
      </c>
      <c r="B39">
        <f>MIN(N3:N26)</f>
        <v>300000</v>
      </c>
      <c r="F39" t="s">
        <v>497</v>
      </c>
      <c r="L39" t="s">
        <v>491</v>
      </c>
    </row>
    <row r="40" spans="1:15" x14ac:dyDescent="0.3">
      <c r="A40" t="s">
        <v>495</v>
      </c>
      <c r="B40">
        <f>MAX(N3:N26)</f>
        <v>1000000000</v>
      </c>
      <c r="F40" t="s">
        <v>498</v>
      </c>
    </row>
    <row r="41" spans="1:15" x14ac:dyDescent="0.3">
      <c r="D41" t="s">
        <v>221</v>
      </c>
      <c r="F41" t="s">
        <v>499</v>
      </c>
    </row>
    <row r="42" spans="1:15" x14ac:dyDescent="0.3">
      <c r="F42" t="s">
        <v>500</v>
      </c>
    </row>
    <row r="47" spans="1:15" ht="32.4" x14ac:dyDescent="0.6">
      <c r="A47" s="22" t="s">
        <v>501</v>
      </c>
    </row>
    <row r="50" spans="3:5" x14ac:dyDescent="0.3">
      <c r="C50" s="23" t="s">
        <v>502</v>
      </c>
      <c r="D50" t="s">
        <v>504</v>
      </c>
      <c r="E50" t="s">
        <v>505</v>
      </c>
    </row>
    <row r="51" spans="3:5" x14ac:dyDescent="0.3">
      <c r="C51" s="21" t="s">
        <v>241</v>
      </c>
      <c r="D51">
        <v>8000000</v>
      </c>
      <c r="E51">
        <v>18</v>
      </c>
    </row>
    <row r="52" spans="3:5" x14ac:dyDescent="0.3">
      <c r="C52" s="21" t="s">
        <v>238</v>
      </c>
      <c r="D52">
        <v>10000000</v>
      </c>
      <c r="E52">
        <v>10</v>
      </c>
    </row>
    <row r="53" spans="3:5" x14ac:dyDescent="0.3">
      <c r="C53" s="21" t="s">
        <v>252</v>
      </c>
      <c r="D53">
        <v>1000000000</v>
      </c>
      <c r="E53">
        <v>2</v>
      </c>
    </row>
    <row r="54" spans="3:5" x14ac:dyDescent="0.3">
      <c r="C54" s="21" t="s">
        <v>257</v>
      </c>
      <c r="D54">
        <v>700000</v>
      </c>
      <c r="E54">
        <v>30</v>
      </c>
    </row>
    <row r="55" spans="3:5" x14ac:dyDescent="0.3">
      <c r="C55" s="21" t="s">
        <v>232</v>
      </c>
      <c r="D55">
        <v>150000000</v>
      </c>
      <c r="E55">
        <v>3</v>
      </c>
    </row>
    <row r="56" spans="3:5" x14ac:dyDescent="0.3">
      <c r="C56" s="21" t="s">
        <v>228</v>
      </c>
      <c r="D56">
        <v>2600000</v>
      </c>
      <c r="E56">
        <v>41</v>
      </c>
    </row>
    <row r="57" spans="3:5" x14ac:dyDescent="0.3">
      <c r="C57" s="21" t="s">
        <v>235</v>
      </c>
      <c r="D57">
        <v>200000000</v>
      </c>
      <c r="E57">
        <v>5</v>
      </c>
    </row>
    <row r="58" spans="3:5" x14ac:dyDescent="0.3">
      <c r="C58" s="21" t="s">
        <v>213</v>
      </c>
      <c r="D58">
        <v>4900000</v>
      </c>
      <c r="E58">
        <v>38</v>
      </c>
    </row>
    <row r="59" spans="3:5" x14ac:dyDescent="0.3">
      <c r="C59" s="21" t="s">
        <v>244</v>
      </c>
      <c r="D59">
        <v>600000</v>
      </c>
      <c r="E59">
        <v>45</v>
      </c>
    </row>
    <row r="60" spans="3:5" x14ac:dyDescent="0.3">
      <c r="C60" s="21" t="s">
        <v>230</v>
      </c>
      <c r="D60">
        <v>10000000</v>
      </c>
      <c r="E60">
        <v>6</v>
      </c>
    </row>
    <row r="61" spans="3:5" x14ac:dyDescent="0.3">
      <c r="C61" s="21" t="s">
        <v>250</v>
      </c>
      <c r="D61">
        <v>2500000</v>
      </c>
      <c r="E61">
        <v>12</v>
      </c>
    </row>
    <row r="62" spans="3:5" x14ac:dyDescent="0.3">
      <c r="C62" s="21" t="s">
        <v>264</v>
      </c>
      <c r="D62">
        <v>800000</v>
      </c>
      <c r="E62">
        <v>15</v>
      </c>
    </row>
    <row r="63" spans="3:5" x14ac:dyDescent="0.3">
      <c r="C63" s="21" t="s">
        <v>246</v>
      </c>
      <c r="D63">
        <v>300000000</v>
      </c>
      <c r="E63">
        <v>5</v>
      </c>
    </row>
    <row r="64" spans="3:5" x14ac:dyDescent="0.3">
      <c r="C64" s="21" t="s">
        <v>225</v>
      </c>
      <c r="D64">
        <v>4300000</v>
      </c>
      <c r="E64">
        <v>57</v>
      </c>
    </row>
    <row r="65" spans="3:5" x14ac:dyDescent="0.3">
      <c r="C65" s="21" t="s">
        <v>219</v>
      </c>
      <c r="D65">
        <v>1500000</v>
      </c>
      <c r="E65">
        <v>12</v>
      </c>
    </row>
    <row r="66" spans="3:5" x14ac:dyDescent="0.3">
      <c r="C66" s="21" t="s">
        <v>223</v>
      </c>
      <c r="D66">
        <v>4700000</v>
      </c>
      <c r="E66">
        <v>10</v>
      </c>
    </row>
    <row r="67" spans="3:5" x14ac:dyDescent="0.3">
      <c r="C67" s="21" t="s">
        <v>503</v>
      </c>
      <c r="D67">
        <v>1700600000</v>
      </c>
      <c r="E67">
        <v>309</v>
      </c>
    </row>
  </sheetData>
  <autoFilter ref="M1:M50" xr:uid="{5A259521-83CC-4C28-8C78-722FAF585996}"/>
  <sortState xmlns:xlrd2="http://schemas.microsoft.com/office/spreadsheetml/2017/richdata2" ref="H3:Q26">
    <sortCondition ref="H2:H26"/>
  </sortState>
  <mergeCells count="1">
    <mergeCell ref="A1:G1"/>
  </mergeCells>
  <conditionalFormatting sqref="N3:N2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1">
    <cfRule type="cellIs" dxfId="1" priority="1" operator="lessThan">
      <formula>$N$3</formula>
    </cfRule>
    <cfRule type="cellIs" dxfId="0" priority="2" operator="lessThan">
      <formula>500000</formula>
    </cfRule>
  </conditionalFormatting>
  <pageMargins left="0.7" right="0.7" top="0.75" bottom="0.75" header="0.3" footer="0.3"/>
  <pageSetup orientation="portrait" r:id="rId2"/>
  <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4E59F-81C5-4CFC-B922-E8E8AB87F687}">
  <sheetPr codeName="Sheet20"/>
  <dimension ref="A1:O63"/>
  <sheetViews>
    <sheetView topLeftCell="A55" zoomScaleNormal="100" workbookViewId="0">
      <selection activeCell="F51" sqref="F51"/>
    </sheetView>
  </sheetViews>
  <sheetFormatPr defaultRowHeight="14.4" x14ac:dyDescent="0.3"/>
  <cols>
    <col min="1" max="1" width="19.6640625" customWidth="1"/>
    <col min="2" max="2" width="13" bestFit="1" customWidth="1"/>
    <col min="3" max="3" width="12.33203125" bestFit="1" customWidth="1"/>
    <col min="6" max="6" width="10.109375" bestFit="1" customWidth="1"/>
    <col min="7" max="7" width="11" bestFit="1" customWidth="1"/>
    <col min="12" max="12" width="39" bestFit="1" customWidth="1"/>
    <col min="14" max="14" width="16.5546875" bestFit="1" customWidth="1"/>
    <col min="15" max="15" width="12" bestFit="1" customWidth="1"/>
  </cols>
  <sheetData>
    <row r="1" spans="1:15" ht="15" thickBot="1" x14ac:dyDescent="0.35">
      <c r="A1" s="16" t="s">
        <v>214</v>
      </c>
      <c r="B1" s="16" t="s">
        <v>207</v>
      </c>
      <c r="C1" s="17" t="s">
        <v>268</v>
      </c>
      <c r="D1" s="17" t="s">
        <v>269</v>
      </c>
      <c r="E1" s="16" t="s">
        <v>208</v>
      </c>
      <c r="F1" s="16" t="s">
        <v>212</v>
      </c>
      <c r="G1" s="16" t="s">
        <v>209</v>
      </c>
      <c r="H1" s="16" t="s">
        <v>210</v>
      </c>
      <c r="I1" s="16" t="s">
        <v>211</v>
      </c>
      <c r="J1" s="16" t="s">
        <v>272</v>
      </c>
    </row>
    <row r="2" spans="1:15" ht="20.399999999999999" thickBot="1" x14ac:dyDescent="0.45">
      <c r="A2" s="18" t="s">
        <v>241</v>
      </c>
      <c r="B2" s="18" t="s">
        <v>242</v>
      </c>
      <c r="C2" s="19">
        <v>10</v>
      </c>
      <c r="D2" s="19" t="s">
        <v>267</v>
      </c>
      <c r="E2" s="18">
        <v>80</v>
      </c>
      <c r="F2" s="18" t="s">
        <v>221</v>
      </c>
      <c r="G2" s="18">
        <v>6000000</v>
      </c>
      <c r="H2" s="18" t="s">
        <v>217</v>
      </c>
      <c r="I2" s="18" t="s">
        <v>243</v>
      </c>
      <c r="J2" s="18" t="str">
        <f>IF(AND(C3&gt;5,E2&gt;40),"YES","NO")</f>
        <v>YES</v>
      </c>
      <c r="L2" s="3" t="s">
        <v>506</v>
      </c>
      <c r="N2" s="11" t="s">
        <v>209</v>
      </c>
      <c r="O2" s="11"/>
    </row>
    <row r="3" spans="1:15" ht="15" thickBot="1" x14ac:dyDescent="0.35">
      <c r="A3" s="18" t="s">
        <v>241</v>
      </c>
      <c r="B3" s="18" t="s">
        <v>249</v>
      </c>
      <c r="C3" s="19">
        <v>18</v>
      </c>
      <c r="D3" s="19" t="s">
        <v>267</v>
      </c>
      <c r="E3" s="18">
        <v>150</v>
      </c>
      <c r="F3" s="18" t="s">
        <v>221</v>
      </c>
      <c r="G3" s="18">
        <v>8000000</v>
      </c>
      <c r="H3" s="18" t="s">
        <v>217</v>
      </c>
      <c r="I3" s="18" t="s">
        <v>218</v>
      </c>
      <c r="J3" s="18" t="str">
        <f>IF(AND(C4&gt;5,E3&gt;40),"YES","NO")</f>
        <v>YES</v>
      </c>
    </row>
    <row r="4" spans="1:15" ht="15" thickBot="1" x14ac:dyDescent="0.35">
      <c r="A4" s="18" t="s">
        <v>238</v>
      </c>
      <c r="B4" s="18" t="s">
        <v>239</v>
      </c>
      <c r="C4" s="19">
        <v>10</v>
      </c>
      <c r="D4" s="19" t="s">
        <v>267</v>
      </c>
      <c r="E4" s="18">
        <v>130</v>
      </c>
      <c r="F4" s="18" t="s">
        <v>221</v>
      </c>
      <c r="G4" s="18">
        <v>10000000</v>
      </c>
      <c r="H4" s="18" t="s">
        <v>217</v>
      </c>
      <c r="I4" s="18" t="s">
        <v>240</v>
      </c>
      <c r="J4" s="18" t="str">
        <f>IF(AND(C5&gt;5,E4&gt;40),"YES","NO")</f>
        <v>NO</v>
      </c>
      <c r="N4" t="s">
        <v>311</v>
      </c>
      <c r="O4">
        <v>71108333.333333328</v>
      </c>
    </row>
    <row r="5" spans="1:15" ht="15" thickBot="1" x14ac:dyDescent="0.35">
      <c r="A5" s="18" t="s">
        <v>252</v>
      </c>
      <c r="B5" s="18" t="s">
        <v>253</v>
      </c>
      <c r="C5" s="19">
        <v>2</v>
      </c>
      <c r="D5" s="19" t="s">
        <v>267</v>
      </c>
      <c r="E5" s="18">
        <v>300</v>
      </c>
      <c r="F5" s="18" t="s">
        <v>221</v>
      </c>
      <c r="G5" s="18">
        <v>1000000000</v>
      </c>
      <c r="H5" s="18" t="s">
        <v>217</v>
      </c>
      <c r="I5" s="18" t="s">
        <v>218</v>
      </c>
      <c r="J5" s="18" t="b">
        <f>AND(C5&gt;5,E5&gt;40)</f>
        <v>0</v>
      </c>
      <c r="N5" t="s">
        <v>312</v>
      </c>
      <c r="O5">
        <v>43227887.836855382</v>
      </c>
    </row>
    <row r="6" spans="1:15" ht="15" thickBot="1" x14ac:dyDescent="0.35">
      <c r="A6" s="18" t="s">
        <v>257</v>
      </c>
      <c r="B6" s="18" t="s">
        <v>258</v>
      </c>
      <c r="C6" s="19">
        <v>30</v>
      </c>
      <c r="D6" s="19" t="s">
        <v>267</v>
      </c>
      <c r="E6" s="18">
        <v>20</v>
      </c>
      <c r="F6" s="18" t="s">
        <v>216</v>
      </c>
      <c r="G6" s="18">
        <v>700000</v>
      </c>
      <c r="H6" s="18" t="s">
        <v>234</v>
      </c>
      <c r="I6" s="18" t="s">
        <v>218</v>
      </c>
      <c r="J6" s="18" t="str">
        <f t="shared" ref="J6:J25" si="0">IF(AND(C7&gt;5,E6&gt;40),"YES","NO")</f>
        <v>NO</v>
      </c>
      <c r="N6" t="s">
        <v>313</v>
      </c>
      <c r="O6">
        <v>1600000</v>
      </c>
    </row>
    <row r="7" spans="1:15" ht="15" thickBot="1" x14ac:dyDescent="0.35">
      <c r="A7" s="18" t="s">
        <v>232</v>
      </c>
      <c r="B7" s="18" t="s">
        <v>233</v>
      </c>
      <c r="C7" s="19">
        <v>3</v>
      </c>
      <c r="D7" s="19" t="s">
        <v>267</v>
      </c>
      <c r="E7" s="18">
        <v>150</v>
      </c>
      <c r="F7" s="18" t="s">
        <v>216</v>
      </c>
      <c r="G7" s="18">
        <v>150000000</v>
      </c>
      <c r="H7" s="18" t="s">
        <v>234</v>
      </c>
      <c r="I7" s="18" t="s">
        <v>222</v>
      </c>
      <c r="J7" s="18" t="str">
        <f t="shared" si="0"/>
        <v>YES</v>
      </c>
      <c r="N7" t="s">
        <v>314</v>
      </c>
      <c r="O7">
        <v>1500000</v>
      </c>
    </row>
    <row r="8" spans="1:15" ht="15" thickBot="1" x14ac:dyDescent="0.35">
      <c r="A8" s="18" t="s">
        <v>228</v>
      </c>
      <c r="B8" s="18" t="s">
        <v>229</v>
      </c>
      <c r="C8" s="19">
        <v>18</v>
      </c>
      <c r="D8" s="19" t="s">
        <v>267</v>
      </c>
      <c r="E8" s="18">
        <v>30</v>
      </c>
      <c r="F8" s="18" t="s">
        <v>221</v>
      </c>
      <c r="G8" s="18">
        <v>1700000</v>
      </c>
      <c r="H8" s="18" t="s">
        <v>217</v>
      </c>
      <c r="I8" s="18" t="s">
        <v>227</v>
      </c>
      <c r="J8" s="18" t="str">
        <f t="shared" si="0"/>
        <v>NO</v>
      </c>
      <c r="N8" t="s">
        <v>315</v>
      </c>
      <c r="O8">
        <v>211772535.71711791</v>
      </c>
    </row>
    <row r="9" spans="1:15" ht="15" thickBot="1" x14ac:dyDescent="0.35">
      <c r="A9" s="18" t="s">
        <v>228</v>
      </c>
      <c r="B9" s="18" t="s">
        <v>261</v>
      </c>
      <c r="C9" s="19">
        <v>23</v>
      </c>
      <c r="D9" s="19" t="s">
        <v>267</v>
      </c>
      <c r="E9" s="18">
        <v>35</v>
      </c>
      <c r="F9" s="18" t="s">
        <v>216</v>
      </c>
      <c r="G9" s="18">
        <v>900000</v>
      </c>
      <c r="H9" s="18" t="s">
        <v>217</v>
      </c>
      <c r="I9" s="18" t="s">
        <v>262</v>
      </c>
      <c r="J9" s="18" t="str">
        <f t="shared" si="0"/>
        <v>NO</v>
      </c>
      <c r="N9" t="s">
        <v>316</v>
      </c>
      <c r="O9">
        <v>4.4847606884057976E+16</v>
      </c>
    </row>
    <row r="10" spans="1:15" ht="15" thickBot="1" x14ac:dyDescent="0.35">
      <c r="A10" s="18" t="s">
        <v>235</v>
      </c>
      <c r="B10" s="18" t="s">
        <v>236</v>
      </c>
      <c r="C10" s="19">
        <v>5</v>
      </c>
      <c r="D10" s="19" t="s">
        <v>267</v>
      </c>
      <c r="E10" s="18">
        <v>120</v>
      </c>
      <c r="F10" s="18" t="s">
        <v>221</v>
      </c>
      <c r="G10" s="18">
        <v>200000000</v>
      </c>
      <c r="H10" s="18" t="s">
        <v>217</v>
      </c>
      <c r="I10" s="18" t="s">
        <v>237</v>
      </c>
      <c r="J10" s="18" t="str">
        <f t="shared" si="0"/>
        <v>YES</v>
      </c>
      <c r="N10" t="s">
        <v>317</v>
      </c>
      <c r="O10">
        <v>17.563986305651383</v>
      </c>
    </row>
    <row r="11" spans="1:15" ht="15" thickBot="1" x14ac:dyDescent="0.35">
      <c r="A11" s="18" t="s">
        <v>213</v>
      </c>
      <c r="B11" s="18" t="s">
        <v>215</v>
      </c>
      <c r="C11" s="19">
        <v>8</v>
      </c>
      <c r="D11" s="19" t="s">
        <v>267</v>
      </c>
      <c r="E11" s="18">
        <v>50</v>
      </c>
      <c r="F11" s="18" t="s">
        <v>216</v>
      </c>
      <c r="G11" s="18">
        <v>1900000</v>
      </c>
      <c r="H11" s="18" t="s">
        <v>217</v>
      </c>
      <c r="I11" s="18" t="s">
        <v>218</v>
      </c>
      <c r="J11" s="18" t="str">
        <f t="shared" si="0"/>
        <v>YES</v>
      </c>
      <c r="N11" t="s">
        <v>318</v>
      </c>
      <c r="O11">
        <v>4.0436971295869393</v>
      </c>
    </row>
    <row r="12" spans="1:15" ht="15" thickBot="1" x14ac:dyDescent="0.35">
      <c r="A12" s="18" t="s">
        <v>213</v>
      </c>
      <c r="B12" s="18" t="s">
        <v>256</v>
      </c>
      <c r="C12" s="19">
        <v>15</v>
      </c>
      <c r="D12" s="19" t="s">
        <v>267</v>
      </c>
      <c r="E12" s="18">
        <v>40</v>
      </c>
      <c r="F12" s="18" t="s">
        <v>216</v>
      </c>
      <c r="G12" s="18">
        <v>1500000</v>
      </c>
      <c r="H12" s="18" t="s">
        <v>234</v>
      </c>
      <c r="I12" s="18" t="s">
        <v>218</v>
      </c>
      <c r="J12" s="18" t="str">
        <f t="shared" si="0"/>
        <v>NO</v>
      </c>
      <c r="N12" t="s">
        <v>319</v>
      </c>
      <c r="O12">
        <v>999700000</v>
      </c>
    </row>
    <row r="13" spans="1:15" ht="15" thickBot="1" x14ac:dyDescent="0.35">
      <c r="A13" s="18" t="s">
        <v>213</v>
      </c>
      <c r="B13" s="18" t="s">
        <v>260</v>
      </c>
      <c r="C13" s="19">
        <v>15</v>
      </c>
      <c r="D13" s="19" t="s">
        <v>267</v>
      </c>
      <c r="E13" s="18">
        <v>40</v>
      </c>
      <c r="F13" s="18" t="s">
        <v>216</v>
      </c>
      <c r="G13" s="18">
        <v>1500000</v>
      </c>
      <c r="H13" s="18" t="s">
        <v>234</v>
      </c>
      <c r="I13" s="18" t="s">
        <v>243</v>
      </c>
      <c r="J13" s="18" t="str">
        <f t="shared" si="0"/>
        <v>NO</v>
      </c>
      <c r="N13" t="s">
        <v>320</v>
      </c>
      <c r="O13">
        <v>300000</v>
      </c>
    </row>
    <row r="14" spans="1:15" ht="15" thickBot="1" x14ac:dyDescent="0.35">
      <c r="A14" s="18" t="s">
        <v>244</v>
      </c>
      <c r="B14" s="18" t="s">
        <v>245</v>
      </c>
      <c r="C14" s="19">
        <v>20</v>
      </c>
      <c r="D14" s="19" t="s">
        <v>267</v>
      </c>
      <c r="E14" s="18">
        <v>15</v>
      </c>
      <c r="F14" s="18" t="s">
        <v>216</v>
      </c>
      <c r="G14" s="18">
        <v>300000</v>
      </c>
      <c r="H14" s="18" t="s">
        <v>217</v>
      </c>
      <c r="I14" s="18" t="s">
        <v>222</v>
      </c>
      <c r="J14" s="18" t="str">
        <f t="shared" si="0"/>
        <v>NO</v>
      </c>
      <c r="N14" t="s">
        <v>321</v>
      </c>
      <c r="O14">
        <v>1000000000</v>
      </c>
    </row>
    <row r="15" spans="1:15" ht="15" thickBot="1" x14ac:dyDescent="0.35">
      <c r="A15" s="18" t="s">
        <v>244</v>
      </c>
      <c r="B15" s="18" t="s">
        <v>255</v>
      </c>
      <c r="C15" s="19">
        <v>25</v>
      </c>
      <c r="D15" s="19" t="s">
        <v>267</v>
      </c>
      <c r="E15" s="18">
        <v>30</v>
      </c>
      <c r="F15" s="18" t="s">
        <v>216</v>
      </c>
      <c r="G15" s="18">
        <v>300000</v>
      </c>
      <c r="H15" s="18" t="s">
        <v>217</v>
      </c>
      <c r="I15" s="18" t="s">
        <v>222</v>
      </c>
      <c r="J15" s="18" t="str">
        <f t="shared" si="0"/>
        <v>NO</v>
      </c>
      <c r="N15" t="s">
        <v>322</v>
      </c>
      <c r="O15">
        <v>1706600000</v>
      </c>
    </row>
    <row r="16" spans="1:15" ht="15" thickBot="1" x14ac:dyDescent="0.35">
      <c r="A16" s="18" t="s">
        <v>230</v>
      </c>
      <c r="B16" s="18" t="s">
        <v>231</v>
      </c>
      <c r="C16" s="19">
        <v>6</v>
      </c>
      <c r="D16" s="19" t="s">
        <v>267</v>
      </c>
      <c r="E16" s="18">
        <v>100</v>
      </c>
      <c r="F16" s="18" t="s">
        <v>216</v>
      </c>
      <c r="G16" s="18">
        <v>10000000</v>
      </c>
      <c r="H16" s="18" t="s">
        <v>217</v>
      </c>
      <c r="I16" s="18" t="s">
        <v>218</v>
      </c>
      <c r="J16" s="18" t="str">
        <f t="shared" si="0"/>
        <v>YES</v>
      </c>
      <c r="N16" s="10" t="s">
        <v>323</v>
      </c>
      <c r="O16" s="10">
        <v>24</v>
      </c>
    </row>
    <row r="17" spans="1:15" ht="15" thickBot="1" x14ac:dyDescent="0.35">
      <c r="A17" s="18" t="s">
        <v>250</v>
      </c>
      <c r="B17" s="18" t="s">
        <v>251</v>
      </c>
      <c r="C17" s="19">
        <v>12</v>
      </c>
      <c r="D17" s="19" t="s">
        <v>267</v>
      </c>
      <c r="E17" s="18">
        <v>80</v>
      </c>
      <c r="F17" s="18" t="s">
        <v>216</v>
      </c>
      <c r="G17" s="18">
        <v>2500000</v>
      </c>
      <c r="H17" s="18" t="s">
        <v>217</v>
      </c>
      <c r="I17" s="18" t="s">
        <v>222</v>
      </c>
      <c r="J17" s="18" t="str">
        <f t="shared" si="0"/>
        <v>YES</v>
      </c>
    </row>
    <row r="18" spans="1:15" ht="15" thickBot="1" x14ac:dyDescent="0.35">
      <c r="A18" s="18" t="s">
        <v>264</v>
      </c>
      <c r="B18" s="18" t="s">
        <v>265</v>
      </c>
      <c r="C18" s="19">
        <v>15</v>
      </c>
      <c r="D18" s="19" t="s">
        <v>267</v>
      </c>
      <c r="E18" s="18">
        <v>40</v>
      </c>
      <c r="F18" s="18" t="s">
        <v>216</v>
      </c>
      <c r="G18" s="18">
        <v>800000</v>
      </c>
      <c r="H18" s="18" t="s">
        <v>217</v>
      </c>
      <c r="I18" s="18" t="s">
        <v>222</v>
      </c>
      <c r="J18" s="18" t="str">
        <f t="shared" si="0"/>
        <v>NO</v>
      </c>
    </row>
    <row r="19" spans="1:15" ht="15" thickBot="1" x14ac:dyDescent="0.35">
      <c r="A19" s="18" t="s">
        <v>246</v>
      </c>
      <c r="B19" s="18" t="s">
        <v>247</v>
      </c>
      <c r="C19" s="19">
        <v>5</v>
      </c>
      <c r="D19" s="19" t="s">
        <v>267</v>
      </c>
      <c r="E19" s="18">
        <v>200</v>
      </c>
      <c r="F19" s="18" t="s">
        <v>221</v>
      </c>
      <c r="G19" s="18">
        <v>300000000</v>
      </c>
      <c r="H19" s="18" t="s">
        <v>217</v>
      </c>
      <c r="I19" s="18" t="s">
        <v>248</v>
      </c>
      <c r="J19" s="18" t="str">
        <f t="shared" si="0"/>
        <v>YES</v>
      </c>
    </row>
    <row r="20" spans="1:15" ht="20.399999999999999" thickBot="1" x14ac:dyDescent="0.45">
      <c r="A20" s="18" t="s">
        <v>225</v>
      </c>
      <c r="B20" s="18" t="s">
        <v>226</v>
      </c>
      <c r="C20" s="19">
        <v>15</v>
      </c>
      <c r="D20" s="19" t="s">
        <v>267</v>
      </c>
      <c r="E20" s="18">
        <v>30</v>
      </c>
      <c r="F20" s="18" t="s">
        <v>221</v>
      </c>
      <c r="G20" s="18">
        <v>800000</v>
      </c>
      <c r="H20" s="18" t="s">
        <v>217</v>
      </c>
      <c r="I20" s="18" t="s">
        <v>227</v>
      </c>
      <c r="J20" s="18" t="str">
        <f t="shared" si="0"/>
        <v>NO</v>
      </c>
      <c r="L20" s="3" t="s">
        <v>507</v>
      </c>
      <c r="N20" s="11" t="s">
        <v>268</v>
      </c>
      <c r="O20" s="11"/>
    </row>
    <row r="21" spans="1:15" ht="15" thickBot="1" x14ac:dyDescent="0.35">
      <c r="A21" s="18" t="s">
        <v>225</v>
      </c>
      <c r="B21" s="18" t="s">
        <v>254</v>
      </c>
      <c r="C21" s="19">
        <v>10</v>
      </c>
      <c r="D21" s="19" t="s">
        <v>267</v>
      </c>
      <c r="E21" s="18">
        <v>50</v>
      </c>
      <c r="F21" s="18" t="s">
        <v>216</v>
      </c>
      <c r="G21" s="18">
        <v>1200000</v>
      </c>
      <c r="H21" s="18" t="s">
        <v>234</v>
      </c>
      <c r="I21" s="18" t="s">
        <v>218</v>
      </c>
      <c r="J21" s="18" t="str">
        <f t="shared" si="0"/>
        <v>YES</v>
      </c>
    </row>
    <row r="22" spans="1:15" ht="15" thickBot="1" x14ac:dyDescent="0.35">
      <c r="A22" s="18" t="s">
        <v>225</v>
      </c>
      <c r="B22" s="18" t="s">
        <v>259</v>
      </c>
      <c r="C22" s="19">
        <v>12</v>
      </c>
      <c r="D22" s="19" t="s">
        <v>267</v>
      </c>
      <c r="E22" s="18">
        <v>45</v>
      </c>
      <c r="F22" s="18" t="s">
        <v>216</v>
      </c>
      <c r="G22" s="18">
        <v>1200000</v>
      </c>
      <c r="H22" s="18" t="s">
        <v>234</v>
      </c>
      <c r="I22" s="18" t="s">
        <v>227</v>
      </c>
      <c r="J22" s="18" t="str">
        <f t="shared" si="0"/>
        <v>YES</v>
      </c>
      <c r="N22" t="s">
        <v>311</v>
      </c>
      <c r="O22">
        <v>13.291666666666666</v>
      </c>
    </row>
    <row r="23" spans="1:15" ht="15" thickBot="1" x14ac:dyDescent="0.35">
      <c r="A23" s="18" t="s">
        <v>225</v>
      </c>
      <c r="B23" s="18" t="s">
        <v>263</v>
      </c>
      <c r="C23" s="19">
        <v>20</v>
      </c>
      <c r="D23" s="19" t="s">
        <v>267</v>
      </c>
      <c r="E23" s="18">
        <v>45</v>
      </c>
      <c r="F23" s="18" t="s">
        <v>221</v>
      </c>
      <c r="G23" s="18">
        <v>1100000</v>
      </c>
      <c r="H23" s="18" t="s">
        <v>217</v>
      </c>
      <c r="I23" s="18" t="s">
        <v>243</v>
      </c>
      <c r="J23" s="18" t="str">
        <f t="shared" si="0"/>
        <v>YES</v>
      </c>
      <c r="N23" t="s">
        <v>312</v>
      </c>
      <c r="O23">
        <v>1.4477358217789031</v>
      </c>
    </row>
    <row r="24" spans="1:15" ht="15" thickBot="1" x14ac:dyDescent="0.35">
      <c r="A24" s="18" t="s">
        <v>219</v>
      </c>
      <c r="B24" s="18" t="s">
        <v>220</v>
      </c>
      <c r="C24" s="19">
        <v>12</v>
      </c>
      <c r="D24" s="19" t="s">
        <v>267</v>
      </c>
      <c r="E24" s="18">
        <v>35</v>
      </c>
      <c r="F24" s="18" t="s">
        <v>221</v>
      </c>
      <c r="G24" s="18">
        <v>1500000</v>
      </c>
      <c r="H24" s="18" t="s">
        <v>217</v>
      </c>
      <c r="I24" s="18" t="s">
        <v>222</v>
      </c>
      <c r="J24" s="18" t="str">
        <f t="shared" si="0"/>
        <v>NO</v>
      </c>
      <c r="N24" t="s">
        <v>313</v>
      </c>
      <c r="O24">
        <v>12</v>
      </c>
    </row>
    <row r="25" spans="1:15" ht="15" thickBot="1" x14ac:dyDescent="0.35">
      <c r="A25" s="18" t="s">
        <v>223</v>
      </c>
      <c r="B25" s="18" t="s">
        <v>224</v>
      </c>
      <c r="C25" s="19">
        <v>10</v>
      </c>
      <c r="D25" s="19" t="s">
        <v>267</v>
      </c>
      <c r="E25" s="18">
        <v>45</v>
      </c>
      <c r="F25" s="18" t="s">
        <v>216</v>
      </c>
      <c r="G25" s="18">
        <v>4700000</v>
      </c>
      <c r="H25" s="18" t="s">
        <v>217</v>
      </c>
      <c r="I25" s="18" t="s">
        <v>218</v>
      </c>
      <c r="J25" s="18" t="str">
        <f t="shared" si="0"/>
        <v>NO</v>
      </c>
      <c r="N25" t="s">
        <v>314</v>
      </c>
      <c r="O25">
        <v>10</v>
      </c>
    </row>
    <row r="26" spans="1:15" x14ac:dyDescent="0.3">
      <c r="N26" t="s">
        <v>315</v>
      </c>
      <c r="O26">
        <v>7.092428091414396</v>
      </c>
    </row>
    <row r="27" spans="1:15" x14ac:dyDescent="0.3">
      <c r="N27" t="s">
        <v>316</v>
      </c>
      <c r="O27">
        <v>50.302536231884048</v>
      </c>
    </row>
    <row r="28" spans="1:15" ht="19.8" x14ac:dyDescent="0.4">
      <c r="A28" t="s">
        <v>508</v>
      </c>
      <c r="N28" t="s">
        <v>317</v>
      </c>
      <c r="O28">
        <v>-4.993397926997778E-2</v>
      </c>
    </row>
    <row r="29" spans="1:15" x14ac:dyDescent="0.3">
      <c r="B29" s="23" t="s">
        <v>502</v>
      </c>
      <c r="C29" t="s">
        <v>509</v>
      </c>
      <c r="N29" t="s">
        <v>318</v>
      </c>
      <c r="O29">
        <v>0.4868577244883821</v>
      </c>
    </row>
    <row r="30" spans="1:15" x14ac:dyDescent="0.3">
      <c r="B30" s="21" t="s">
        <v>244</v>
      </c>
      <c r="C30">
        <v>600000</v>
      </c>
      <c r="N30" t="s">
        <v>319</v>
      </c>
      <c r="O30">
        <v>28</v>
      </c>
    </row>
    <row r="31" spans="1:15" x14ac:dyDescent="0.3">
      <c r="B31" s="24" t="s">
        <v>255</v>
      </c>
      <c r="C31">
        <v>300000</v>
      </c>
      <c r="N31" t="s">
        <v>320</v>
      </c>
      <c r="O31">
        <v>2</v>
      </c>
    </row>
    <row r="32" spans="1:15" x14ac:dyDescent="0.3">
      <c r="B32" s="24" t="s">
        <v>245</v>
      </c>
      <c r="C32">
        <v>300000</v>
      </c>
      <c r="N32" t="s">
        <v>321</v>
      </c>
      <c r="O32">
        <v>30</v>
      </c>
    </row>
    <row r="33" spans="2:15" x14ac:dyDescent="0.3">
      <c r="B33" s="21" t="s">
        <v>503</v>
      </c>
      <c r="C33">
        <v>600000</v>
      </c>
      <c r="N33" t="s">
        <v>322</v>
      </c>
      <c r="O33">
        <v>319</v>
      </c>
    </row>
    <row r="34" spans="2:15" ht="15" thickBot="1" x14ac:dyDescent="0.35">
      <c r="N34" s="10" t="s">
        <v>323</v>
      </c>
      <c r="O34" s="10">
        <v>24</v>
      </c>
    </row>
    <row r="50" spans="2:6" ht="15" thickBot="1" x14ac:dyDescent="0.35"/>
    <row r="51" spans="2:6" ht="15" thickBot="1" x14ac:dyDescent="0.35">
      <c r="B51" t="s">
        <v>513</v>
      </c>
      <c r="E51" s="18" t="s">
        <v>260</v>
      </c>
      <c r="F51">
        <f>VLOOKUP(E51,B2:G25,6)</f>
        <v>1500000</v>
      </c>
    </row>
    <row r="53" spans="2:6" x14ac:dyDescent="0.3">
      <c r="B53" t="s">
        <v>510</v>
      </c>
      <c r="C53" cm="1">
        <f t="array" ref="C53:C54">_xlfn._xlws.FILTER(G2:G25,A2:A25 = B53)</f>
        <v>300000</v>
      </c>
    </row>
    <row r="54" spans="2:6" x14ac:dyDescent="0.3">
      <c r="C54">
        <v>300000</v>
      </c>
    </row>
    <row r="56" spans="2:6" x14ac:dyDescent="0.3">
      <c r="B56" t="s">
        <v>511</v>
      </c>
      <c r="C56" cm="1">
        <f t="array" ref="C56:C58">_xlfn._xlws.FILTER(G2:G25,A2:A25 = B56)</f>
        <v>1900000</v>
      </c>
    </row>
    <row r="57" spans="2:6" x14ac:dyDescent="0.3">
      <c r="C57">
        <v>1500000</v>
      </c>
    </row>
    <row r="58" spans="2:6" x14ac:dyDescent="0.3">
      <c r="C58">
        <v>1500000</v>
      </c>
    </row>
    <row r="60" spans="2:6" x14ac:dyDescent="0.3">
      <c r="B60" t="s">
        <v>512</v>
      </c>
      <c r="C60" cm="1">
        <f t="array" ref="C60:C63">_xlfn._xlws.FILTER(G2:G25,A2:A25 = B60)</f>
        <v>800000</v>
      </c>
    </row>
    <row r="61" spans="2:6" x14ac:dyDescent="0.3">
      <c r="C61">
        <v>1200000</v>
      </c>
    </row>
    <row r="62" spans="2:6" x14ac:dyDescent="0.3">
      <c r="C62">
        <v>1200000</v>
      </c>
    </row>
    <row r="63" spans="2:6" x14ac:dyDescent="0.3">
      <c r="C63">
        <v>1100000</v>
      </c>
    </row>
  </sheetData>
  <conditionalFormatting sqref="G2:G1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0:G2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C628B-9BB8-49D0-AB01-759DD582FD82}">
  <sheetPr codeName="Sheet21"/>
  <dimension ref="A1:I48"/>
  <sheetViews>
    <sheetView zoomScale="140" zoomScaleNormal="140" workbookViewId="0">
      <selection activeCell="C33" sqref="C33"/>
    </sheetView>
  </sheetViews>
  <sheetFormatPr defaultRowHeight="14.4" x14ac:dyDescent="0.3"/>
  <cols>
    <col min="1" max="1" width="21.44140625" bestFit="1" customWidth="1"/>
    <col min="2" max="2" width="17.77734375" style="9" bestFit="1" customWidth="1"/>
    <col min="3" max="3" width="17.5546875" style="9" bestFit="1" customWidth="1"/>
    <col min="4" max="4" width="12.109375" style="9" bestFit="1" customWidth="1"/>
    <col min="5" max="5" width="17.21875" bestFit="1" customWidth="1"/>
    <col min="6" max="6" width="12.88671875" bestFit="1" customWidth="1"/>
  </cols>
  <sheetData>
    <row r="1" spans="1:6" x14ac:dyDescent="0.3">
      <c r="A1" t="s">
        <v>279</v>
      </c>
      <c r="B1" s="9" t="s">
        <v>445</v>
      </c>
      <c r="C1" s="9" t="s">
        <v>439</v>
      </c>
      <c r="D1" s="9" t="s">
        <v>357</v>
      </c>
      <c r="E1" t="s">
        <v>440</v>
      </c>
    </row>
    <row r="2" spans="1:6" x14ac:dyDescent="0.3">
      <c r="A2" t="s">
        <v>285</v>
      </c>
      <c r="B2" s="9">
        <v>520</v>
      </c>
      <c r="C2" s="9">
        <f>B2/600*100</f>
        <v>86.666666666666671</v>
      </c>
      <c r="D2" s="9" t="str" cm="1">
        <f t="array" ref="D2">_xlfn.IFS(C2&gt;80,"A",C2&gt;60,"B",C2&gt;40,"C",C2&gt;30,"D")</f>
        <v>A</v>
      </c>
      <c r="E2" t="s">
        <v>446</v>
      </c>
    </row>
    <row r="3" spans="1:6" x14ac:dyDescent="0.3">
      <c r="A3" t="s">
        <v>218</v>
      </c>
      <c r="B3" s="9">
        <v>420</v>
      </c>
      <c r="C3" s="9">
        <f t="shared" ref="C3:C16" si="0">B3/600*100</f>
        <v>70</v>
      </c>
      <c r="D3" s="9" t="str" cm="1">
        <f t="array" ref="D3">_xlfn.IFS(C3&gt;80,"A",C3&gt;60,"B",C3&gt;40,"C",C3&gt;30,"D")</f>
        <v>B</v>
      </c>
      <c r="E3" t="s">
        <v>447</v>
      </c>
    </row>
    <row r="4" spans="1:6" x14ac:dyDescent="0.3">
      <c r="A4" t="s">
        <v>358</v>
      </c>
      <c r="B4" s="9">
        <v>320</v>
      </c>
      <c r="C4" s="9">
        <f t="shared" si="0"/>
        <v>53.333333333333336</v>
      </c>
      <c r="D4" s="9" t="str" cm="1">
        <f t="array" ref="D4">_xlfn.IFS(C4&gt;80,"A",C4&gt;60,"B",C4&gt;40,"C",C4&gt;30,"D")</f>
        <v>C</v>
      </c>
      <c r="E4" t="s">
        <v>448</v>
      </c>
    </row>
    <row r="5" spans="1:6" x14ac:dyDescent="0.3">
      <c r="A5" t="s">
        <v>234</v>
      </c>
      <c r="B5" s="9">
        <v>510</v>
      </c>
      <c r="C5" s="9">
        <f t="shared" si="0"/>
        <v>85</v>
      </c>
      <c r="D5" s="9" t="str" cm="1">
        <f t="array" ref="D5">_xlfn.IFS(C5&gt;80,"A",C5&gt;60,"B",C5&gt;40,"C",C5&gt;30,"D")</f>
        <v>A</v>
      </c>
      <c r="E5" t="s">
        <v>449</v>
      </c>
      <c r="F5">
        <v>13000</v>
      </c>
    </row>
    <row r="6" spans="1:6" x14ac:dyDescent="0.3">
      <c r="A6" t="s">
        <v>359</v>
      </c>
      <c r="B6" s="9">
        <v>550</v>
      </c>
      <c r="C6" s="9">
        <f t="shared" si="0"/>
        <v>91.666666666666657</v>
      </c>
      <c r="D6" s="9" t="str" cm="1">
        <f t="array" ref="D6">_xlfn.IFS(C6&gt;80,"A",C6&gt;60,"B",C6&gt;40,"C",C6&gt;30,"D")</f>
        <v>A</v>
      </c>
      <c r="E6" t="s">
        <v>450</v>
      </c>
    </row>
    <row r="7" spans="1:6" x14ac:dyDescent="0.3">
      <c r="A7" t="s">
        <v>344</v>
      </c>
      <c r="B7" s="9">
        <v>298</v>
      </c>
      <c r="C7" s="9">
        <f t="shared" si="0"/>
        <v>49.666666666666664</v>
      </c>
      <c r="D7" s="9" t="str" cm="1">
        <f t="array" ref="D7">_xlfn.IFS(C7&gt;80,"A",C7&gt;60,"B",C7&gt;40,"C",C7&gt;30,"D")</f>
        <v>C</v>
      </c>
      <c r="E7" t="s">
        <v>451</v>
      </c>
    </row>
    <row r="8" spans="1:6" x14ac:dyDescent="0.3">
      <c r="A8" t="s">
        <v>243</v>
      </c>
      <c r="B8" s="9">
        <v>389</v>
      </c>
      <c r="C8" s="9">
        <f t="shared" si="0"/>
        <v>64.833333333333329</v>
      </c>
      <c r="D8" s="9" t="str" cm="1">
        <f t="array" ref="D8">_xlfn.IFS(C8&gt;80,"A",C8&gt;60,"B",C8&gt;40,"C",C8&gt;30,"D")</f>
        <v>B</v>
      </c>
      <c r="E8" t="s">
        <v>452</v>
      </c>
    </row>
    <row r="9" spans="1:6" x14ac:dyDescent="0.3">
      <c r="A9" t="s">
        <v>360</v>
      </c>
      <c r="B9" s="9">
        <v>379</v>
      </c>
      <c r="C9" s="9">
        <f t="shared" si="0"/>
        <v>63.166666666666671</v>
      </c>
      <c r="D9" s="9" t="str" cm="1">
        <f t="array" ref="D9">_xlfn.IFS(C9&gt;80,"A",C9&gt;60,"B",C9&gt;40,"C",C9&gt;30,"D")</f>
        <v>B</v>
      </c>
      <c r="E9" t="s">
        <v>453</v>
      </c>
    </row>
    <row r="10" spans="1:6" x14ac:dyDescent="0.3">
      <c r="A10" t="s">
        <v>361</v>
      </c>
      <c r="B10" s="9">
        <v>501</v>
      </c>
      <c r="C10" s="9">
        <f t="shared" si="0"/>
        <v>83.5</v>
      </c>
      <c r="D10" s="9" t="str" cm="1">
        <f t="array" ref="D10">_xlfn.IFS(C10&gt;80,"A",C10&gt;60,"B",C10&gt;40,"C",C10&gt;30,"D")</f>
        <v>A</v>
      </c>
      <c r="E10" t="s">
        <v>454</v>
      </c>
    </row>
    <row r="11" spans="1:6" x14ac:dyDescent="0.3">
      <c r="A11" t="s">
        <v>362</v>
      </c>
      <c r="B11" s="9">
        <v>304</v>
      </c>
      <c r="C11" s="9">
        <f t="shared" si="0"/>
        <v>50.666666666666671</v>
      </c>
      <c r="D11" s="9" t="str" cm="1">
        <f t="array" ref="D11">_xlfn.IFS(C11&gt;80,"A",C11&gt;60,"B",C11&gt;40,"C",C11&gt;30,"D")</f>
        <v>C</v>
      </c>
      <c r="E11" t="s">
        <v>455</v>
      </c>
    </row>
    <row r="12" spans="1:6" x14ac:dyDescent="0.3">
      <c r="A12" t="s">
        <v>283</v>
      </c>
      <c r="B12" s="9">
        <v>404</v>
      </c>
      <c r="C12" s="9">
        <f t="shared" si="0"/>
        <v>67.333333333333329</v>
      </c>
      <c r="D12" s="9" t="str" cm="1">
        <f t="array" ref="D12">_xlfn.IFS(C12&gt;80,"A",C12&gt;60,"B",C12&gt;40,"C",C12&gt;30,"D")</f>
        <v>B</v>
      </c>
      <c r="E12" t="s">
        <v>456</v>
      </c>
    </row>
    <row r="13" spans="1:6" x14ac:dyDescent="0.3">
      <c r="A13" t="s">
        <v>441</v>
      </c>
      <c r="B13" s="9">
        <v>500</v>
      </c>
      <c r="C13" s="9">
        <f t="shared" si="0"/>
        <v>83.333333333333343</v>
      </c>
      <c r="D13" s="9" t="str" cm="1">
        <f t="array" ref="D13">_xlfn.IFS(C13&gt;80,"A",C13&gt;60,"B",C13&gt;40,"C",C13&gt;30,"D")</f>
        <v>A</v>
      </c>
      <c r="E13" t="s">
        <v>457</v>
      </c>
    </row>
    <row r="14" spans="1:6" x14ac:dyDescent="0.3">
      <c r="A14" t="s">
        <v>442</v>
      </c>
      <c r="B14" s="9">
        <v>400</v>
      </c>
      <c r="C14" s="9">
        <f t="shared" si="0"/>
        <v>66.666666666666657</v>
      </c>
      <c r="D14" s="9" t="str" cm="1">
        <f t="array" ref="D14">_xlfn.IFS(C14&gt;80,"A",C14&gt;60,"B",C14&gt;40,"C",C14&gt;30,"D")</f>
        <v>B</v>
      </c>
      <c r="E14" t="s">
        <v>458</v>
      </c>
    </row>
    <row r="15" spans="1:6" x14ac:dyDescent="0.3">
      <c r="A15" t="s">
        <v>443</v>
      </c>
      <c r="B15" s="9">
        <v>300</v>
      </c>
      <c r="C15" s="9">
        <f t="shared" si="0"/>
        <v>50</v>
      </c>
      <c r="D15" s="9" t="str" cm="1">
        <f t="array" ref="D15">_xlfn.IFS(C15&gt;80,"A",C15&gt;60,"B",C15&gt;40,"C",C15&gt;30,"D")</f>
        <v>C</v>
      </c>
      <c r="E15" t="s">
        <v>459</v>
      </c>
    </row>
    <row r="16" spans="1:6" x14ac:dyDescent="0.3">
      <c r="A16" t="s">
        <v>444</v>
      </c>
      <c r="B16" s="9">
        <v>289</v>
      </c>
      <c r="C16" s="9">
        <f t="shared" si="0"/>
        <v>48.166666666666671</v>
      </c>
      <c r="D16" s="9" t="str" cm="1">
        <f t="array" ref="D16">_xlfn.IFS(C16&gt;80,"A",C16&gt;60,"B",C16&gt;40,"C",C16&gt;30,"D")</f>
        <v>C</v>
      </c>
      <c r="E16" t="s">
        <v>460</v>
      </c>
    </row>
    <row r="18" spans="1:9" x14ac:dyDescent="0.3">
      <c r="C18" s="9" t="s">
        <v>434</v>
      </c>
      <c r="I18" t="s">
        <v>435</v>
      </c>
    </row>
    <row r="19" spans="1:9" ht="15" thickBot="1" x14ac:dyDescent="0.35"/>
    <row r="20" spans="1:9" x14ac:dyDescent="0.3">
      <c r="C20" s="9">
        <f>AVERAGE(C2:C16)</f>
        <v>67.599999999999994</v>
      </c>
      <c r="E20" s="11" t="s">
        <v>439</v>
      </c>
      <c r="F20" s="11"/>
    </row>
    <row r="21" spans="1:9" x14ac:dyDescent="0.3">
      <c r="A21" s="5" t="s">
        <v>461</v>
      </c>
      <c r="C21" s="9">
        <f>_xlfn.STDEV.P(C2:C16)</f>
        <v>14.785478361229037</v>
      </c>
    </row>
    <row r="22" spans="1:9" x14ac:dyDescent="0.3">
      <c r="A22" t="s">
        <v>285</v>
      </c>
      <c r="B22" s="9">
        <f>AVERAGEIF(D2:D16,A22,C2:C16)</f>
        <v>86.033333333333346</v>
      </c>
      <c r="C22" s="21"/>
      <c r="E22" t="s">
        <v>311</v>
      </c>
      <c r="F22">
        <v>67.599999999999994</v>
      </c>
    </row>
    <row r="23" spans="1:9" x14ac:dyDescent="0.3">
      <c r="A23" t="s">
        <v>218</v>
      </c>
      <c r="B23" s="9">
        <f t="shared" ref="B23:B24" si="1">AVERAGEIF(D3:D17,A23,C3:C17)</f>
        <v>66.400000000000006</v>
      </c>
      <c r="E23" t="s">
        <v>312</v>
      </c>
      <c r="F23">
        <v>3.9515853090913504</v>
      </c>
      <c r="H23" t="s">
        <v>463</v>
      </c>
    </row>
    <row r="24" spans="1:9" x14ac:dyDescent="0.3">
      <c r="A24" t="s">
        <v>358</v>
      </c>
      <c r="B24" s="9">
        <f t="shared" si="1"/>
        <v>50.366666666666674</v>
      </c>
      <c r="E24" t="s">
        <v>313</v>
      </c>
      <c r="F24">
        <v>66.666666666666657</v>
      </c>
      <c r="H24" t="s">
        <v>464</v>
      </c>
      <c r="I24">
        <v>13000</v>
      </c>
    </row>
    <row r="25" spans="1:9" x14ac:dyDescent="0.3">
      <c r="E25" t="s">
        <v>314</v>
      </c>
      <c r="F25" t="e">
        <v>#N/A</v>
      </c>
      <c r="I25" t="s">
        <v>465</v>
      </c>
    </row>
    <row r="26" spans="1:9" x14ac:dyDescent="0.3">
      <c r="A26" t="s">
        <v>462</v>
      </c>
      <c r="E26" t="s">
        <v>315</v>
      </c>
      <c r="F26">
        <v>15.304424093228688</v>
      </c>
      <c r="I26" t="s">
        <v>466</v>
      </c>
    </row>
    <row r="27" spans="1:9" x14ac:dyDescent="0.3">
      <c r="E27" t="s">
        <v>316</v>
      </c>
      <c r="F27">
        <v>234.22539682539875</v>
      </c>
      <c r="I27" t="s">
        <v>467</v>
      </c>
    </row>
    <row r="28" spans="1:9" x14ac:dyDescent="0.3">
      <c r="E28" t="s">
        <v>317</v>
      </c>
      <c r="F28">
        <v>-1.4644924163244162</v>
      </c>
      <c r="I28" t="s">
        <v>468</v>
      </c>
    </row>
    <row r="29" spans="1:9" x14ac:dyDescent="0.3">
      <c r="E29" t="s">
        <v>318</v>
      </c>
      <c r="F29">
        <v>0.17566533390940695</v>
      </c>
      <c r="I29" t="s">
        <v>469</v>
      </c>
    </row>
    <row r="30" spans="1:9" x14ac:dyDescent="0.3">
      <c r="E30" t="s">
        <v>319</v>
      </c>
      <c r="F30">
        <v>43.499999999999986</v>
      </c>
      <c r="I30" t="s">
        <v>470</v>
      </c>
    </row>
    <row r="31" spans="1:9" x14ac:dyDescent="0.3">
      <c r="A31" t="s">
        <v>496</v>
      </c>
      <c r="E31" t="s">
        <v>320</v>
      </c>
      <c r="F31">
        <v>48.166666666666671</v>
      </c>
      <c r="I31" t="s">
        <v>471</v>
      </c>
    </row>
    <row r="32" spans="1:9" x14ac:dyDescent="0.3">
      <c r="A32" t="s">
        <v>285</v>
      </c>
      <c r="B32" s="9" cm="1">
        <f t="array" ref="B32:B36">_xlfn._xlws.FILTER(C2:C16,D2:D16 = A32,0)</f>
        <v>86.666666666666671</v>
      </c>
      <c r="E32" t="s">
        <v>321</v>
      </c>
      <c r="F32">
        <v>91.666666666666657</v>
      </c>
    </row>
    <row r="33" spans="1:6" x14ac:dyDescent="0.3">
      <c r="B33" s="9">
        <v>85</v>
      </c>
      <c r="E33" t="s">
        <v>322</v>
      </c>
      <c r="F33">
        <v>1013.9999999999999</v>
      </c>
    </row>
    <row r="34" spans="1:6" ht="15" thickBot="1" x14ac:dyDescent="0.35">
      <c r="B34" s="9">
        <v>91.666666666666657</v>
      </c>
      <c r="E34" s="10" t="s">
        <v>323</v>
      </c>
      <c r="F34" s="10">
        <v>15</v>
      </c>
    </row>
    <row r="35" spans="1:6" x14ac:dyDescent="0.3">
      <c r="B35" s="9">
        <v>83.5</v>
      </c>
    </row>
    <row r="36" spans="1:6" x14ac:dyDescent="0.3">
      <c r="B36" s="9">
        <v>83.333333333333343</v>
      </c>
    </row>
    <row r="37" spans="1:6" x14ac:dyDescent="0.3">
      <c r="C37" s="9" t="s">
        <v>435</v>
      </c>
    </row>
    <row r="38" spans="1:6" x14ac:dyDescent="0.3">
      <c r="A38" t="s">
        <v>218</v>
      </c>
      <c r="B38" s="9" cm="1">
        <f t="array" ref="B38:B42">_xlfn._xlws.FILTER(C2:C16,D2:D16= A38,0)</f>
        <v>70</v>
      </c>
    </row>
    <row r="39" spans="1:6" x14ac:dyDescent="0.3">
      <c r="B39" s="9">
        <v>64.833333333333329</v>
      </c>
    </row>
    <row r="40" spans="1:6" x14ac:dyDescent="0.3">
      <c r="B40" s="9">
        <v>63.166666666666671</v>
      </c>
    </row>
    <row r="41" spans="1:6" x14ac:dyDescent="0.3">
      <c r="B41" s="9">
        <v>67.333333333333329</v>
      </c>
    </row>
    <row r="42" spans="1:6" x14ac:dyDescent="0.3">
      <c r="B42" s="9">
        <v>66.666666666666657</v>
      </c>
    </row>
    <row r="44" spans="1:6" x14ac:dyDescent="0.3">
      <c r="A44" t="s">
        <v>358</v>
      </c>
      <c r="B44" s="9" cm="1">
        <f t="array" ref="B44:B48">_xlfn._xlws.FILTER(C2:C16,D2:D16=A44,0)</f>
        <v>53.333333333333336</v>
      </c>
    </row>
    <row r="45" spans="1:6" x14ac:dyDescent="0.3">
      <c r="B45" s="9">
        <v>49.666666666666664</v>
      </c>
    </row>
    <row r="46" spans="1:6" x14ac:dyDescent="0.3">
      <c r="B46" s="9">
        <v>50.666666666666671</v>
      </c>
    </row>
    <row r="47" spans="1:6" x14ac:dyDescent="0.3">
      <c r="B47" s="9">
        <v>50</v>
      </c>
    </row>
    <row r="48" spans="1:6" x14ac:dyDescent="0.3">
      <c r="B48" s="9">
        <v>48.166666666666671</v>
      </c>
    </row>
  </sheetData>
  <autoFilter ref="D1:D34" xr:uid="{D06C628B-9BB8-49D0-AB01-759DD582FD82}"/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1D8B2-8055-4257-A66C-2535CB6FD7F7}">
  <sheetPr codeName="Sheet22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AND</vt:lpstr>
      <vt:lpstr>DATALCY</vt:lpstr>
      <vt:lpstr>PRAC2</vt:lpstr>
      <vt:lpstr>average</vt:lpstr>
      <vt:lpstr>averageif</vt:lpstr>
      <vt:lpstr>VLOOKUP</vt:lpstr>
      <vt:lpstr>averageifs</vt:lpstr>
      <vt:lpstr>concat</vt:lpstr>
      <vt:lpstr>count</vt:lpstr>
      <vt:lpstr>countA</vt:lpstr>
      <vt:lpstr>Count Blank</vt:lpstr>
      <vt:lpstr>Count IF</vt:lpstr>
      <vt:lpstr>Count IFs</vt:lpstr>
      <vt:lpstr>IF  IFS </vt:lpstr>
      <vt:lpstr>Descriptive Summary</vt:lpstr>
      <vt:lpstr>REGRSSION</vt:lpstr>
      <vt:lpstr>Analytics tooltip</vt:lpstr>
      <vt:lpstr>coorelation</vt:lpstr>
      <vt:lpstr>prac280123</vt:lpstr>
      <vt:lpstr>Data Analysis in Cars data</vt:lpstr>
      <vt:lpstr>PRAC30123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SOMU EVR</dc:creator>
  <cp:lastModifiedBy>SOMU EVR</cp:lastModifiedBy>
  <dcterms:created xsi:type="dcterms:W3CDTF">2023-01-27T04:53:30Z</dcterms:created>
  <dcterms:modified xsi:type="dcterms:W3CDTF">2023-01-31T08:53:52Z</dcterms:modified>
</cp:coreProperties>
</file>