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Rik\Google Drive\Fantasy\Stats Rankings\FullYear\"/>
    </mc:Choice>
  </mc:AlternateContent>
  <bookViews>
    <workbookView xWindow="0" yWindow="0" windowWidth="28776" windowHeight="12360"/>
  </bookViews>
  <sheets>
    <sheet name="Hard 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3" i="1"/>
  <c r="Y7" i="1" l="1"/>
  <c r="Y6" i="1"/>
  <c r="O19" i="1" l="1"/>
  <c r="O20" i="1"/>
  <c r="O21" i="1"/>
  <c r="O22" i="1"/>
  <c r="O23" i="1"/>
  <c r="O24" i="1"/>
  <c r="O25" i="1"/>
  <c r="O26" i="1"/>
  <c r="O27" i="1"/>
  <c r="O28" i="1"/>
  <c r="O29" i="1"/>
  <c r="O30" i="1"/>
  <c r="O31" i="1"/>
  <c r="O18" i="1"/>
  <c r="V3" i="1"/>
  <c r="U3" i="1"/>
  <c r="AD6" i="1" l="1"/>
  <c r="AD7" i="1"/>
  <c r="AG3" i="1"/>
  <c r="AF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AH3" i="1" l="1"/>
  <c r="AI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3" i="1"/>
  <c r="AH11" i="1" l="1"/>
  <c r="AJ11" i="1" s="1"/>
  <c r="AH16" i="1"/>
  <c r="AI16" i="1" s="1"/>
  <c r="AH10" i="1"/>
  <c r="AJ10" i="1" s="1"/>
  <c r="AH7" i="1"/>
  <c r="AI7" i="1" s="1"/>
  <c r="AH14" i="1"/>
  <c r="AJ14" i="1" s="1"/>
  <c r="AH15" i="1"/>
  <c r="AI15" i="1" s="1"/>
  <c r="AH13" i="1"/>
  <c r="AJ13" i="1" s="1"/>
  <c r="AH12" i="1"/>
  <c r="AI12" i="1" s="1"/>
  <c r="AH9" i="1"/>
  <c r="AJ9" i="1" s="1"/>
  <c r="AH8" i="1"/>
  <c r="AJ8" i="1" s="1"/>
  <c r="AH6" i="1"/>
  <c r="AJ6" i="1" s="1"/>
  <c r="AH5" i="1"/>
  <c r="AJ5" i="1" s="1"/>
  <c r="AH4" i="1"/>
  <c r="AI4" i="1" s="1"/>
  <c r="AJ3" i="1"/>
  <c r="AK3" i="1" s="1"/>
  <c r="O3" i="1"/>
  <c r="T3" i="1" s="1"/>
  <c r="Y3" i="1" l="1"/>
  <c r="AI11" i="1"/>
  <c r="AK11" i="1" s="1"/>
  <c r="AI10" i="1"/>
  <c r="AK10" i="1" s="1"/>
  <c r="AJ16" i="1"/>
  <c r="AK16" i="1" s="1"/>
  <c r="AJ7" i="1"/>
  <c r="AK7" i="1" s="1"/>
  <c r="AI14" i="1"/>
  <c r="AK14" i="1" s="1"/>
  <c r="AI9" i="1"/>
  <c r="AK9" i="1" s="1"/>
  <c r="AJ15" i="1"/>
  <c r="AK15" i="1" s="1"/>
  <c r="AI13" i="1"/>
  <c r="AK13" i="1" s="1"/>
  <c r="AJ12" i="1"/>
  <c r="AK12" i="1" s="1"/>
  <c r="AI8" i="1"/>
  <c r="AK8" i="1" s="1"/>
  <c r="AI6" i="1"/>
  <c r="AK6" i="1" s="1"/>
  <c r="AI5" i="1"/>
  <c r="AK5" i="1" s="1"/>
  <c r="AJ4" i="1"/>
  <c r="AK4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O4" i="1" l="1"/>
  <c r="T4" i="1" s="1"/>
  <c r="O5" i="1"/>
  <c r="T5" i="1" s="1"/>
  <c r="O6" i="1"/>
  <c r="O7" i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Y10" i="1" l="1"/>
  <c r="Y9" i="1"/>
  <c r="Y11" i="1"/>
  <c r="Y8" i="1"/>
  <c r="Y15" i="1"/>
  <c r="Y14" i="1"/>
  <c r="Y16" i="1"/>
  <c r="Y13" i="1"/>
  <c r="Y5" i="1"/>
  <c r="Y12" i="1"/>
  <c r="Y4" i="1"/>
  <c r="T7" i="1"/>
  <c r="T6" i="1"/>
  <c r="C58" i="1" l="1"/>
  <c r="C51" i="1" l="1"/>
  <c r="C61" i="1"/>
  <c r="C59" i="1"/>
  <c r="C56" i="1"/>
  <c r="C62" i="1"/>
  <c r="C49" i="1"/>
  <c r="C50" i="1"/>
  <c r="C54" i="1"/>
  <c r="C60" i="1"/>
  <c r="T21" i="1"/>
  <c r="C53" i="1"/>
  <c r="C57" i="1"/>
  <c r="C55" i="1"/>
  <c r="C52" i="1"/>
  <c r="T32" i="1"/>
  <c r="T22" i="1"/>
  <c r="T23" i="1"/>
  <c r="T25" i="1"/>
  <c r="T29" i="1"/>
  <c r="T26" i="1"/>
  <c r="T34" i="1"/>
  <c r="T24" i="1"/>
  <c r="T33" i="1"/>
  <c r="T31" i="1"/>
  <c r="T28" i="1"/>
  <c r="T30" i="1"/>
  <c r="T27" i="1"/>
  <c r="Y20" i="1" l="1"/>
  <c r="X20" i="1"/>
  <c r="V31" i="1" l="1"/>
  <c r="V33" i="1"/>
  <c r="D62" i="1" s="1"/>
  <c r="V23" i="1"/>
  <c r="D52" i="1" s="1"/>
  <c r="V32" i="1"/>
  <c r="D61" i="1" s="1"/>
  <c r="V27" i="1"/>
  <c r="D56" i="1" s="1"/>
  <c r="V24" i="1"/>
  <c r="D53" i="1" s="1"/>
  <c r="V25" i="1"/>
  <c r="D54" i="1" s="1"/>
  <c r="V26" i="1"/>
  <c r="D55" i="1" s="1"/>
  <c r="V30" i="1"/>
  <c r="D59" i="1" s="1"/>
  <c r="V20" i="1"/>
  <c r="D49" i="1" s="1"/>
  <c r="V29" i="1"/>
  <c r="D58" i="1" s="1"/>
  <c r="V28" i="1"/>
  <c r="D57" i="1" s="1"/>
  <c r="V22" i="1"/>
  <c r="D51" i="1" s="1"/>
  <c r="V21" i="1"/>
  <c r="D50" i="1" s="1"/>
  <c r="W31" i="1" l="1"/>
  <c r="D60" i="1"/>
  <c r="W25" i="1"/>
  <c r="W24" i="1"/>
  <c r="W22" i="1"/>
  <c r="W27" i="1"/>
  <c r="W30" i="1"/>
  <c r="W21" i="1"/>
  <c r="W28" i="1"/>
  <c r="W32" i="1"/>
  <c r="W23" i="1"/>
  <c r="W26" i="1"/>
  <c r="W29" i="1"/>
  <c r="W20" i="1"/>
  <c r="W33" i="1"/>
</calcChain>
</file>

<file path=xl/sharedStrings.xml><?xml version="1.0" encoding="utf-8"?>
<sst xmlns="http://schemas.openxmlformats.org/spreadsheetml/2006/main" count="181" uniqueCount="85">
  <si>
    <t>Team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</si>
  <si>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</si>
  <si>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</si>
  <si>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</si>
  <si>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</si>
  <si>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</si>
  <si>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</si>
  <si>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</si>
  <si>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</si>
  <si>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</si>
  <si>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</si>
  <si>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</si>
  <si>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</si>
  <si>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</si>
  <si>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Tommy</t>
  </si>
  <si>
    <t>Erik</t>
  </si>
  <si>
    <t>Stefan</t>
  </si>
  <si>
    <t>Brendan</t>
  </si>
  <si>
    <t>Chandler</t>
  </si>
  <si>
    <t>Horlacher</t>
  </si>
  <si>
    <t>Geoffrey</t>
  </si>
  <si>
    <t>Ozzie</t>
  </si>
  <si>
    <t>Trey</t>
  </si>
  <si>
    <t>Andrew</t>
  </si>
  <si>
    <t>Peter</t>
  </si>
  <si>
    <t>Charlie</t>
  </si>
  <si>
    <t>Richard</t>
  </si>
  <si>
    <t>Carman</t>
  </si>
  <si>
    <t>Total</t>
  </si>
  <si>
    <t>Ave</t>
  </si>
  <si>
    <t>STD Dev</t>
  </si>
  <si>
    <t>3 Week Ave</t>
  </si>
  <si>
    <t>Rank Value</t>
  </si>
  <si>
    <t>Weeks</t>
  </si>
  <si>
    <t>5 Week Ave</t>
  </si>
  <si>
    <t>5 STD Dev</t>
  </si>
  <si>
    <t>AVE - H/L</t>
  </si>
  <si>
    <t>High</t>
  </si>
  <si>
    <t>Low</t>
  </si>
  <si>
    <t>H/L</t>
  </si>
  <si>
    <t>1Q</t>
  </si>
  <si>
    <t>3Q</t>
  </si>
  <si>
    <t>IQR</t>
  </si>
  <si>
    <t>LO</t>
  </si>
  <si>
    <t>HO</t>
  </si>
  <si>
    <t>H/L diff</t>
  </si>
  <si>
    <t>AVE</t>
  </si>
  <si>
    <t>SD</t>
  </si>
  <si>
    <t>Z</t>
  </si>
  <si>
    <t>%</t>
  </si>
  <si>
    <t>tommy</t>
  </si>
  <si>
    <t>erik</t>
  </si>
  <si>
    <t>stefan</t>
  </si>
  <si>
    <t>brendan</t>
  </si>
  <si>
    <t>carman</t>
  </si>
  <si>
    <t>chandler</t>
  </si>
  <si>
    <t>horlacher</t>
  </si>
  <si>
    <t>geoff</t>
  </si>
  <si>
    <t>ozzie</t>
  </si>
  <si>
    <t>trey</t>
  </si>
  <si>
    <t>andrew</t>
  </si>
  <si>
    <t>peter</t>
  </si>
  <si>
    <t xml:space="preserve">charlie </t>
  </si>
  <si>
    <t>richard</t>
  </si>
  <si>
    <t>Total E Wins</t>
  </si>
  <si>
    <t>E Standings</t>
  </si>
  <si>
    <t>Stefan(T)</t>
  </si>
  <si>
    <t>Horlacher(T)</t>
  </si>
  <si>
    <t>Actual</t>
  </si>
  <si>
    <t>Charlie(T)</t>
  </si>
  <si>
    <t>Trey(T)</t>
  </si>
  <si>
    <t>Brendan(T)</t>
  </si>
  <si>
    <t>James</t>
  </si>
  <si>
    <t>Stand. Diff</t>
  </si>
  <si>
    <t>Rank</t>
  </si>
  <si>
    <t>Value</t>
  </si>
  <si>
    <t>"Fair" Standings</t>
  </si>
  <si>
    <t>Actual Standings</t>
  </si>
  <si>
    <t>Diff. Fair v. Actual</t>
  </si>
  <si>
    <t>Percentile</t>
  </si>
  <si>
    <t>FORMULA</t>
  </si>
  <si>
    <t>((T3))+((Y3)*1.1)+((X3*1.5))+((W3*1.15))-(U3/1.5)-(V3/1.4)-0.09*((AK3)+(V3/1.4)+(U3/1.5))</t>
  </si>
  <si>
    <t>(Average) +( Average (No Outliers)*1.1) + ((Five Week Average)*1.5) + ((Three Week Average)*1.15) - ((STD DEV)/1.5) - ((Five Week STD DEV)/1.4) - (0.09*(High Outlier - Low Outlier))</t>
  </si>
  <si>
    <t>BELOW FOR RELEVANT STUFF</t>
  </si>
  <si>
    <t>(Average) + ( Average (No Outliers)*1.1) + ((Five Week Average)*1.5) + ((Three Week Average)*1.15) - ((STD DEV)/1.5) - ((Five Week STD DEV)/1.4) - (0.09*(High Outlier - Low Outlier))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</si>
</sst>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4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ont="1"/>
    <xf numFmtId="0" fontId="0" fillId="0" borderId="0" xfId="0" applyNumberFormat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7" xfId="0" applyFill="1" applyBorder="1"/>
    <xf numFmtId="0" fontId="0" fillId="0" borderId="11" xfId="0" applyBorder="1"/>
    <xf numFmtId="0" fontId="1" fillId="0" borderId="13" xfId="0" applyFont="1" applyBorder="1"/>
    <xf numFmtId="0" fontId="1" fillId="0" borderId="14" xfId="0" applyFont="1" applyBorder="1"/>
    <xf numFmtId="0" fontId="0" fillId="0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9" xfId="0" applyFont="1" applyBorder="1"/>
    <xf numFmtId="0" fontId="0" fillId="0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8" xfId="0" applyFont="1" applyBorder="1"/>
    <xf numFmtId="0" fontId="2" fillId="2" borderId="16" xfId="0" applyFont="1" applyFill="1" applyBorder="1"/>
    <xf numFmtId="0" fontId="2" fillId="2" borderId="17" xfId="0" applyFont="1" applyFill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18" xfId="0" applyFont="1" applyFill="1" applyBorder="1"/>
    <xf numFmtId="0" fontId="2" fillId="0" borderId="17" xfId="0" applyFont="1" applyFill="1" applyBorder="1"/>
    <xf numFmtId="0" fontId="0" fillId="0" borderId="17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Fill="1" applyBorder="1"/>
    <xf numFmtId="2" fontId="0" fillId="3" borderId="17" xfId="0" applyNumberFormat="1" applyFont="1" applyFill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0" fontId="4" fillId="0" borderId="0" xfId="0" applyFont="1" applyFill="1" applyBorder="1"/>
  </cellXfs>
  <cellStyles count="1">
    <cellStyle name="Normal" xfId="0" builtinId="0"/>
  </cellStyles>
  <dxfs count="6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S20:U34" totalsRowShown="0">
  <autoFilter ref="S20:U34"/>
  <tableColumns count="3">
    <tableColumn id="1" name="Rank" dataDxfId="5"/>
    <tableColumn id="2" name="Value"/>
    <tableColumn id="3" name="Team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48:D62" totalsRowShown="0">
  <autoFilter ref="A48:D62"/>
  <tableColumns count="4">
    <tableColumn id="1" name="Rank" dataDxfId="3"/>
    <tableColumn id="2" name="Team" dataDxfId="2"/>
    <tableColumn id="3" name="Value" dataDxfId="1"/>
    <tableColumn id="7" name="Percentile" dataDxfId="0">
      <calculatedColumnFormula>(_xlfn.NORM.S.DIST(V20,TRUE))*100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abSelected="1" topLeftCell="R1" zoomScale="80" zoomScaleNormal="80" workbookViewId="0">
      <selection activeCell="X24" sqref="X24"/>
    </sheetView>
  </sheetViews>
  <sheetFormatPr defaultRowHeight="14.4" x14ac:dyDescent="0.3"/>
  <cols>
    <col min="1" max="1" width="10.6640625" bestFit="1" customWidth="1"/>
    <col min="2" max="5" width="13" bestFit="1" customWidth="1"/>
    <col min="6" max="6" width="15.6640625" bestFit="1" customWidth="1"/>
    <col min="7" max="7" width="16" bestFit="1" customWidth="1"/>
    <col min="8" max="8" width="17.44140625" bestFit="1" customWidth="1"/>
    <col min="15" max="15" width="13.44140625" bestFit="1" customWidth="1"/>
    <col min="17" max="17" width="12.44140625" bestFit="1" customWidth="1"/>
    <col min="18" max="18" width="13.109375" bestFit="1" customWidth="1"/>
    <col min="19" max="19" width="13.109375" customWidth="1"/>
    <col min="20" max="21" width="10.88671875" customWidth="1"/>
    <col min="22" max="22" width="10.5546875" bestFit="1" customWidth="1"/>
    <col min="23" max="23" width="11.44140625" bestFit="1" customWidth="1"/>
    <col min="24" max="24" width="12.33203125" bestFit="1" customWidth="1"/>
    <col min="25" max="25" width="12.33203125" customWidth="1"/>
    <col min="26" max="26" width="8.109375" customWidth="1"/>
    <col min="27" max="27" width="12" bestFit="1" customWidth="1"/>
    <col min="29" max="30" width="10.6640625" bestFit="1" customWidth="1"/>
  </cols>
  <sheetData>
    <row r="1" spans="1:37" ht="15" thickBot="1" x14ac:dyDescent="0.35"/>
    <row r="2" spans="1:37" ht="15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9" t="s">
        <v>13</v>
      </c>
      <c r="O2" s="31" t="s">
        <v>28</v>
      </c>
      <c r="P2" s="3"/>
      <c r="Q2" s="32"/>
      <c r="R2" s="24" t="s">
        <v>73</v>
      </c>
      <c r="S2" s="20"/>
      <c r="T2" s="4" t="s">
        <v>29</v>
      </c>
      <c r="U2" s="4" t="s">
        <v>30</v>
      </c>
      <c r="V2" s="4" t="s">
        <v>35</v>
      </c>
      <c r="W2" s="4" t="s">
        <v>31</v>
      </c>
      <c r="X2" s="4" t="s">
        <v>34</v>
      </c>
      <c r="Y2" s="4" t="s">
        <v>36</v>
      </c>
      <c r="AA2" t="s">
        <v>32</v>
      </c>
      <c r="AC2" s="8" t="s">
        <v>37</v>
      </c>
      <c r="AD2" s="9" t="s">
        <v>38</v>
      </c>
      <c r="AE2" s="10" t="s">
        <v>39</v>
      </c>
      <c r="AF2" s="8" t="s">
        <v>40</v>
      </c>
      <c r="AG2" s="9" t="s">
        <v>41</v>
      </c>
      <c r="AH2" s="10" t="s">
        <v>42</v>
      </c>
      <c r="AI2" s="8" t="s">
        <v>43</v>
      </c>
      <c r="AJ2" s="9" t="s">
        <v>44</v>
      </c>
      <c r="AK2" s="10" t="s">
        <v>45</v>
      </c>
    </row>
    <row r="3" spans="1:37" x14ac:dyDescent="0.3">
      <c r="A3" s="1" t="s">
        <v>14</v>
      </c>
      <c r="B3" s="33">
        <v>79.3</v>
      </c>
      <c r="C3" s="34">
        <v>70</v>
      </c>
      <c r="D3" s="34">
        <v>103.1</v>
      </c>
      <c r="E3" s="34">
        <v>99.3</v>
      </c>
      <c r="F3" s="34">
        <v>117.8</v>
      </c>
      <c r="G3" s="34">
        <v>81.3</v>
      </c>
      <c r="H3" s="34">
        <v>69.8</v>
      </c>
      <c r="I3" s="34">
        <v>99.6</v>
      </c>
      <c r="J3" s="34">
        <v>84.5</v>
      </c>
      <c r="K3" s="34">
        <v>105.5</v>
      </c>
      <c r="L3" s="34">
        <v>89.2</v>
      </c>
      <c r="M3" s="34">
        <v>102.7</v>
      </c>
      <c r="N3" s="9">
        <v>104.7</v>
      </c>
      <c r="O3" s="27">
        <f>SUM(B3:N3)</f>
        <v>1206.8</v>
      </c>
      <c r="Q3" s="25"/>
      <c r="R3" s="26">
        <v>2</v>
      </c>
      <c r="T3">
        <f t="shared" ref="T3:T16" si="0">O3/$P$19</f>
        <v>92.830769230769221</v>
      </c>
      <c r="U3">
        <f t="shared" ref="U3:U16" si="1">_xlfn.STDEV.S(B3:N3)</f>
        <v>14.904327370229561</v>
      </c>
      <c r="V3">
        <f t="shared" ref="V3:V16" si="2">_xlfn.STDEV.S(J3:N3)</f>
        <v>9.7545886638033075</v>
      </c>
      <c r="W3">
        <f t="shared" ref="W3:W16" si="3">(SUM(L3:N3))/3</f>
        <v>98.866666666666674</v>
      </c>
      <c r="X3">
        <f t="shared" ref="X3:X16" si="4">(SUM(J3:N3))/5</f>
        <v>97.32</v>
      </c>
      <c r="Y3">
        <f t="shared" ref="Y3:Y16" si="5">IF(AE3=0,T3,(O3-AE3)/($P$19-2))</f>
        <v>92.830769230769221</v>
      </c>
      <c r="AA3" s="7">
        <f>((T3*1.7))+((Y3)*2)+((X3*0.8))+((W3*0.6))-(U3/1.7)-(V3/1.9)-0.055*(AK3)</f>
        <v>461.95260072601275</v>
      </c>
      <c r="AB3" s="1" t="s">
        <v>14</v>
      </c>
      <c r="AC3" s="11"/>
      <c r="AD3" s="13"/>
      <c r="AE3" s="12">
        <f>AC3+AD3</f>
        <v>0</v>
      </c>
      <c r="AF3" s="11">
        <f>QUARTILE(B3:N3,1)</f>
        <v>81.3</v>
      </c>
      <c r="AG3" s="2">
        <f>QUARTILE(B3:N3,3)</f>
        <v>103.1</v>
      </c>
      <c r="AH3" s="12">
        <f>AG3-AF3</f>
        <v>21.799999999999997</v>
      </c>
      <c r="AI3" s="11">
        <f>AF3-1.5*AH3</f>
        <v>48.6</v>
      </c>
      <c r="AJ3" s="2">
        <f>AG3+1.5*AH3</f>
        <v>135.79999999999998</v>
      </c>
      <c r="AK3" s="12">
        <f>AJ3-AI3</f>
        <v>87.199999999999989</v>
      </c>
    </row>
    <row r="4" spans="1:37" x14ac:dyDescent="0.3">
      <c r="A4" s="1" t="s">
        <v>15</v>
      </c>
      <c r="B4" s="35">
        <v>102.2</v>
      </c>
      <c r="C4" s="13">
        <v>65.099999999999994</v>
      </c>
      <c r="D4" s="13">
        <v>80.5</v>
      </c>
      <c r="E4" s="13">
        <v>68.3</v>
      </c>
      <c r="F4" s="13">
        <v>85.1</v>
      </c>
      <c r="G4" s="13">
        <v>75.099999999999994</v>
      </c>
      <c r="H4" s="13">
        <v>102.2</v>
      </c>
      <c r="I4" s="13">
        <v>88.1</v>
      </c>
      <c r="J4" s="13">
        <v>95.7</v>
      </c>
      <c r="K4" s="13">
        <v>93.6</v>
      </c>
      <c r="L4" s="13">
        <v>102.3</v>
      </c>
      <c r="M4" s="13">
        <v>58.4</v>
      </c>
      <c r="N4" s="2">
        <v>95.6</v>
      </c>
      <c r="O4" s="27">
        <f t="shared" ref="O4:O16" si="6">SUM(B4:N4)</f>
        <v>1112.2</v>
      </c>
      <c r="Q4" s="25"/>
      <c r="R4" s="27">
        <v>2</v>
      </c>
      <c r="T4">
        <f t="shared" si="0"/>
        <v>85.553846153846152</v>
      </c>
      <c r="U4">
        <f t="shared" si="1"/>
        <v>14.994811068311542</v>
      </c>
      <c r="V4">
        <f t="shared" si="2"/>
        <v>17.484192860981551</v>
      </c>
      <c r="W4">
        <f t="shared" si="3"/>
        <v>85.433333333333323</v>
      </c>
      <c r="X4">
        <f t="shared" si="4"/>
        <v>89.12</v>
      </c>
      <c r="Y4">
        <f t="shared" si="5"/>
        <v>85.553846153846152</v>
      </c>
      <c r="AA4" s="7">
        <f t="shared" ref="AA4:AA16" si="7">((T4*1.7))+((Y4)*2)+((X4*0.8))+((W4*0.6))-(U4/1.7)-(V4/1.9)-0.055*(AK4)</f>
        <v>416.55054690128628</v>
      </c>
      <c r="AB4" s="1" t="s">
        <v>15</v>
      </c>
      <c r="AC4" s="11"/>
      <c r="AD4" s="13"/>
      <c r="AE4" s="12">
        <f t="shared" ref="AE4:AE16" si="8">AC4+AD4</f>
        <v>0</v>
      </c>
      <c r="AF4" s="11">
        <f t="shared" ref="AF4:AF16" si="9">QUARTILE(B4:N4,1)</f>
        <v>75.099999999999994</v>
      </c>
      <c r="AG4" s="2">
        <f t="shared" ref="AG4:AG16" si="10">QUARTILE(B4:N4,3)</f>
        <v>95.7</v>
      </c>
      <c r="AH4" s="12">
        <f t="shared" ref="AH4:AH16" si="11">AG4-AF4</f>
        <v>20.600000000000009</v>
      </c>
      <c r="AI4" s="11">
        <f t="shared" ref="AI4:AI16" si="12">AF4-1.5*AH4</f>
        <v>44.199999999999982</v>
      </c>
      <c r="AJ4" s="2">
        <f t="shared" ref="AJ4:AJ16" si="13">AG4+1.5*AH4</f>
        <v>126.60000000000002</v>
      </c>
      <c r="AK4" s="12">
        <f t="shared" ref="AK4:AK16" si="14">AJ4-AI4</f>
        <v>82.400000000000034</v>
      </c>
    </row>
    <row r="5" spans="1:37" x14ac:dyDescent="0.3">
      <c r="A5" s="1" t="s">
        <v>16</v>
      </c>
      <c r="B5" s="35">
        <v>99.5</v>
      </c>
      <c r="C5" s="13">
        <v>74.5</v>
      </c>
      <c r="D5" s="13">
        <v>72</v>
      </c>
      <c r="E5" s="13">
        <v>130.6</v>
      </c>
      <c r="F5" s="13">
        <v>79.900000000000006</v>
      </c>
      <c r="G5" s="13">
        <v>79.5</v>
      </c>
      <c r="H5" s="13">
        <v>119.3</v>
      </c>
      <c r="I5" s="13">
        <v>120.8</v>
      </c>
      <c r="J5" s="13">
        <v>119.3</v>
      </c>
      <c r="K5" s="13">
        <v>83.2</v>
      </c>
      <c r="L5" s="13">
        <v>99.3</v>
      </c>
      <c r="M5" s="13">
        <v>83.5</v>
      </c>
      <c r="N5" s="2">
        <v>90.7</v>
      </c>
      <c r="O5" s="27">
        <f t="shared" si="6"/>
        <v>1252.0999999999999</v>
      </c>
      <c r="Q5" s="25"/>
      <c r="R5" s="27">
        <v>0</v>
      </c>
      <c r="T5">
        <f t="shared" si="0"/>
        <v>96.315384615384602</v>
      </c>
      <c r="U5">
        <f t="shared" si="1"/>
        <v>20.078423168244075</v>
      </c>
      <c r="V5">
        <f t="shared" si="2"/>
        <v>14.989663104953376</v>
      </c>
      <c r="W5">
        <f t="shared" si="3"/>
        <v>91.166666666666671</v>
      </c>
      <c r="X5">
        <f t="shared" si="4"/>
        <v>95.2</v>
      </c>
      <c r="Y5">
        <f t="shared" si="5"/>
        <v>96.315384615384602</v>
      </c>
      <c r="AA5" s="7">
        <f t="shared" si="7"/>
        <v>458.85878954810437</v>
      </c>
      <c r="AB5" s="1" t="s">
        <v>16</v>
      </c>
      <c r="AC5" s="11"/>
      <c r="AD5" s="13"/>
      <c r="AE5" s="12">
        <f t="shared" si="8"/>
        <v>0</v>
      </c>
      <c r="AF5" s="11">
        <f t="shared" si="9"/>
        <v>79.900000000000006</v>
      </c>
      <c r="AG5" s="2">
        <f t="shared" si="10"/>
        <v>119.3</v>
      </c>
      <c r="AH5" s="12">
        <f t="shared" si="11"/>
        <v>39.399999999999991</v>
      </c>
      <c r="AI5" s="11">
        <f t="shared" si="12"/>
        <v>20.800000000000018</v>
      </c>
      <c r="AJ5" s="2">
        <f t="shared" si="13"/>
        <v>178.39999999999998</v>
      </c>
      <c r="AK5" s="12">
        <f t="shared" si="14"/>
        <v>157.59999999999997</v>
      </c>
    </row>
    <row r="6" spans="1:37" x14ac:dyDescent="0.3">
      <c r="A6" s="1" t="s">
        <v>17</v>
      </c>
      <c r="B6" s="35">
        <v>108.9</v>
      </c>
      <c r="C6" s="13">
        <v>106.2</v>
      </c>
      <c r="D6" s="13">
        <v>107.2</v>
      </c>
      <c r="E6" s="13">
        <v>105.7</v>
      </c>
      <c r="F6" s="13">
        <v>106.2</v>
      </c>
      <c r="G6" s="13">
        <v>124.2</v>
      </c>
      <c r="H6" s="13">
        <v>71.099999999999994</v>
      </c>
      <c r="I6" s="13">
        <v>96.4</v>
      </c>
      <c r="J6" s="13">
        <v>89.4</v>
      </c>
      <c r="K6" s="13">
        <v>108</v>
      </c>
      <c r="L6" s="13">
        <v>97.9</v>
      </c>
      <c r="M6" s="13">
        <v>115.8</v>
      </c>
      <c r="N6" s="2">
        <v>111.8</v>
      </c>
      <c r="O6" s="27">
        <f t="shared" si="6"/>
        <v>1348.8</v>
      </c>
      <c r="Q6" s="25"/>
      <c r="R6" s="27">
        <v>0</v>
      </c>
      <c r="T6">
        <f t="shared" si="0"/>
        <v>103.75384615384615</v>
      </c>
      <c r="U6">
        <f t="shared" si="1"/>
        <v>13.104364119420742</v>
      </c>
      <c r="V6">
        <f t="shared" si="2"/>
        <v>10.779239305257116</v>
      </c>
      <c r="W6">
        <f t="shared" si="3"/>
        <v>108.5</v>
      </c>
      <c r="X6">
        <f t="shared" si="4"/>
        <v>104.58</v>
      </c>
      <c r="Y6">
        <f>IF(AE6=0,T6,(O6-AE6)/($P$19-1))</f>
        <v>106.47500000000001</v>
      </c>
      <c r="AA6" s="7">
        <f t="shared" si="7"/>
        <v>522.29380513465424</v>
      </c>
      <c r="AB6" s="1" t="s">
        <v>17</v>
      </c>
      <c r="AC6" s="11"/>
      <c r="AD6" s="13">
        <f>MIN(B6:N6)</f>
        <v>71.099999999999994</v>
      </c>
      <c r="AE6" s="12">
        <f t="shared" si="8"/>
        <v>71.099999999999994</v>
      </c>
      <c r="AF6" s="11">
        <f t="shared" si="9"/>
        <v>97.9</v>
      </c>
      <c r="AG6" s="2">
        <f t="shared" si="10"/>
        <v>108.9</v>
      </c>
      <c r="AH6" s="12">
        <f t="shared" si="11"/>
        <v>11</v>
      </c>
      <c r="AI6" s="11">
        <f t="shared" si="12"/>
        <v>81.400000000000006</v>
      </c>
      <c r="AJ6" s="2">
        <f t="shared" si="13"/>
        <v>125.4</v>
      </c>
      <c r="AK6" s="12">
        <f t="shared" si="14"/>
        <v>44</v>
      </c>
    </row>
    <row r="7" spans="1:37" x14ac:dyDescent="0.3">
      <c r="A7" s="1" t="s">
        <v>27</v>
      </c>
      <c r="B7" s="35">
        <v>91.9</v>
      </c>
      <c r="C7" s="13">
        <v>77.8</v>
      </c>
      <c r="D7" s="13">
        <v>103.3</v>
      </c>
      <c r="E7" s="13">
        <v>78.400000000000006</v>
      </c>
      <c r="F7" s="13">
        <v>76.7</v>
      </c>
      <c r="G7" s="13">
        <v>53.5</v>
      </c>
      <c r="H7" s="13">
        <v>85</v>
      </c>
      <c r="I7" s="13">
        <v>81.599999999999994</v>
      </c>
      <c r="J7" s="13">
        <v>76.599999999999994</v>
      </c>
      <c r="K7" s="13">
        <v>90.7</v>
      </c>
      <c r="L7" s="13">
        <v>95.5</v>
      </c>
      <c r="M7" s="13">
        <v>72</v>
      </c>
      <c r="N7" s="2">
        <v>57.1</v>
      </c>
      <c r="O7" s="27">
        <f t="shared" si="6"/>
        <v>1040.0999999999999</v>
      </c>
      <c r="Q7" s="25"/>
      <c r="R7" s="27">
        <v>-1</v>
      </c>
      <c r="T7">
        <f t="shared" si="0"/>
        <v>80.007692307692295</v>
      </c>
      <c r="U7">
        <f t="shared" si="1"/>
        <v>14.104695526576846</v>
      </c>
      <c r="V7">
        <f t="shared" si="2"/>
        <v>15.342652964855818</v>
      </c>
      <c r="W7">
        <f t="shared" si="3"/>
        <v>74.86666666666666</v>
      </c>
      <c r="X7">
        <f t="shared" si="4"/>
        <v>78.38000000000001</v>
      </c>
      <c r="Y7">
        <f>IF(AE7=0,T7,(O7-AE7)/($P$19-1))</f>
        <v>82.216666666666654</v>
      </c>
      <c r="AA7" s="7">
        <f t="shared" si="7"/>
        <v>388.59645002707566</v>
      </c>
      <c r="AB7" s="1" t="s">
        <v>27</v>
      </c>
      <c r="AC7" s="11"/>
      <c r="AD7" s="13">
        <f>MIN(B7:N7)</f>
        <v>53.5</v>
      </c>
      <c r="AE7" s="12">
        <f t="shared" si="8"/>
        <v>53.5</v>
      </c>
      <c r="AF7" s="11">
        <f t="shared" si="9"/>
        <v>76.599999999999994</v>
      </c>
      <c r="AG7" s="2">
        <f t="shared" si="10"/>
        <v>90.7</v>
      </c>
      <c r="AH7" s="12">
        <f t="shared" si="11"/>
        <v>14.100000000000009</v>
      </c>
      <c r="AI7" s="11">
        <f t="shared" si="12"/>
        <v>55.449999999999982</v>
      </c>
      <c r="AJ7" s="2">
        <f t="shared" si="13"/>
        <v>111.85000000000002</v>
      </c>
      <c r="AK7" s="12">
        <f t="shared" si="14"/>
        <v>56.400000000000041</v>
      </c>
    </row>
    <row r="8" spans="1:37" x14ac:dyDescent="0.3">
      <c r="A8" s="1" t="s">
        <v>18</v>
      </c>
      <c r="B8" s="35">
        <v>107.5</v>
      </c>
      <c r="C8" s="13">
        <v>92.2</v>
      </c>
      <c r="D8" s="13">
        <v>85.5</v>
      </c>
      <c r="E8" s="13">
        <v>108.1</v>
      </c>
      <c r="F8" s="13">
        <v>118.3</v>
      </c>
      <c r="G8" s="13">
        <v>93.4</v>
      </c>
      <c r="H8" s="13">
        <v>87.7</v>
      </c>
      <c r="I8" s="13">
        <v>106.5</v>
      </c>
      <c r="J8" s="13">
        <v>81.900000000000006</v>
      </c>
      <c r="K8" s="13">
        <v>131</v>
      </c>
      <c r="L8" s="13">
        <v>75.599999999999994</v>
      </c>
      <c r="M8" s="13">
        <v>106.1</v>
      </c>
      <c r="N8" s="2">
        <v>95.5</v>
      </c>
      <c r="O8" s="27">
        <f t="shared" si="6"/>
        <v>1289.3</v>
      </c>
      <c r="Q8" s="25"/>
      <c r="R8" s="27">
        <v>0</v>
      </c>
      <c r="T8">
        <f t="shared" si="0"/>
        <v>99.176923076923075</v>
      </c>
      <c r="U8">
        <f t="shared" si="1"/>
        <v>15.539098742964143</v>
      </c>
      <c r="V8">
        <f t="shared" si="2"/>
        <v>21.919329369303256</v>
      </c>
      <c r="W8">
        <f t="shared" si="3"/>
        <v>92.399999999999991</v>
      </c>
      <c r="X8">
        <f t="shared" si="4"/>
        <v>98.02000000000001</v>
      </c>
      <c r="Y8">
        <f t="shared" si="5"/>
        <v>99.176923076923075</v>
      </c>
      <c r="AA8" s="7">
        <f t="shared" si="7"/>
        <v>475.77747992348617</v>
      </c>
      <c r="AB8" s="1" t="s">
        <v>18</v>
      </c>
      <c r="AC8" s="11"/>
      <c r="AD8" s="13"/>
      <c r="AE8" s="12">
        <f t="shared" si="8"/>
        <v>0</v>
      </c>
      <c r="AF8" s="11">
        <f t="shared" si="9"/>
        <v>87.7</v>
      </c>
      <c r="AG8" s="2">
        <f t="shared" si="10"/>
        <v>107.5</v>
      </c>
      <c r="AH8" s="12">
        <f t="shared" si="11"/>
        <v>19.799999999999997</v>
      </c>
      <c r="AI8" s="11">
        <f t="shared" si="12"/>
        <v>58.000000000000007</v>
      </c>
      <c r="AJ8" s="2">
        <f t="shared" si="13"/>
        <v>137.19999999999999</v>
      </c>
      <c r="AK8" s="12">
        <f t="shared" si="14"/>
        <v>79.199999999999989</v>
      </c>
    </row>
    <row r="9" spans="1:37" x14ac:dyDescent="0.3">
      <c r="A9" s="1" t="s">
        <v>19</v>
      </c>
      <c r="B9" s="35">
        <v>118.4</v>
      </c>
      <c r="C9" s="13">
        <v>108.6</v>
      </c>
      <c r="D9" s="13">
        <v>79.400000000000006</v>
      </c>
      <c r="E9" s="13">
        <v>94.3</v>
      </c>
      <c r="F9" s="13">
        <v>104.6</v>
      </c>
      <c r="G9" s="13">
        <v>89.2</v>
      </c>
      <c r="H9" s="13">
        <v>84.1</v>
      </c>
      <c r="I9" s="13">
        <v>100.3</v>
      </c>
      <c r="J9" s="13">
        <v>74.099999999999994</v>
      </c>
      <c r="K9" s="13">
        <v>120.4</v>
      </c>
      <c r="L9" s="13">
        <v>92.8</v>
      </c>
      <c r="M9" s="13">
        <v>88.4</v>
      </c>
      <c r="N9" s="2">
        <v>77</v>
      </c>
      <c r="O9" s="27">
        <f t="shared" si="6"/>
        <v>1231.6000000000001</v>
      </c>
      <c r="Q9" s="25"/>
      <c r="R9" s="27">
        <v>0</v>
      </c>
      <c r="T9">
        <f t="shared" si="0"/>
        <v>94.73846153846155</v>
      </c>
      <c r="U9">
        <f t="shared" si="1"/>
        <v>15.0070837974125</v>
      </c>
      <c r="V9">
        <f t="shared" si="2"/>
        <v>18.404564651194526</v>
      </c>
      <c r="W9">
        <f t="shared" si="3"/>
        <v>86.066666666666663</v>
      </c>
      <c r="X9">
        <f t="shared" si="4"/>
        <v>90.54</v>
      </c>
      <c r="Y9">
        <f t="shared" si="5"/>
        <v>94.73846153846155</v>
      </c>
      <c r="AA9" s="7">
        <f t="shared" si="7"/>
        <v>451.57999836657575</v>
      </c>
      <c r="AB9" s="1" t="s">
        <v>19</v>
      </c>
      <c r="AC9" s="11"/>
      <c r="AD9" s="13"/>
      <c r="AE9" s="12">
        <f t="shared" si="8"/>
        <v>0</v>
      </c>
      <c r="AF9" s="11">
        <f t="shared" si="9"/>
        <v>84.1</v>
      </c>
      <c r="AG9" s="2">
        <f t="shared" si="10"/>
        <v>104.6</v>
      </c>
      <c r="AH9" s="12">
        <f t="shared" si="11"/>
        <v>20.5</v>
      </c>
      <c r="AI9" s="11">
        <f t="shared" si="12"/>
        <v>53.349999999999994</v>
      </c>
      <c r="AJ9" s="2">
        <f t="shared" si="13"/>
        <v>135.35</v>
      </c>
      <c r="AK9" s="12">
        <f t="shared" si="14"/>
        <v>82</v>
      </c>
    </row>
    <row r="10" spans="1:37" x14ac:dyDescent="0.3">
      <c r="A10" s="1" t="s">
        <v>20</v>
      </c>
      <c r="B10" s="35">
        <v>79.400000000000006</v>
      </c>
      <c r="C10" s="13">
        <v>55.9</v>
      </c>
      <c r="D10" s="13">
        <v>104.5</v>
      </c>
      <c r="E10" s="13">
        <v>63.6</v>
      </c>
      <c r="F10" s="13">
        <v>88.8</v>
      </c>
      <c r="G10" s="13">
        <v>87.8</v>
      </c>
      <c r="H10" s="13">
        <v>107.1</v>
      </c>
      <c r="I10" s="13">
        <v>79.2</v>
      </c>
      <c r="J10" s="13">
        <v>92.9</v>
      </c>
      <c r="K10" s="13">
        <v>90.5</v>
      </c>
      <c r="L10" s="13">
        <v>73.400000000000006</v>
      </c>
      <c r="M10" s="13">
        <v>116.2</v>
      </c>
      <c r="N10" s="2">
        <v>118.3</v>
      </c>
      <c r="O10" s="27">
        <f t="shared" si="6"/>
        <v>1157.5999999999999</v>
      </c>
      <c r="Q10" s="25"/>
      <c r="R10" s="27">
        <v>-3</v>
      </c>
      <c r="T10">
        <f t="shared" si="0"/>
        <v>89.046153846153842</v>
      </c>
      <c r="U10">
        <f t="shared" si="1"/>
        <v>19.055690986536273</v>
      </c>
      <c r="V10">
        <f t="shared" si="2"/>
        <v>18.910393967339786</v>
      </c>
      <c r="W10">
        <f t="shared" si="3"/>
        <v>102.63333333333334</v>
      </c>
      <c r="X10">
        <f t="shared" si="4"/>
        <v>98.26</v>
      </c>
      <c r="Y10">
        <f t="shared" si="5"/>
        <v>89.046153846153842</v>
      </c>
      <c r="AA10" s="7">
        <f t="shared" si="7"/>
        <v>442.93070030851021</v>
      </c>
      <c r="AB10" s="1" t="s">
        <v>20</v>
      </c>
      <c r="AC10" s="11"/>
      <c r="AD10" s="13"/>
      <c r="AE10" s="12">
        <f t="shared" si="8"/>
        <v>0</v>
      </c>
      <c r="AF10" s="11">
        <f t="shared" si="9"/>
        <v>79.2</v>
      </c>
      <c r="AG10" s="2">
        <f t="shared" si="10"/>
        <v>104.5</v>
      </c>
      <c r="AH10" s="12">
        <f t="shared" si="11"/>
        <v>25.299999999999997</v>
      </c>
      <c r="AI10" s="11">
        <f t="shared" si="12"/>
        <v>41.250000000000007</v>
      </c>
      <c r="AJ10" s="2">
        <f t="shared" si="13"/>
        <v>142.44999999999999</v>
      </c>
      <c r="AK10" s="12">
        <f t="shared" si="14"/>
        <v>101.19999999999999</v>
      </c>
    </row>
    <row r="11" spans="1:37" x14ac:dyDescent="0.3">
      <c r="A11" s="1" t="s">
        <v>21</v>
      </c>
      <c r="B11" s="35">
        <v>79.900000000000006</v>
      </c>
      <c r="C11" s="13">
        <v>93.1</v>
      </c>
      <c r="D11" s="13">
        <v>74</v>
      </c>
      <c r="E11" s="13">
        <v>72.599999999999994</v>
      </c>
      <c r="F11" s="13">
        <v>76.2</v>
      </c>
      <c r="G11" s="13">
        <v>70.7</v>
      </c>
      <c r="H11" s="13">
        <v>87.6</v>
      </c>
      <c r="I11" s="13">
        <v>101</v>
      </c>
      <c r="J11" s="13">
        <v>88.4</v>
      </c>
      <c r="K11" s="13">
        <v>59.2</v>
      </c>
      <c r="L11" s="13">
        <v>79.8</v>
      </c>
      <c r="M11" s="13">
        <v>88</v>
      </c>
      <c r="N11" s="2">
        <v>64.900000000000006</v>
      </c>
      <c r="O11" s="27">
        <f t="shared" si="6"/>
        <v>1035.4000000000001</v>
      </c>
      <c r="Q11" s="25"/>
      <c r="R11" s="27">
        <v>0</v>
      </c>
      <c r="T11">
        <f t="shared" si="0"/>
        <v>79.646153846153851</v>
      </c>
      <c r="U11">
        <f t="shared" si="1"/>
        <v>11.746248719244665</v>
      </c>
      <c r="V11">
        <f t="shared" si="2"/>
        <v>13.394327157419985</v>
      </c>
      <c r="W11">
        <f t="shared" si="3"/>
        <v>77.566666666666677</v>
      </c>
      <c r="X11">
        <f t="shared" si="4"/>
        <v>76.060000000000016</v>
      </c>
      <c r="Y11">
        <f t="shared" si="5"/>
        <v>79.646153846153851</v>
      </c>
      <c r="AA11" s="7">
        <f t="shared" si="7"/>
        <v>384.73156528829901</v>
      </c>
      <c r="AB11" s="1" t="s">
        <v>21</v>
      </c>
      <c r="AC11" s="11"/>
      <c r="AD11" s="13"/>
      <c r="AE11" s="12">
        <f t="shared" si="8"/>
        <v>0</v>
      </c>
      <c r="AF11" s="11">
        <f t="shared" si="9"/>
        <v>72.599999999999994</v>
      </c>
      <c r="AG11" s="2">
        <f t="shared" si="10"/>
        <v>88</v>
      </c>
      <c r="AH11" s="12">
        <f t="shared" si="11"/>
        <v>15.400000000000006</v>
      </c>
      <c r="AI11" s="11">
        <f t="shared" si="12"/>
        <v>49.499999999999986</v>
      </c>
      <c r="AJ11" s="2">
        <f t="shared" si="13"/>
        <v>111.10000000000001</v>
      </c>
      <c r="AK11" s="12">
        <f t="shared" si="14"/>
        <v>61.600000000000023</v>
      </c>
    </row>
    <row r="12" spans="1:37" x14ac:dyDescent="0.3">
      <c r="A12" s="1" t="s">
        <v>22</v>
      </c>
      <c r="B12" s="35">
        <v>116.7</v>
      </c>
      <c r="C12" s="13">
        <v>88.2</v>
      </c>
      <c r="D12" s="13">
        <v>126</v>
      </c>
      <c r="E12" s="13">
        <v>92.2</v>
      </c>
      <c r="F12" s="13">
        <v>120.6</v>
      </c>
      <c r="G12" s="13">
        <v>133.5</v>
      </c>
      <c r="H12" s="13">
        <v>76.099999999999994</v>
      </c>
      <c r="I12" s="13">
        <v>89.8</v>
      </c>
      <c r="J12" s="13">
        <v>89.1</v>
      </c>
      <c r="K12" s="13">
        <v>121.1</v>
      </c>
      <c r="L12" s="13">
        <v>93.3</v>
      </c>
      <c r="M12" s="13">
        <v>136.69999999999999</v>
      </c>
      <c r="N12" s="2">
        <v>138</v>
      </c>
      <c r="O12" s="27">
        <f t="shared" si="6"/>
        <v>1421.3</v>
      </c>
      <c r="Q12" s="25"/>
      <c r="R12" s="27">
        <v>0</v>
      </c>
      <c r="T12">
        <f t="shared" si="0"/>
        <v>109.33076923076922</v>
      </c>
      <c r="U12">
        <f t="shared" si="1"/>
        <v>21.68872151662335</v>
      </c>
      <c r="V12">
        <f t="shared" si="2"/>
        <v>23.327837447993215</v>
      </c>
      <c r="W12">
        <f t="shared" si="3"/>
        <v>122.66666666666667</v>
      </c>
      <c r="X12">
        <f t="shared" si="4"/>
        <v>115.64000000000001</v>
      </c>
      <c r="Y12">
        <f t="shared" si="5"/>
        <v>109.33076923076922</v>
      </c>
      <c r="AA12" s="7">
        <f t="shared" si="7"/>
        <v>537.63596549032502</v>
      </c>
      <c r="AB12" s="1" t="s">
        <v>22</v>
      </c>
      <c r="AC12" s="11"/>
      <c r="AD12" s="13"/>
      <c r="AE12" s="12">
        <f t="shared" si="8"/>
        <v>0</v>
      </c>
      <c r="AF12" s="11">
        <f t="shared" si="9"/>
        <v>89.8</v>
      </c>
      <c r="AG12" s="2">
        <f t="shared" si="10"/>
        <v>126</v>
      </c>
      <c r="AH12" s="12">
        <f t="shared" si="11"/>
        <v>36.200000000000003</v>
      </c>
      <c r="AI12" s="11">
        <f t="shared" si="12"/>
        <v>35.499999999999993</v>
      </c>
      <c r="AJ12" s="2">
        <f t="shared" si="13"/>
        <v>180.3</v>
      </c>
      <c r="AK12" s="12">
        <f t="shared" si="14"/>
        <v>144.80000000000001</v>
      </c>
    </row>
    <row r="13" spans="1:37" x14ac:dyDescent="0.3">
      <c r="A13" s="1" t="s">
        <v>23</v>
      </c>
      <c r="B13" s="35">
        <v>105.4</v>
      </c>
      <c r="C13" s="13">
        <v>74</v>
      </c>
      <c r="D13" s="13">
        <v>97.2</v>
      </c>
      <c r="E13" s="13">
        <v>85.6</v>
      </c>
      <c r="F13" s="13">
        <v>52.3</v>
      </c>
      <c r="G13" s="13">
        <v>52.8</v>
      </c>
      <c r="H13" s="13">
        <v>100.5</v>
      </c>
      <c r="I13" s="13">
        <v>72.900000000000006</v>
      </c>
      <c r="J13" s="13">
        <v>61.1</v>
      </c>
      <c r="K13" s="13">
        <v>71.099999999999994</v>
      </c>
      <c r="L13" s="13">
        <v>61.4</v>
      </c>
      <c r="M13" s="13">
        <v>95.1</v>
      </c>
      <c r="N13" s="2">
        <v>35</v>
      </c>
      <c r="O13" s="27">
        <f t="shared" si="6"/>
        <v>964.40000000000009</v>
      </c>
      <c r="Q13" s="25"/>
      <c r="R13" s="27">
        <v>1</v>
      </c>
      <c r="T13">
        <f t="shared" si="0"/>
        <v>74.184615384615398</v>
      </c>
      <c r="U13">
        <f t="shared" si="1"/>
        <v>21.567523662281559</v>
      </c>
      <c r="V13">
        <f t="shared" si="2"/>
        <v>21.627829294684197</v>
      </c>
      <c r="W13">
        <f t="shared" si="3"/>
        <v>63.833333333333336</v>
      </c>
      <c r="X13">
        <f t="shared" si="4"/>
        <v>64.739999999999995</v>
      </c>
      <c r="Y13">
        <f t="shared" si="5"/>
        <v>74.184615384615398</v>
      </c>
      <c r="AA13" s="7">
        <f t="shared" si="7"/>
        <v>333.02523024837166</v>
      </c>
      <c r="AB13" s="1" t="s">
        <v>23</v>
      </c>
      <c r="AC13" s="11"/>
      <c r="AD13" s="13"/>
      <c r="AE13" s="12">
        <f t="shared" si="8"/>
        <v>0</v>
      </c>
      <c r="AF13" s="11">
        <f t="shared" si="9"/>
        <v>61.1</v>
      </c>
      <c r="AG13" s="2">
        <f t="shared" si="10"/>
        <v>95.1</v>
      </c>
      <c r="AH13" s="12">
        <f t="shared" si="11"/>
        <v>33.999999999999993</v>
      </c>
      <c r="AI13" s="11">
        <f t="shared" si="12"/>
        <v>10.100000000000016</v>
      </c>
      <c r="AJ13" s="2">
        <f t="shared" si="13"/>
        <v>146.09999999999997</v>
      </c>
      <c r="AK13" s="12">
        <f t="shared" si="14"/>
        <v>135.99999999999994</v>
      </c>
    </row>
    <row r="14" spans="1:37" x14ac:dyDescent="0.3">
      <c r="A14" s="1" t="s">
        <v>24</v>
      </c>
      <c r="B14" s="35">
        <v>96</v>
      </c>
      <c r="C14" s="13">
        <v>87</v>
      </c>
      <c r="D14" s="13">
        <v>72</v>
      </c>
      <c r="E14" s="13">
        <v>117.6</v>
      </c>
      <c r="F14" s="13">
        <v>69.099999999999994</v>
      </c>
      <c r="G14" s="13">
        <v>93.8</v>
      </c>
      <c r="H14" s="13">
        <v>92</v>
      </c>
      <c r="I14" s="13">
        <v>72.8</v>
      </c>
      <c r="J14" s="13">
        <v>113.5</v>
      </c>
      <c r="K14" s="13">
        <v>59.9</v>
      </c>
      <c r="L14" s="13">
        <v>66.900000000000006</v>
      </c>
      <c r="M14" s="13">
        <v>101.6</v>
      </c>
      <c r="N14" s="2">
        <v>75.599999999999994</v>
      </c>
      <c r="O14" s="27">
        <f t="shared" si="6"/>
        <v>1117.7999999999997</v>
      </c>
      <c r="Q14" s="25"/>
      <c r="R14" s="27">
        <v>0</v>
      </c>
      <c r="T14">
        <f t="shared" si="0"/>
        <v>85.984615384615367</v>
      </c>
      <c r="U14">
        <f t="shared" si="1"/>
        <v>18.271190718078916</v>
      </c>
      <c r="V14">
        <f t="shared" si="2"/>
        <v>23.03551605673292</v>
      </c>
      <c r="W14">
        <f t="shared" si="3"/>
        <v>81.36666666666666</v>
      </c>
      <c r="X14">
        <f t="shared" si="4"/>
        <v>83.5</v>
      </c>
      <c r="Y14">
        <f t="shared" si="5"/>
        <v>85.984615384615367</v>
      </c>
      <c r="AA14" s="7">
        <f t="shared" si="7"/>
        <v>405.61136185781498</v>
      </c>
      <c r="AB14" s="1" t="s">
        <v>24</v>
      </c>
      <c r="AC14" s="11"/>
      <c r="AD14" s="13"/>
      <c r="AE14" s="12">
        <f t="shared" si="8"/>
        <v>0</v>
      </c>
      <c r="AF14" s="11">
        <f t="shared" si="9"/>
        <v>72</v>
      </c>
      <c r="AG14" s="2">
        <f t="shared" si="10"/>
        <v>96</v>
      </c>
      <c r="AH14" s="12">
        <f t="shared" si="11"/>
        <v>24</v>
      </c>
      <c r="AI14" s="11">
        <f t="shared" si="12"/>
        <v>36</v>
      </c>
      <c r="AJ14" s="2">
        <f t="shared" si="13"/>
        <v>132</v>
      </c>
      <c r="AK14" s="12">
        <f t="shared" si="14"/>
        <v>96</v>
      </c>
    </row>
    <row r="15" spans="1:37" x14ac:dyDescent="0.3">
      <c r="A15" s="1" t="s">
        <v>25</v>
      </c>
      <c r="B15" s="35">
        <v>103.7</v>
      </c>
      <c r="C15" s="13">
        <v>124.3</v>
      </c>
      <c r="D15" s="13">
        <v>90.1</v>
      </c>
      <c r="E15" s="13">
        <v>67</v>
      </c>
      <c r="F15" s="13">
        <v>124.1</v>
      </c>
      <c r="G15" s="13">
        <v>95.9</v>
      </c>
      <c r="H15" s="13">
        <v>49</v>
      </c>
      <c r="I15" s="13">
        <v>50.5</v>
      </c>
      <c r="J15" s="13">
        <v>73.7</v>
      </c>
      <c r="K15" s="13">
        <v>77.7</v>
      </c>
      <c r="L15" s="13">
        <v>90.7</v>
      </c>
      <c r="M15" s="13">
        <v>105.6</v>
      </c>
      <c r="N15" s="2">
        <v>95.7</v>
      </c>
      <c r="O15" s="27">
        <f t="shared" si="6"/>
        <v>1148.0000000000002</v>
      </c>
      <c r="Q15" s="25"/>
      <c r="R15" s="27">
        <v>2</v>
      </c>
      <c r="T15">
        <f t="shared" si="0"/>
        <v>88.307692307692321</v>
      </c>
      <c r="U15">
        <f t="shared" si="1"/>
        <v>24.13184139743106</v>
      </c>
      <c r="V15">
        <f t="shared" si="2"/>
        <v>13.082507404928087</v>
      </c>
      <c r="W15">
        <f t="shared" si="3"/>
        <v>97.333333333333329</v>
      </c>
      <c r="X15">
        <f t="shared" si="4"/>
        <v>88.68</v>
      </c>
      <c r="Y15">
        <f t="shared" si="5"/>
        <v>88.307692307692321</v>
      </c>
      <c r="AA15" s="7">
        <f t="shared" si="7"/>
        <v>428.40173050332328</v>
      </c>
      <c r="AB15" s="1" t="s">
        <v>25</v>
      </c>
      <c r="AC15" s="11"/>
      <c r="AD15" s="13"/>
      <c r="AE15" s="12">
        <f t="shared" si="8"/>
        <v>0</v>
      </c>
      <c r="AF15" s="11">
        <f t="shared" si="9"/>
        <v>73.7</v>
      </c>
      <c r="AG15" s="2">
        <f t="shared" si="10"/>
        <v>103.7</v>
      </c>
      <c r="AH15" s="12">
        <f t="shared" si="11"/>
        <v>30</v>
      </c>
      <c r="AI15" s="11">
        <f t="shared" si="12"/>
        <v>28.700000000000003</v>
      </c>
      <c r="AJ15" s="2">
        <f t="shared" si="13"/>
        <v>148.69999999999999</v>
      </c>
      <c r="AK15" s="12">
        <f t="shared" si="14"/>
        <v>119.99999999999999</v>
      </c>
    </row>
    <row r="16" spans="1:37" ht="15" thickBot="1" x14ac:dyDescent="0.35">
      <c r="A16" s="1" t="s">
        <v>26</v>
      </c>
      <c r="B16" s="36">
        <v>102.6</v>
      </c>
      <c r="C16" s="30">
        <v>117.6</v>
      </c>
      <c r="D16" s="30">
        <v>64.2</v>
      </c>
      <c r="E16" s="30">
        <v>103</v>
      </c>
      <c r="F16" s="30">
        <v>105.3</v>
      </c>
      <c r="G16" s="30">
        <v>83.6</v>
      </c>
      <c r="H16" s="30">
        <v>137.4</v>
      </c>
      <c r="I16" s="30">
        <v>75.400000000000006</v>
      </c>
      <c r="J16" s="30">
        <v>99.3</v>
      </c>
      <c r="K16" s="30">
        <v>111.9</v>
      </c>
      <c r="L16" s="30">
        <v>50.1</v>
      </c>
      <c r="M16" s="30">
        <v>105</v>
      </c>
      <c r="N16" s="15">
        <v>73.099999999999994</v>
      </c>
      <c r="O16" s="28">
        <f t="shared" si="6"/>
        <v>1228.4999999999998</v>
      </c>
      <c r="Q16" s="25"/>
      <c r="R16" s="28">
        <v>-3</v>
      </c>
      <c r="T16">
        <f t="shared" si="0"/>
        <v>94.499999999999986</v>
      </c>
      <c r="U16">
        <f t="shared" si="1"/>
        <v>23.971510868807087</v>
      </c>
      <c r="V16">
        <f t="shared" si="2"/>
        <v>25.720847575459128</v>
      </c>
      <c r="W16">
        <f t="shared" si="3"/>
        <v>76.066666666666663</v>
      </c>
      <c r="X16">
        <f t="shared" si="4"/>
        <v>87.88</v>
      </c>
      <c r="Y16">
        <f t="shared" si="5"/>
        <v>94.499999999999986</v>
      </c>
      <c r="AA16" s="7">
        <f t="shared" si="7"/>
        <v>431.37782305603281</v>
      </c>
      <c r="AB16" s="1" t="s">
        <v>26</v>
      </c>
      <c r="AC16" s="14"/>
      <c r="AD16" s="30"/>
      <c r="AE16" s="16">
        <f t="shared" si="8"/>
        <v>0</v>
      </c>
      <c r="AF16" s="14">
        <f t="shared" si="9"/>
        <v>75.400000000000006</v>
      </c>
      <c r="AG16" s="15">
        <f t="shared" si="10"/>
        <v>105.3</v>
      </c>
      <c r="AH16" s="16">
        <f t="shared" si="11"/>
        <v>29.899999999999991</v>
      </c>
      <c r="AI16" s="14">
        <f t="shared" si="12"/>
        <v>30.550000000000018</v>
      </c>
      <c r="AJ16" s="15">
        <f t="shared" si="13"/>
        <v>150.14999999999998</v>
      </c>
      <c r="AK16" s="16">
        <f t="shared" si="14"/>
        <v>119.59999999999997</v>
      </c>
    </row>
    <row r="17" spans="1:29" ht="15" thickBo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1" t="s">
        <v>64</v>
      </c>
      <c r="Q17" s="29" t="s">
        <v>65</v>
      </c>
      <c r="R17" s="29" t="s">
        <v>68</v>
      </c>
      <c r="S17" s="2"/>
    </row>
    <row r="18" spans="1:29" x14ac:dyDescent="0.3">
      <c r="A18" s="3" t="s">
        <v>50</v>
      </c>
      <c r="B18" s="2">
        <v>0</v>
      </c>
      <c r="C18" s="2">
        <v>0.15384615384615385</v>
      </c>
      <c r="D18" s="2">
        <v>0.69230769230769229</v>
      </c>
      <c r="E18" s="2">
        <v>0.61538461538461542</v>
      </c>
      <c r="F18" s="2">
        <v>0.76923076923076927</v>
      </c>
      <c r="G18" s="2">
        <v>0.38461538461538464</v>
      </c>
      <c r="H18" s="2">
        <v>7.6923076923076927E-2</v>
      </c>
      <c r="I18" s="2">
        <v>0.69230769230769229</v>
      </c>
      <c r="J18" s="2">
        <v>0.38461538461538464</v>
      </c>
      <c r="K18" s="2">
        <v>0.61538461538461542</v>
      </c>
      <c r="L18" s="2">
        <v>0.46153846153846156</v>
      </c>
      <c r="M18" s="2">
        <v>0.53846153846153844</v>
      </c>
      <c r="N18" s="2">
        <v>0.76923076923076927</v>
      </c>
      <c r="O18" s="17">
        <f>SUM(B18:N18)</f>
        <v>6.1538461538461542</v>
      </c>
      <c r="P18" t="s">
        <v>33</v>
      </c>
      <c r="Q18" s="26" t="s">
        <v>22</v>
      </c>
      <c r="R18" s="26" t="s">
        <v>70</v>
      </c>
      <c r="S18" s="2"/>
    </row>
    <row r="19" spans="1:29" x14ac:dyDescent="0.3">
      <c r="A19" s="3" t="s">
        <v>51</v>
      </c>
      <c r="B19" s="2">
        <v>0.46153846153846156</v>
      </c>
      <c r="C19" s="2">
        <v>7.6923076923076927E-2</v>
      </c>
      <c r="D19" s="2">
        <v>0.38461538461538464</v>
      </c>
      <c r="E19" s="2">
        <v>0.15384615384615385</v>
      </c>
      <c r="F19" s="2">
        <v>0.38461538461538464</v>
      </c>
      <c r="G19" s="2">
        <v>0.23076923076923078</v>
      </c>
      <c r="H19" s="2">
        <v>0.76923076923076927</v>
      </c>
      <c r="I19" s="2">
        <v>0.46153846153846156</v>
      </c>
      <c r="J19" s="2">
        <v>0.76923076923076927</v>
      </c>
      <c r="K19" s="2">
        <v>0.53846153846153844</v>
      </c>
      <c r="L19" s="2">
        <v>1</v>
      </c>
      <c r="M19" s="2">
        <v>0</v>
      </c>
      <c r="N19" s="2">
        <v>0.61538461538461542</v>
      </c>
      <c r="O19" s="18">
        <f t="shared" ref="O19:O31" si="15">SUM(B19:N19)</f>
        <v>5.8461538461538467</v>
      </c>
      <c r="P19" s="2">
        <v>13</v>
      </c>
      <c r="Q19" s="27" t="s">
        <v>17</v>
      </c>
      <c r="R19" s="27" t="s">
        <v>71</v>
      </c>
      <c r="S19" s="2"/>
      <c r="T19" s="2"/>
      <c r="U19" s="2"/>
      <c r="V19" t="s">
        <v>48</v>
      </c>
      <c r="W19" t="s">
        <v>49</v>
      </c>
      <c r="X19" t="s">
        <v>47</v>
      </c>
      <c r="Y19" t="s">
        <v>46</v>
      </c>
    </row>
    <row r="20" spans="1:29" x14ac:dyDescent="0.3">
      <c r="A20" s="3" t="s">
        <v>52</v>
      </c>
      <c r="B20" s="2">
        <v>0.38461538461538464</v>
      </c>
      <c r="C20" s="2">
        <v>0.30769230769230771</v>
      </c>
      <c r="D20" s="2">
        <v>0.15384615384615385</v>
      </c>
      <c r="E20" s="2">
        <v>1</v>
      </c>
      <c r="F20" s="2">
        <v>0.30769230769230771</v>
      </c>
      <c r="G20" s="2">
        <v>0.30769230769230771</v>
      </c>
      <c r="H20" s="2">
        <v>0.92307692307692313</v>
      </c>
      <c r="I20" s="2">
        <v>1</v>
      </c>
      <c r="J20" s="2">
        <v>1</v>
      </c>
      <c r="K20" s="2">
        <v>0.30769230769230771</v>
      </c>
      <c r="L20" s="2">
        <v>0.92307692307692313</v>
      </c>
      <c r="M20" s="2">
        <v>0.15384615384615385</v>
      </c>
      <c r="N20" s="2">
        <v>0.46153846153846156</v>
      </c>
      <c r="O20" s="22">
        <f t="shared" si="15"/>
        <v>7.2307692307692317</v>
      </c>
      <c r="P20" s="2"/>
      <c r="Q20" s="27" t="s">
        <v>18</v>
      </c>
      <c r="R20" s="27" t="s">
        <v>18</v>
      </c>
      <c r="S20" s="2" t="s">
        <v>74</v>
      </c>
      <c r="T20" s="2" t="s">
        <v>75</v>
      </c>
      <c r="U20" s="2" t="s">
        <v>0</v>
      </c>
      <c r="V20">
        <f t="shared" ref="V20:V33" si="16">(T21-$Y$20)/$X$20</f>
        <v>1.8425169081540098</v>
      </c>
      <c r="W20">
        <f>_xlfn.NORM.S.DIST(V20,TRUE)</f>
        <v>0.96730021219337237</v>
      </c>
      <c r="X20">
        <f>_xlfn.STDEV.S(T21:T34)</f>
        <v>53.792081261390038</v>
      </c>
      <c r="Y20">
        <f>AVERAGE(T21:T34)</f>
        <v>438.5231462414194</v>
      </c>
    </row>
    <row r="21" spans="1:29" x14ac:dyDescent="0.3">
      <c r="A21" s="3" t="s">
        <v>53</v>
      </c>
      <c r="B21" s="2">
        <v>0.84615384615384615</v>
      </c>
      <c r="C21" s="2">
        <v>0.76923076923076927</v>
      </c>
      <c r="D21" s="2">
        <v>0.92307692307692313</v>
      </c>
      <c r="E21" s="2">
        <v>0.76923076923076927</v>
      </c>
      <c r="F21" s="2">
        <v>0.69230769230769229</v>
      </c>
      <c r="G21" s="2">
        <v>0.92307692307692313</v>
      </c>
      <c r="H21" s="2">
        <v>0.15384615384615385</v>
      </c>
      <c r="I21" s="2">
        <v>0.61538461538461542</v>
      </c>
      <c r="J21" s="2">
        <v>0.61538461538461542</v>
      </c>
      <c r="K21" s="2">
        <v>0.69230769230769229</v>
      </c>
      <c r="L21" s="2">
        <v>0.84615384615384615</v>
      </c>
      <c r="M21" s="2">
        <v>0.84615384615384615</v>
      </c>
      <c r="N21" s="2">
        <v>0.84615384615384615</v>
      </c>
      <c r="O21" s="22">
        <f t="shared" si="15"/>
        <v>9.5384615384615401</v>
      </c>
      <c r="P21" s="2"/>
      <c r="Q21" s="27" t="s">
        <v>66</v>
      </c>
      <c r="R21" s="27" t="s">
        <v>66</v>
      </c>
      <c r="S21" s="2">
        <v>1</v>
      </c>
      <c r="T21" s="2">
        <f>LARGE($AA$3:$AA$16,1)</f>
        <v>537.63596549032502</v>
      </c>
      <c r="U21" s="2" t="s">
        <v>22</v>
      </c>
      <c r="V21">
        <f t="shared" si="16"/>
        <v>1.5573046613714556</v>
      </c>
      <c r="W21">
        <f t="shared" ref="W21:W33" si="17">_xlfn.NORM.S.DIST(V21,TRUE)</f>
        <v>0.94030091538285798</v>
      </c>
    </row>
    <row r="22" spans="1:29" x14ac:dyDescent="0.3">
      <c r="A22" s="3" t="s">
        <v>54</v>
      </c>
      <c r="B22" s="2">
        <v>0.23076923076923078</v>
      </c>
      <c r="C22" s="2">
        <v>0.38461538461538464</v>
      </c>
      <c r="D22" s="2">
        <v>0.76923076923076927</v>
      </c>
      <c r="E22" s="2">
        <v>0.30769230769230771</v>
      </c>
      <c r="F22" s="2">
        <v>0.23076923076923078</v>
      </c>
      <c r="G22" s="2">
        <v>7.6923076923076927E-2</v>
      </c>
      <c r="H22" s="2">
        <v>0.38461538461538464</v>
      </c>
      <c r="I22" s="2">
        <v>0.38461538461538464</v>
      </c>
      <c r="J22" s="2">
        <v>0.23076923076923078</v>
      </c>
      <c r="K22" s="2">
        <v>0.46153846153846156</v>
      </c>
      <c r="L22" s="2">
        <v>0.76923076923076927</v>
      </c>
      <c r="M22" s="2">
        <v>7.6923076923076927E-2</v>
      </c>
      <c r="N22" s="2">
        <v>7.6923076923076927E-2</v>
      </c>
      <c r="O22" s="18">
        <f t="shared" si="15"/>
        <v>4.3846153846153841</v>
      </c>
      <c r="P22" s="2"/>
      <c r="Q22" s="27" t="s">
        <v>67</v>
      </c>
      <c r="R22" s="27" t="s">
        <v>67</v>
      </c>
      <c r="S22" s="2">
        <v>2</v>
      </c>
      <c r="T22" s="2">
        <f>LARGE($AA$3:$AA$16,2)</f>
        <v>522.29380513465424</v>
      </c>
      <c r="U22" s="2" t="s">
        <v>17</v>
      </c>
      <c r="V22">
        <f t="shared" si="16"/>
        <v>0.69256167094628762</v>
      </c>
      <c r="W22">
        <f t="shared" si="17"/>
        <v>0.75570766444972304</v>
      </c>
    </row>
    <row r="23" spans="1:29" x14ac:dyDescent="0.3">
      <c r="A23" s="3" t="s">
        <v>55</v>
      </c>
      <c r="B23" s="2">
        <v>0.76923076923076927</v>
      </c>
      <c r="C23" s="2">
        <v>0.61538461538461542</v>
      </c>
      <c r="D23" s="2">
        <v>0.46153846153846156</v>
      </c>
      <c r="E23" s="2">
        <v>0.84615384615384615</v>
      </c>
      <c r="F23" s="2">
        <v>0.84615384615384615</v>
      </c>
      <c r="G23" s="2">
        <v>0.69230769230769229</v>
      </c>
      <c r="H23" s="2">
        <v>0.53846153846153844</v>
      </c>
      <c r="I23" s="2">
        <v>0.92307692307692313</v>
      </c>
      <c r="J23" s="2">
        <v>0.30769230769230771</v>
      </c>
      <c r="K23" s="2">
        <v>1</v>
      </c>
      <c r="L23" s="2">
        <v>0.30769230769230771</v>
      </c>
      <c r="M23" s="2">
        <v>0.76923076923076927</v>
      </c>
      <c r="N23" s="2">
        <v>0.53846153846153844</v>
      </c>
      <c r="O23" s="22">
        <f t="shared" si="15"/>
        <v>8.615384615384615</v>
      </c>
      <c r="P23" s="2"/>
      <c r="Q23" s="27" t="s">
        <v>26</v>
      </c>
      <c r="R23" s="27" t="s">
        <v>69</v>
      </c>
      <c r="S23" s="2">
        <v>3</v>
      </c>
      <c r="T23" s="2">
        <f>LARGE($AA$3:$AA$16,3)</f>
        <v>475.77747992348617</v>
      </c>
      <c r="U23" s="2" t="s">
        <v>18</v>
      </c>
      <c r="V23">
        <f t="shared" si="16"/>
        <v>0.43555582783167274</v>
      </c>
      <c r="W23">
        <f t="shared" si="17"/>
        <v>0.66842048732402737</v>
      </c>
    </row>
    <row r="24" spans="1:29" x14ac:dyDescent="0.3">
      <c r="A24" s="3" t="s">
        <v>56</v>
      </c>
      <c r="B24" s="2">
        <v>1</v>
      </c>
      <c r="C24" s="2">
        <v>0.84615384615384615</v>
      </c>
      <c r="D24" s="2">
        <v>0.30769230769230771</v>
      </c>
      <c r="E24" s="2">
        <v>0.53846153846153844</v>
      </c>
      <c r="F24" s="2">
        <v>0.53846153846153844</v>
      </c>
      <c r="G24" s="2">
        <v>0.61538461538461542</v>
      </c>
      <c r="H24" s="2">
        <v>0.30769230769230771</v>
      </c>
      <c r="I24" s="2">
        <v>0.76923076923076927</v>
      </c>
      <c r="J24" s="2">
        <v>0.15384615384615385</v>
      </c>
      <c r="K24" s="2">
        <v>0.84615384615384615</v>
      </c>
      <c r="L24" s="2">
        <v>0.61538461538461542</v>
      </c>
      <c r="M24" s="2">
        <v>0.30769230769230771</v>
      </c>
      <c r="N24" s="2">
        <v>0.38461538461538464</v>
      </c>
      <c r="O24" s="22">
        <f t="shared" si="15"/>
        <v>7.2307692307692308</v>
      </c>
      <c r="P24" s="2"/>
      <c r="Q24" s="27" t="s">
        <v>20</v>
      </c>
      <c r="R24" s="27" t="s">
        <v>14</v>
      </c>
      <c r="S24" s="3">
        <v>4</v>
      </c>
      <c r="T24" s="2">
        <f>LARGE($AA$3:$AA$16,4)</f>
        <v>461.95260072601275</v>
      </c>
      <c r="U24" s="3" t="s">
        <v>14</v>
      </c>
      <c r="V24">
        <f t="shared" si="16"/>
        <v>0.37804157842245717</v>
      </c>
      <c r="W24">
        <f t="shared" si="17"/>
        <v>0.6473001465854884</v>
      </c>
      <c r="AB24" s="6"/>
      <c r="AC24" s="6"/>
    </row>
    <row r="25" spans="1:29" x14ac:dyDescent="0.3">
      <c r="A25" s="3" t="s">
        <v>57</v>
      </c>
      <c r="B25" s="2">
        <v>7.6923076923076927E-2</v>
      </c>
      <c r="C25" s="2">
        <v>0</v>
      </c>
      <c r="D25" s="2">
        <v>0.84615384615384615</v>
      </c>
      <c r="E25" s="2">
        <v>0.23076923076923078</v>
      </c>
      <c r="F25" s="2">
        <v>0.46153846153846156</v>
      </c>
      <c r="G25" s="2">
        <v>0.53846153846153844</v>
      </c>
      <c r="H25" s="2">
        <v>0.84615384615384615</v>
      </c>
      <c r="I25" s="2">
        <v>0.30769230769230771</v>
      </c>
      <c r="J25" s="2">
        <v>0.69230769230769229</v>
      </c>
      <c r="K25" s="2">
        <v>0.38461538461538464</v>
      </c>
      <c r="L25" s="2">
        <v>0.23076923076923078</v>
      </c>
      <c r="M25" s="2">
        <v>0.92307692307692313</v>
      </c>
      <c r="N25" s="2">
        <v>0.92307692307692313</v>
      </c>
      <c r="O25" s="22">
        <f t="shared" si="15"/>
        <v>6.4615384615384626</v>
      </c>
      <c r="P25" s="2"/>
      <c r="Q25" s="27" t="s">
        <v>25</v>
      </c>
      <c r="R25" s="27" t="s">
        <v>15</v>
      </c>
      <c r="S25" s="3">
        <v>5</v>
      </c>
      <c r="T25" s="2">
        <f>LARGE($AA$3:$AA$16,5)</f>
        <v>458.85878954810437</v>
      </c>
      <c r="U25" s="3" t="s">
        <v>16</v>
      </c>
      <c r="V25">
        <f t="shared" si="16"/>
        <v>0.24272814546270546</v>
      </c>
      <c r="W25">
        <f t="shared" si="17"/>
        <v>0.59589199877873655</v>
      </c>
      <c r="AB25" t="s">
        <v>81</v>
      </c>
    </row>
    <row r="26" spans="1:29" x14ac:dyDescent="0.3">
      <c r="A26" s="3" t="s">
        <v>58</v>
      </c>
      <c r="B26" s="2">
        <v>0.15384615384615385</v>
      </c>
      <c r="C26" s="2">
        <v>0.69230769230769229</v>
      </c>
      <c r="D26" s="2">
        <v>0.23076923076923078</v>
      </c>
      <c r="E26" s="2">
        <v>0</v>
      </c>
      <c r="F26" s="2">
        <v>0.15384615384615385</v>
      </c>
      <c r="G26" s="2">
        <v>0.15384615384615385</v>
      </c>
      <c r="H26" s="2">
        <v>0.46153846153846156</v>
      </c>
      <c r="I26" s="2">
        <v>0.84615384615384615</v>
      </c>
      <c r="J26" s="2">
        <v>0.46153846153846156</v>
      </c>
      <c r="K26" s="2">
        <v>0</v>
      </c>
      <c r="L26" s="2">
        <v>0.38461538461538464</v>
      </c>
      <c r="M26" s="2">
        <v>0.23076923076923078</v>
      </c>
      <c r="N26" s="2">
        <v>0.15384615384615385</v>
      </c>
      <c r="O26" s="18">
        <f t="shared" si="15"/>
        <v>3.9230769230769234</v>
      </c>
      <c r="P26" s="2"/>
      <c r="Q26" s="27" t="s">
        <v>14</v>
      </c>
      <c r="R26" s="27" t="s">
        <v>26</v>
      </c>
      <c r="S26" s="3">
        <v>6</v>
      </c>
      <c r="T26" s="2">
        <f>LARGE($AA$3:$AA$16,6)</f>
        <v>451.57999836657575</v>
      </c>
      <c r="U26" s="3" t="s">
        <v>19</v>
      </c>
      <c r="V26">
        <f t="shared" si="16"/>
        <v>8.1936856945046169E-2</v>
      </c>
      <c r="W26">
        <f t="shared" si="17"/>
        <v>0.53265153732013271</v>
      </c>
    </row>
    <row r="27" spans="1:29" x14ac:dyDescent="0.3">
      <c r="A27" s="3" t="s">
        <v>59</v>
      </c>
      <c r="B27" s="2">
        <v>0.92307692307692313</v>
      </c>
      <c r="C27" s="2">
        <v>0.53846153846153844</v>
      </c>
      <c r="D27" s="2">
        <v>1</v>
      </c>
      <c r="E27" s="2">
        <v>0.46153846153846156</v>
      </c>
      <c r="F27" s="2">
        <v>0.92307692307692313</v>
      </c>
      <c r="G27" s="2">
        <v>1</v>
      </c>
      <c r="H27" s="2">
        <v>0.23076923076923078</v>
      </c>
      <c r="I27" s="2">
        <v>0.53846153846153844</v>
      </c>
      <c r="J27" s="2">
        <v>0.53846153846153844</v>
      </c>
      <c r="K27" s="2">
        <v>0.92307692307692313</v>
      </c>
      <c r="L27" s="2">
        <v>0.69230769230769229</v>
      </c>
      <c r="M27" s="2">
        <v>1</v>
      </c>
      <c r="N27" s="2">
        <v>1</v>
      </c>
      <c r="O27" s="22">
        <f t="shared" si="15"/>
        <v>9.7692307692307701</v>
      </c>
      <c r="P27" s="2"/>
      <c r="Q27" s="27" t="s">
        <v>15</v>
      </c>
      <c r="R27" s="27" t="s">
        <v>20</v>
      </c>
      <c r="S27" s="3">
        <v>7</v>
      </c>
      <c r="T27" s="2">
        <f>LARGE($AA$3:$AA$16,7)</f>
        <v>442.93070030851021</v>
      </c>
      <c r="U27" s="3" t="s">
        <v>20</v>
      </c>
      <c r="V27">
        <f t="shared" si="16"/>
        <v>-0.13283224998611898</v>
      </c>
      <c r="W27">
        <f t="shared" si="17"/>
        <v>0.44716302427578702</v>
      </c>
    </row>
    <row r="28" spans="1:29" x14ac:dyDescent="0.3">
      <c r="A28" s="3" t="s">
        <v>60</v>
      </c>
      <c r="B28" s="2">
        <v>0.69230769230769229</v>
      </c>
      <c r="C28" s="2">
        <v>0.23076923076923078</v>
      </c>
      <c r="D28" s="2">
        <v>0.61538461538461542</v>
      </c>
      <c r="E28" s="2">
        <v>0.38461538461538464</v>
      </c>
      <c r="F28" s="2">
        <v>0</v>
      </c>
      <c r="G28" s="2">
        <v>0.76923076923076927</v>
      </c>
      <c r="H28" s="2">
        <v>0.69230769230769229</v>
      </c>
      <c r="I28" s="2">
        <v>0.15384615384615385</v>
      </c>
      <c r="J28" s="2">
        <v>0</v>
      </c>
      <c r="K28" s="2">
        <v>0.15384615384615385</v>
      </c>
      <c r="L28" s="2">
        <v>7.6923076923076927E-2</v>
      </c>
      <c r="M28" s="2">
        <v>0.38461538461538464</v>
      </c>
      <c r="N28" s="2">
        <v>0</v>
      </c>
      <c r="O28" s="18">
        <f t="shared" si="15"/>
        <v>4.1538461538461542</v>
      </c>
      <c r="P28" s="2"/>
      <c r="Q28" s="27" t="s">
        <v>24</v>
      </c>
      <c r="R28" s="27" t="s">
        <v>24</v>
      </c>
      <c r="S28" s="3">
        <v>8</v>
      </c>
      <c r="T28" s="2">
        <f>LARGE($AA$3:$AA$16,8)</f>
        <v>431.37782305603281</v>
      </c>
      <c r="U28" s="3" t="s">
        <v>26</v>
      </c>
      <c r="V28">
        <f t="shared" si="16"/>
        <v>-0.18815809875274142</v>
      </c>
      <c r="W28">
        <f t="shared" si="17"/>
        <v>0.42537635905667504</v>
      </c>
    </row>
    <row r="29" spans="1:29" x14ac:dyDescent="0.3">
      <c r="A29" s="3" t="s">
        <v>61</v>
      </c>
      <c r="B29" s="2">
        <v>0.30769230769230771</v>
      </c>
      <c r="C29" s="2">
        <v>0.46153846153846156</v>
      </c>
      <c r="D29" s="2">
        <v>0.15384615384615385</v>
      </c>
      <c r="E29" s="2">
        <v>0.92307692307692313</v>
      </c>
      <c r="F29" s="2">
        <v>7.6923076923076927E-2</v>
      </c>
      <c r="G29" s="2">
        <v>0</v>
      </c>
      <c r="H29" s="2">
        <v>0.61538461538461542</v>
      </c>
      <c r="I29" s="2">
        <v>7.6923076923076927E-2</v>
      </c>
      <c r="J29" s="2">
        <v>0.92307692307692313</v>
      </c>
      <c r="K29" s="2">
        <v>7.6923076923076927E-2</v>
      </c>
      <c r="L29" s="2">
        <v>0.15384615384615385</v>
      </c>
      <c r="M29" s="2">
        <v>0.46153846153846156</v>
      </c>
      <c r="N29" s="2">
        <v>0.30769230769230771</v>
      </c>
      <c r="O29" s="18">
        <f t="shared" si="15"/>
        <v>4.5384615384615383</v>
      </c>
      <c r="P29" s="2"/>
      <c r="Q29" s="27" t="s">
        <v>27</v>
      </c>
      <c r="R29" s="27" t="s">
        <v>23</v>
      </c>
      <c r="S29" s="3">
        <v>9</v>
      </c>
      <c r="T29" s="2">
        <f>LARGE($AA$3:$AA$16,9)</f>
        <v>428.40173050332328</v>
      </c>
      <c r="U29" s="3" t="s">
        <v>25</v>
      </c>
      <c r="V29">
        <f t="shared" si="16"/>
        <v>-0.40847274961090291</v>
      </c>
      <c r="W29">
        <f t="shared" si="17"/>
        <v>0.34146331640850569</v>
      </c>
      <c r="AB29" t="s">
        <v>82</v>
      </c>
    </row>
    <row r="30" spans="1:29" x14ac:dyDescent="0.3">
      <c r="A30" s="3" t="s">
        <v>62</v>
      </c>
      <c r="B30" s="2">
        <v>0.61538461538461542</v>
      </c>
      <c r="C30" s="2">
        <v>1</v>
      </c>
      <c r="D30" s="2">
        <v>0.53846153846153844</v>
      </c>
      <c r="E30" s="2">
        <v>7.6923076923076927E-2</v>
      </c>
      <c r="F30" s="2">
        <v>1</v>
      </c>
      <c r="G30" s="2">
        <v>0.84615384615384615</v>
      </c>
      <c r="H30" s="2">
        <v>0</v>
      </c>
      <c r="I30" s="2">
        <v>0</v>
      </c>
      <c r="J30" s="2">
        <v>7.6923076923076927E-2</v>
      </c>
      <c r="K30" s="2">
        <v>0.23076923076923078</v>
      </c>
      <c r="L30" s="2">
        <v>0.53846153846153844</v>
      </c>
      <c r="M30" s="2">
        <v>0.69230769230769229</v>
      </c>
      <c r="N30" s="2">
        <v>0.69230769230769229</v>
      </c>
      <c r="O30" s="18">
        <f t="shared" si="15"/>
        <v>6.3076923076923075</v>
      </c>
      <c r="P30" s="2"/>
      <c r="Q30" s="27" t="s">
        <v>23</v>
      </c>
      <c r="R30" s="27" t="s">
        <v>72</v>
      </c>
      <c r="S30" s="3">
        <v>10</v>
      </c>
      <c r="T30" s="2">
        <f>LARGE($AA$3:$AA$16,10)</f>
        <v>416.55054690128628</v>
      </c>
      <c r="U30" s="3" t="s">
        <v>15</v>
      </c>
      <c r="V30">
        <f t="shared" si="16"/>
        <v>-0.61183325894525797</v>
      </c>
      <c r="W30">
        <f t="shared" si="17"/>
        <v>0.27032404123455051</v>
      </c>
      <c r="X30" s="5"/>
    </row>
    <row r="31" spans="1:29" ht="15" thickBot="1" x14ac:dyDescent="0.35">
      <c r="A31" s="3" t="s">
        <v>63</v>
      </c>
      <c r="B31" s="2">
        <v>0.53846153846153844</v>
      </c>
      <c r="C31" s="2">
        <v>0.92307692307692313</v>
      </c>
      <c r="D31" s="2">
        <v>0</v>
      </c>
      <c r="E31" s="2">
        <v>0.69230769230769229</v>
      </c>
      <c r="F31" s="2">
        <v>0.61538461538461542</v>
      </c>
      <c r="G31" s="2">
        <v>0.46153846153846156</v>
      </c>
      <c r="H31" s="2">
        <v>1</v>
      </c>
      <c r="I31" s="2">
        <v>0.23076923076923078</v>
      </c>
      <c r="J31" s="2">
        <v>0.84615384615384615</v>
      </c>
      <c r="K31" s="2">
        <v>0.76923076923076927</v>
      </c>
      <c r="L31" s="2">
        <v>0</v>
      </c>
      <c r="M31" s="2">
        <v>0.61538461538461542</v>
      </c>
      <c r="N31" s="2">
        <v>0.23076923076923078</v>
      </c>
      <c r="O31" s="23">
        <f t="shared" si="15"/>
        <v>6.9230769230769242</v>
      </c>
      <c r="P31" s="2"/>
      <c r="Q31" s="28" t="s">
        <v>21</v>
      </c>
      <c r="R31" s="28" t="s">
        <v>21</v>
      </c>
      <c r="S31" s="3">
        <v>11</v>
      </c>
      <c r="T31" s="2">
        <f>LARGE($AA$3:$AA$16,11)</f>
        <v>405.61136185781498</v>
      </c>
      <c r="U31" s="3" t="s">
        <v>24</v>
      </c>
      <c r="V31">
        <f t="shared" si="16"/>
        <v>-0.92814211764249521</v>
      </c>
      <c r="W31">
        <f t="shared" si="17"/>
        <v>0.17666692732508887</v>
      </c>
      <c r="X31" s="5"/>
    </row>
    <row r="32" spans="1:29" x14ac:dyDescent="0.3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3">
        <v>12</v>
      </c>
      <c r="T32" s="2">
        <f>LARGE($AA$3:$AA$16,12)</f>
        <v>388.59645002707566</v>
      </c>
      <c r="U32" s="3" t="s">
        <v>27</v>
      </c>
      <c r="V32">
        <f t="shared" si="16"/>
        <v>-0.99999069922081618</v>
      </c>
      <c r="W32">
        <f t="shared" si="17"/>
        <v>0.15865750445820051</v>
      </c>
      <c r="X32" s="5"/>
    </row>
    <row r="33" spans="1:2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3">
        <v>13</v>
      </c>
      <c r="T33" s="2">
        <f>LARGE($AA$3:$AA$16,13)</f>
        <v>384.73156528829901</v>
      </c>
      <c r="U33" s="3" t="s">
        <v>21</v>
      </c>
      <c r="V33">
        <f t="shared" si="16"/>
        <v>-1.9612164749752903</v>
      </c>
      <c r="W33">
        <f t="shared" si="17"/>
        <v>2.4926887904033426E-2</v>
      </c>
      <c r="X33" s="5"/>
    </row>
    <row r="34" spans="1:24" x14ac:dyDescent="0.3">
      <c r="A34" s="3"/>
      <c r="B34" s="45"/>
      <c r="C34" s="3"/>
      <c r="D34" s="3"/>
      <c r="E34" s="3"/>
      <c r="F34" s="3"/>
      <c r="G34" s="3"/>
      <c r="H34" s="2"/>
      <c r="I34" s="2"/>
      <c r="J34" s="2"/>
      <c r="K34" s="2"/>
      <c r="L34" s="2"/>
      <c r="M34" s="2"/>
      <c r="N34" s="2"/>
      <c r="S34" s="3">
        <v>14</v>
      </c>
      <c r="T34" s="2">
        <f>LARGE($AA$3:$AA$16,14)</f>
        <v>333.02523024837166</v>
      </c>
      <c r="U34" s="3" t="s">
        <v>23</v>
      </c>
    </row>
    <row r="35" spans="1:24" x14ac:dyDescent="0.3">
      <c r="A35" s="3"/>
      <c r="B35" s="45"/>
      <c r="C35" s="3"/>
      <c r="D35" s="3"/>
      <c r="E35" s="3"/>
      <c r="F35" s="3"/>
      <c r="G35" s="3"/>
      <c r="H35" s="2"/>
      <c r="I35" s="2"/>
      <c r="J35" s="2"/>
      <c r="K35" s="2"/>
      <c r="L35" s="2"/>
      <c r="M35" s="2"/>
      <c r="N35" s="2"/>
      <c r="T35" s="5"/>
    </row>
    <row r="36" spans="1:24" x14ac:dyDescent="0.3">
      <c r="A36" s="3"/>
      <c r="B36" s="45"/>
      <c r="C36" s="3"/>
      <c r="D36" s="3"/>
      <c r="E36" s="3"/>
      <c r="F36" s="3"/>
      <c r="G36" s="3"/>
      <c r="H36" s="2"/>
      <c r="I36" s="2"/>
      <c r="J36" s="2"/>
      <c r="K36" s="2"/>
      <c r="L36" s="2"/>
      <c r="M36" s="2"/>
      <c r="N36" s="2"/>
      <c r="T36" s="5"/>
    </row>
    <row r="37" spans="1:24" x14ac:dyDescent="0.3">
      <c r="A37" s="3"/>
      <c r="B37" s="45"/>
      <c r="C37" s="3"/>
      <c r="D37" s="3"/>
      <c r="E37" s="3"/>
      <c r="F37" s="3"/>
      <c r="G37" s="3"/>
      <c r="H37" s="2"/>
      <c r="I37" s="2"/>
      <c r="J37" s="2"/>
      <c r="K37" s="2"/>
      <c r="L37" s="2"/>
      <c r="M37" s="2"/>
      <c r="N37" s="2"/>
      <c r="T37" s="5"/>
    </row>
    <row r="38" spans="1:24" x14ac:dyDescent="0.3">
      <c r="A38" s="3"/>
      <c r="B38" s="45"/>
      <c r="C38" s="3"/>
      <c r="D38" s="3"/>
      <c r="E38" s="3"/>
      <c r="F38" s="3"/>
      <c r="G38" s="3"/>
      <c r="H38" s="2"/>
      <c r="I38" s="2"/>
      <c r="J38" s="2"/>
      <c r="K38" s="2"/>
      <c r="L38" s="2"/>
      <c r="M38" s="2"/>
      <c r="N38" s="2"/>
      <c r="T38" s="5"/>
    </row>
    <row r="39" spans="1:24" x14ac:dyDescent="0.3">
      <c r="A39" s="3"/>
      <c r="B39" s="45"/>
      <c r="C39" s="3"/>
      <c r="D39" s="3"/>
      <c r="E39" s="3"/>
      <c r="F39" s="3"/>
      <c r="G39" s="3"/>
      <c r="H39" s="2"/>
      <c r="I39" s="2"/>
      <c r="J39" s="2"/>
      <c r="K39" s="2"/>
      <c r="L39" s="2"/>
      <c r="M39" s="2"/>
      <c r="N39" s="2"/>
      <c r="T39" s="5"/>
    </row>
    <row r="40" spans="1:24" x14ac:dyDescent="0.3">
      <c r="A40" s="3"/>
      <c r="B40" s="45"/>
      <c r="C40" s="3"/>
      <c r="D40" s="3"/>
      <c r="E40" s="3"/>
      <c r="F40" s="3"/>
      <c r="G40" s="3"/>
      <c r="H40" s="2"/>
      <c r="I40" s="2"/>
      <c r="J40" s="2"/>
      <c r="K40" s="2"/>
      <c r="L40" s="2"/>
      <c r="M40" s="2"/>
      <c r="N40" s="2"/>
      <c r="T40" s="5"/>
    </row>
    <row r="41" spans="1:24" x14ac:dyDescent="0.3">
      <c r="A41" s="3"/>
      <c r="B41" s="45"/>
      <c r="C41" s="3"/>
      <c r="D41" s="3"/>
      <c r="E41" s="3"/>
      <c r="F41" s="3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T41" s="5"/>
    </row>
    <row r="42" spans="1:24" ht="51.6" x14ac:dyDescent="0.95">
      <c r="A42" s="50" t="s">
        <v>83</v>
      </c>
      <c r="B42" s="45"/>
      <c r="C42" s="3"/>
      <c r="D42" s="3"/>
      <c r="E42" s="3"/>
      <c r="F42" s="3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T42" s="5"/>
    </row>
    <row r="43" spans="1:24" x14ac:dyDescent="0.3">
      <c r="A43" s="3"/>
      <c r="B43" s="45"/>
      <c r="C43" s="3"/>
      <c r="D43" s="3"/>
      <c r="E43" s="3"/>
      <c r="F43" s="3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T43" s="5"/>
    </row>
    <row r="44" spans="1:24" x14ac:dyDescent="0.3">
      <c r="A44" s="3"/>
      <c r="B44" s="45"/>
      <c r="C44" s="3"/>
      <c r="D44" s="3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24" x14ac:dyDescent="0.3">
      <c r="A45" s="3"/>
      <c r="B45" s="45"/>
      <c r="C45" s="3"/>
      <c r="D45" s="3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24" x14ac:dyDescent="0.3">
      <c r="A46" s="3"/>
      <c r="B46" s="45"/>
      <c r="C46" s="3"/>
      <c r="D46" s="3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24" x14ac:dyDescent="0.3">
      <c r="A47" s="39"/>
      <c r="B47" s="45"/>
      <c r="C47" s="39"/>
      <c r="D47" s="39"/>
      <c r="E47" s="39"/>
      <c r="F47" s="39"/>
      <c r="G47" s="39"/>
      <c r="L47" s="2"/>
      <c r="M47" s="2"/>
      <c r="N47" s="2"/>
      <c r="O47" s="2"/>
      <c r="P47" s="2"/>
      <c r="Q47" s="2"/>
    </row>
    <row r="48" spans="1:24" x14ac:dyDescent="0.3">
      <c r="A48" s="2" t="s">
        <v>74</v>
      </c>
      <c r="B48" s="2" t="s">
        <v>0</v>
      </c>
      <c r="C48" s="2" t="s">
        <v>75</v>
      </c>
      <c r="D48" t="s">
        <v>79</v>
      </c>
      <c r="F48" s="38" t="s">
        <v>76</v>
      </c>
      <c r="G48" s="38" t="s">
        <v>77</v>
      </c>
      <c r="H48" s="37" t="s">
        <v>78</v>
      </c>
      <c r="L48" s="2"/>
      <c r="M48" s="2"/>
      <c r="N48" s="2"/>
      <c r="O48" s="2"/>
      <c r="P48" s="2"/>
      <c r="Q48" s="2"/>
    </row>
    <row r="49" spans="1:17" x14ac:dyDescent="0.3">
      <c r="A49" s="40">
        <v>1</v>
      </c>
      <c r="B49" s="40" t="s">
        <v>22</v>
      </c>
      <c r="C49" s="51">
        <f>LARGE($AA$3:$AA$16,1)</f>
        <v>537.63596549032502</v>
      </c>
      <c r="D49" s="49">
        <f t="shared" ref="D49:D62" si="18">(_xlfn.NORM.S.DIST(V20,TRUE))*100</f>
        <v>96.730021219337232</v>
      </c>
      <c r="E49" s="25"/>
      <c r="F49" s="41" t="s">
        <v>22</v>
      </c>
      <c r="G49" s="41" t="s">
        <v>70</v>
      </c>
      <c r="H49" s="42">
        <v>2</v>
      </c>
      <c r="L49" s="2"/>
      <c r="M49" s="2"/>
      <c r="N49" s="2"/>
      <c r="O49" s="2"/>
      <c r="P49" s="2"/>
      <c r="Q49" s="2"/>
    </row>
    <row r="50" spans="1:17" x14ac:dyDescent="0.3">
      <c r="A50" s="40">
        <v>2</v>
      </c>
      <c r="B50" s="40" t="s">
        <v>17</v>
      </c>
      <c r="C50" s="52">
        <f>LARGE($AA$3:$AA$16,2)</f>
        <v>522.29380513465424</v>
      </c>
      <c r="D50" s="49">
        <f t="shared" si="18"/>
        <v>94.030091538285802</v>
      </c>
      <c r="E50" s="25"/>
      <c r="F50" s="43" t="s">
        <v>17</v>
      </c>
      <c r="G50" s="43" t="s">
        <v>71</v>
      </c>
      <c r="H50" s="44">
        <v>2</v>
      </c>
      <c r="L50" s="2"/>
      <c r="M50" s="2"/>
      <c r="N50" s="2"/>
      <c r="O50" s="2"/>
      <c r="P50" s="2"/>
      <c r="Q50" s="2"/>
    </row>
    <row r="51" spans="1:17" x14ac:dyDescent="0.3">
      <c r="A51" s="40">
        <v>3</v>
      </c>
      <c r="B51" s="40" t="s">
        <v>14</v>
      </c>
      <c r="C51" s="51">
        <f>LARGE($AA$3:$AA$16,3)</f>
        <v>475.77747992348617</v>
      </c>
      <c r="D51" s="49">
        <f t="shared" si="18"/>
        <v>75.570766444972307</v>
      </c>
      <c r="E51" s="25"/>
      <c r="F51" s="41" t="s">
        <v>18</v>
      </c>
      <c r="G51" s="41" t="s">
        <v>18</v>
      </c>
      <c r="H51" s="42">
        <v>0</v>
      </c>
      <c r="L51" s="2"/>
      <c r="M51" s="2"/>
      <c r="N51" s="2"/>
      <c r="O51" s="2"/>
      <c r="P51" s="2"/>
      <c r="Q51" s="2"/>
    </row>
    <row r="52" spans="1:17" x14ac:dyDescent="0.3">
      <c r="A52" s="32">
        <v>4</v>
      </c>
      <c r="B52" s="32" t="s">
        <v>18</v>
      </c>
      <c r="C52" s="52">
        <f>LARGE($AA$3:$AA$16,4)</f>
        <v>461.95260072601275</v>
      </c>
      <c r="D52" s="49">
        <f t="shared" si="18"/>
        <v>66.842048732402731</v>
      </c>
      <c r="E52" s="25"/>
      <c r="F52" s="43" t="s">
        <v>66</v>
      </c>
      <c r="G52" s="43" t="s">
        <v>66</v>
      </c>
      <c r="H52" s="44">
        <v>0</v>
      </c>
      <c r="L52" s="2"/>
      <c r="M52" s="2"/>
      <c r="N52" s="2"/>
      <c r="O52" s="2"/>
      <c r="P52" s="2"/>
      <c r="Q52" s="2"/>
    </row>
    <row r="53" spans="1:17" x14ac:dyDescent="0.3">
      <c r="A53" s="32">
        <v>5</v>
      </c>
      <c r="B53" s="32" t="s">
        <v>20</v>
      </c>
      <c r="C53" s="51">
        <f>LARGE($AA$3:$AA$16,5)</f>
        <v>458.85878954810437</v>
      </c>
      <c r="D53" s="49">
        <f t="shared" si="18"/>
        <v>64.730014658548839</v>
      </c>
      <c r="E53" s="25"/>
      <c r="F53" s="41" t="s">
        <v>67</v>
      </c>
      <c r="G53" s="41" t="s">
        <v>67</v>
      </c>
      <c r="H53" s="42">
        <v>-1</v>
      </c>
      <c r="L53" s="2"/>
      <c r="M53" s="2"/>
      <c r="N53" s="2"/>
      <c r="O53" s="2"/>
      <c r="P53" s="2"/>
      <c r="Q53" s="2"/>
    </row>
    <row r="54" spans="1:17" x14ac:dyDescent="0.3">
      <c r="A54" s="32">
        <v>6</v>
      </c>
      <c r="B54" s="32" t="s">
        <v>16</v>
      </c>
      <c r="C54" s="52">
        <f>LARGE($AA$3:$AA$16,6)</f>
        <v>451.57999836657575</v>
      </c>
      <c r="D54" s="49">
        <f t="shared" si="18"/>
        <v>59.589199877873654</v>
      </c>
      <c r="E54" s="25"/>
      <c r="F54" s="43" t="s">
        <v>26</v>
      </c>
      <c r="G54" s="43" t="s">
        <v>69</v>
      </c>
      <c r="H54" s="44">
        <v>0</v>
      </c>
      <c r="L54" s="2"/>
      <c r="M54" s="2"/>
      <c r="N54" s="2"/>
      <c r="O54" s="2"/>
      <c r="P54" s="2"/>
      <c r="Q54" s="2"/>
    </row>
    <row r="55" spans="1:17" x14ac:dyDescent="0.3">
      <c r="A55" s="32">
        <v>7</v>
      </c>
      <c r="B55" s="32" t="s">
        <v>19</v>
      </c>
      <c r="C55" s="51">
        <f>LARGE($AA$3:$AA$16,7)</f>
        <v>442.93070030851021</v>
      </c>
      <c r="D55" s="49">
        <f t="shared" si="18"/>
        <v>53.265153732013268</v>
      </c>
      <c r="E55" s="25"/>
      <c r="F55" s="41" t="s">
        <v>20</v>
      </c>
      <c r="G55" s="41" t="s">
        <v>14</v>
      </c>
      <c r="H55" s="42">
        <v>0</v>
      </c>
      <c r="L55" s="2"/>
      <c r="M55" s="2"/>
      <c r="N55" s="2"/>
      <c r="O55" s="2"/>
      <c r="P55" s="2"/>
      <c r="Q55" s="2"/>
    </row>
    <row r="56" spans="1:17" x14ac:dyDescent="0.3">
      <c r="A56" s="32">
        <v>8</v>
      </c>
      <c r="B56" s="32" t="s">
        <v>25</v>
      </c>
      <c r="C56" s="52">
        <f>LARGE($AA$3:$AA$16,8)</f>
        <v>431.37782305603281</v>
      </c>
      <c r="D56" s="49">
        <f t="shared" si="18"/>
        <v>44.716302427578704</v>
      </c>
      <c r="E56" s="25"/>
      <c r="F56" s="43" t="s">
        <v>25</v>
      </c>
      <c r="G56" s="43" t="s">
        <v>15</v>
      </c>
      <c r="H56" s="44">
        <v>-3</v>
      </c>
      <c r="L56" s="2"/>
      <c r="M56" s="2"/>
      <c r="N56" s="2"/>
      <c r="O56" s="2"/>
      <c r="P56" s="2"/>
      <c r="Q56" s="2"/>
    </row>
    <row r="57" spans="1:17" x14ac:dyDescent="0.3">
      <c r="A57" s="32">
        <v>9</v>
      </c>
      <c r="B57" s="32" t="s">
        <v>15</v>
      </c>
      <c r="C57" s="51">
        <f>LARGE($AA$3:$AA$16,9)</f>
        <v>428.40173050332328</v>
      </c>
      <c r="D57" s="49">
        <f t="shared" si="18"/>
        <v>42.5376359056675</v>
      </c>
      <c r="E57" s="25"/>
      <c r="F57" s="41" t="s">
        <v>14</v>
      </c>
      <c r="G57" s="41" t="s">
        <v>26</v>
      </c>
      <c r="H57" s="42">
        <v>0</v>
      </c>
      <c r="L57" s="2"/>
      <c r="M57" s="2"/>
      <c r="N57" s="2"/>
      <c r="O57" s="2"/>
      <c r="P57" s="2"/>
      <c r="Q57" s="2"/>
    </row>
    <row r="58" spans="1:17" x14ac:dyDescent="0.3">
      <c r="A58" s="32">
        <v>10</v>
      </c>
      <c r="B58" s="32" t="s">
        <v>26</v>
      </c>
      <c r="C58" s="52">
        <f>LARGE($AA$3:$AA$16,10)</f>
        <v>416.55054690128628</v>
      </c>
      <c r="D58" s="49">
        <f t="shared" si="18"/>
        <v>34.146331640850569</v>
      </c>
      <c r="E58" s="25"/>
      <c r="F58" s="43" t="s">
        <v>15</v>
      </c>
      <c r="G58" s="43" t="s">
        <v>20</v>
      </c>
      <c r="H58" s="44">
        <v>0</v>
      </c>
      <c r="L58" s="2"/>
      <c r="M58" s="2"/>
      <c r="N58" s="2"/>
      <c r="O58" s="2"/>
      <c r="P58" s="2"/>
      <c r="Q58" s="2"/>
    </row>
    <row r="59" spans="1:17" x14ac:dyDescent="0.3">
      <c r="A59" s="32">
        <v>11</v>
      </c>
      <c r="B59" s="32" t="s">
        <v>24</v>
      </c>
      <c r="C59" s="51">
        <f>LARGE($AA$3:$AA$16,11)</f>
        <v>405.61136185781498</v>
      </c>
      <c r="D59" s="49">
        <f t="shared" si="18"/>
        <v>27.032404123455052</v>
      </c>
      <c r="E59" s="25"/>
      <c r="F59" s="41" t="s">
        <v>24</v>
      </c>
      <c r="G59" s="41" t="s">
        <v>24</v>
      </c>
      <c r="H59" s="42">
        <v>1</v>
      </c>
      <c r="L59" s="2"/>
      <c r="M59" s="2"/>
      <c r="N59" s="2"/>
      <c r="O59" s="2"/>
      <c r="P59" s="2"/>
      <c r="Q59" s="2"/>
    </row>
    <row r="60" spans="1:17" x14ac:dyDescent="0.3">
      <c r="A60" s="32">
        <v>12</v>
      </c>
      <c r="B60" s="32" t="s">
        <v>27</v>
      </c>
      <c r="C60" s="52">
        <f>LARGE($AA$3:$AA$16,12)</f>
        <v>388.59645002707566</v>
      </c>
      <c r="D60" s="49">
        <f t="shared" si="18"/>
        <v>17.666692732508888</v>
      </c>
      <c r="E60" s="25"/>
      <c r="F60" s="43" t="s">
        <v>27</v>
      </c>
      <c r="G60" s="43" t="s">
        <v>23</v>
      </c>
      <c r="H60" s="44">
        <v>0</v>
      </c>
      <c r="L60" s="2"/>
      <c r="M60" s="2"/>
      <c r="N60" s="2"/>
      <c r="O60" s="2"/>
      <c r="P60" s="2"/>
      <c r="Q60" s="2"/>
    </row>
    <row r="61" spans="1:17" x14ac:dyDescent="0.3">
      <c r="A61" s="32">
        <v>13</v>
      </c>
      <c r="B61" s="32" t="s">
        <v>21</v>
      </c>
      <c r="C61" s="51">
        <f>LARGE($AA$3:$AA$16,13)</f>
        <v>384.73156528829901</v>
      </c>
      <c r="D61" s="49">
        <f t="shared" si="18"/>
        <v>15.865750445820051</v>
      </c>
      <c r="E61" s="25"/>
      <c r="F61" s="41" t="s">
        <v>23</v>
      </c>
      <c r="G61" s="41" t="s">
        <v>72</v>
      </c>
      <c r="H61" s="42">
        <v>2</v>
      </c>
      <c r="L61" s="2"/>
      <c r="M61" s="2"/>
      <c r="N61" s="2"/>
      <c r="O61" s="2"/>
      <c r="P61" s="2"/>
      <c r="Q61" s="2"/>
    </row>
    <row r="62" spans="1:17" x14ac:dyDescent="0.3">
      <c r="A62" s="32">
        <v>14</v>
      </c>
      <c r="B62" s="32" t="s">
        <v>23</v>
      </c>
      <c r="C62" s="52">
        <f>LARGE($AA$3:$AA$16,14)</f>
        <v>333.02523024837166</v>
      </c>
      <c r="D62" s="49">
        <f t="shared" si="18"/>
        <v>2.4926887904033426</v>
      </c>
      <c r="E62" s="25"/>
      <c r="F62" s="43" t="s">
        <v>21</v>
      </c>
      <c r="G62" s="43" t="s">
        <v>21</v>
      </c>
      <c r="H62" s="44">
        <v>-3</v>
      </c>
      <c r="L62" s="2"/>
      <c r="M62" s="2"/>
      <c r="N62" s="2"/>
      <c r="O62" s="2"/>
      <c r="P62" s="2"/>
      <c r="Q62" s="2"/>
    </row>
    <row r="63" spans="1:17" x14ac:dyDescent="0.3">
      <c r="H63" s="2"/>
      <c r="I63" s="2"/>
      <c r="L63" s="2"/>
      <c r="M63" s="2"/>
      <c r="N63" s="2"/>
      <c r="O63" s="2"/>
      <c r="P63" s="2"/>
      <c r="Q63" s="2"/>
    </row>
    <row r="64" spans="1:17" x14ac:dyDescent="0.3">
      <c r="A64" s="46"/>
      <c r="B64" s="47"/>
      <c r="H64" s="2"/>
      <c r="I64" s="2"/>
    </row>
    <row r="65" spans="1:9" ht="25.8" x14ac:dyDescent="0.5">
      <c r="A65" s="53" t="s">
        <v>80</v>
      </c>
      <c r="B65" s="48"/>
      <c r="H65" s="2"/>
      <c r="I65" s="2"/>
    </row>
    <row r="66" spans="1:9" x14ac:dyDescent="0.3">
      <c r="A66" t="s">
        <v>84</v>
      </c>
      <c r="B66" s="48"/>
    </row>
    <row r="67" spans="1:9" x14ac:dyDescent="0.3">
      <c r="A67" s="3"/>
      <c r="B67" s="48"/>
    </row>
    <row r="68" spans="1:9" x14ac:dyDescent="0.3">
      <c r="A68" s="3"/>
      <c r="B68" s="48"/>
    </row>
    <row r="69" spans="1:9" x14ac:dyDescent="0.3">
      <c r="A69" s="3"/>
      <c r="B69" s="48"/>
    </row>
    <row r="70" spans="1:9" x14ac:dyDescent="0.3">
      <c r="A70" s="3"/>
      <c r="B70" s="48"/>
    </row>
    <row r="71" spans="1:9" x14ac:dyDescent="0.3">
      <c r="A71" s="3"/>
      <c r="B71" s="48"/>
    </row>
    <row r="72" spans="1:9" x14ac:dyDescent="0.3">
      <c r="A72" s="3"/>
      <c r="B72" s="48"/>
    </row>
    <row r="73" spans="1:9" x14ac:dyDescent="0.3">
      <c r="A73" s="3"/>
      <c r="B73" s="48"/>
    </row>
    <row r="74" spans="1:9" x14ac:dyDescent="0.3">
      <c r="A74" s="3"/>
      <c r="B74" s="48"/>
    </row>
    <row r="75" spans="1:9" x14ac:dyDescent="0.3">
      <c r="A75" s="3"/>
      <c r="B75" s="48"/>
    </row>
    <row r="76" spans="1:9" x14ac:dyDescent="0.3">
      <c r="A76" s="3"/>
      <c r="B76" s="48"/>
    </row>
    <row r="77" spans="1:9" x14ac:dyDescent="0.3">
      <c r="A77" s="3"/>
      <c r="B77" s="48"/>
    </row>
    <row r="78" spans="1:9" x14ac:dyDescent="0.3">
      <c r="A78" s="3"/>
      <c r="B78" s="43"/>
    </row>
  </sheetData>
  <sortState ref="O34:O47">
    <sortCondition descending="1" ref="O34"/>
  </sortState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estryshak</dc:creator>
  <cp:lastModifiedBy>Rik</cp:lastModifiedBy>
  <dcterms:created xsi:type="dcterms:W3CDTF">2016-10-05T03:30:06Z</dcterms:created>
  <dcterms:modified xsi:type="dcterms:W3CDTF">2017-03-16T03:42:10Z</dcterms:modified>
</cp:coreProperties>
</file>