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f9d20c1ac386c3/Desktop/"/>
    </mc:Choice>
  </mc:AlternateContent>
  <xr:revisionPtr revIDLastSave="0" documentId="8_{EB0CDA6B-0082-43FC-9A63-E508D454C95A}" xr6:coauthVersionLast="47" xr6:coauthVersionMax="47" xr10:uidLastSave="{00000000-0000-0000-0000-000000000000}"/>
  <bookViews>
    <workbookView xWindow="-110" yWindow="-110" windowWidth="38620" windowHeight="21100" tabRatio="771" firstSheet="5" activeTab="6" xr2:uid="{00000000-000D-0000-FFFF-FFFF00000000}"/>
  </bookViews>
  <sheets>
    <sheet name="Read me" sheetId="1" r:id="rId1"/>
    <sheet name="Ref" sheetId="2" r:id="rId2"/>
    <sheet name="elements" sheetId="3" r:id="rId3"/>
    <sheet name="gases DComp" sheetId="19" r:id="rId4"/>
    <sheet name="aqueous DComp" sheetId="4" r:id="rId5"/>
    <sheet name="solids ReacDC" sheetId="6" r:id="rId6"/>
    <sheet name="aqueous ReacDC" sheetId="5" r:id="rId7"/>
    <sheet name="solids DComp" sheetId="8" r:id="rId8"/>
    <sheet name="cem-hydrates DComp" sheetId="12" r:id="rId9"/>
    <sheet name="cem-hydrates ReacDC" sheetId="11" r:id="rId10"/>
    <sheet name="cem-clinkers- DComp" sheetId="15" r:id="rId11"/>
    <sheet name="zeolites DComp" sheetId="13" r:id="rId12"/>
    <sheet name="zeolites ReacDC" sheetId="14" r:id="rId13"/>
    <sheet name="solid solutions DComp" sheetId="16" r:id="rId14"/>
    <sheet name="solid solutions ReacDC" sheetId="17" r:id="rId15"/>
    <sheet name="phosphates DComp" sheetId="10" r:id="rId16"/>
    <sheet name="aqueous phosphates ReacDC" sheetId="20" r:id="rId17"/>
    <sheet name="phosphates ReacDC" sheetId="9" r:id="rId18"/>
    <sheet name="Compos" sheetId="18" r:id="rId19"/>
  </sheets>
  <externalReferences>
    <externalReference r:id="rId20"/>
  </externalReferences>
  <definedNames>
    <definedName name="logK" localSheetId="6">'aqueous ReacDC'!$F$1:$F$81</definedName>
    <definedName name="Pref">'Read me'!$E$9</definedName>
    <definedName name="R_constant">'Read me'!$E$7</definedName>
    <definedName name="Tref">'Read me'!$E$8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9" l="1"/>
  <c r="S7" i="19"/>
  <c r="S3" i="19"/>
  <c r="S4" i="19"/>
  <c r="S5" i="19"/>
  <c r="S2" i="19"/>
  <c r="P2" i="19"/>
  <c r="I13" i="9"/>
  <c r="E12" i="9" l="1"/>
  <c r="AA12" i="9" s="1"/>
  <c r="I12" i="9"/>
  <c r="I11" i="9"/>
  <c r="J10" i="9"/>
  <c r="I10" i="9"/>
  <c r="AA10" i="9"/>
  <c r="AA11" i="9"/>
  <c r="AB4" i="9"/>
  <c r="H4" i="9" s="1"/>
  <c r="AB3" i="9"/>
  <c r="H3" i="9" s="1"/>
  <c r="AB2" i="9"/>
  <c r="H2" i="9" s="1"/>
  <c r="AA3" i="9"/>
  <c r="AA4" i="9"/>
  <c r="AA5" i="9"/>
  <c r="AA6" i="9"/>
  <c r="AA7" i="9"/>
  <c r="AA8" i="9"/>
  <c r="AA9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2" i="9"/>
  <c r="R2" i="10" l="1"/>
  <c r="O2" i="10"/>
  <c r="O6" i="10"/>
  <c r="R6" i="10"/>
  <c r="R7" i="10"/>
  <c r="O7" i="10"/>
  <c r="R3" i="10"/>
  <c r="R4" i="10"/>
  <c r="O3" i="10"/>
  <c r="O4" i="10"/>
  <c r="G3" i="9"/>
  <c r="G4" i="9"/>
  <c r="G5" i="9"/>
  <c r="G6" i="9"/>
  <c r="G7" i="9"/>
  <c r="G8" i="9"/>
  <c r="G2" i="9"/>
  <c r="I6" i="6" l="1"/>
  <c r="I17" i="5" l="1"/>
  <c r="AB17" i="5"/>
  <c r="AF17" i="5" s="1"/>
  <c r="AD17" i="5"/>
  <c r="X17" i="5"/>
  <c r="U16" i="5"/>
  <c r="U17" i="5"/>
  <c r="S17" i="5"/>
  <c r="M17" i="5"/>
  <c r="H17" i="5"/>
  <c r="C32" i="9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2" i="14"/>
  <c r="I15" i="5" l="1"/>
  <c r="S8" i="19" l="1"/>
  <c r="M2" i="19"/>
  <c r="J2" i="19"/>
  <c r="S6" i="19"/>
  <c r="P6" i="19"/>
  <c r="M6" i="19"/>
  <c r="J6" i="19"/>
  <c r="J5" i="19"/>
  <c r="P9" i="19"/>
  <c r="P8" i="19"/>
  <c r="P7" i="19"/>
  <c r="P5" i="19"/>
  <c r="P4" i="19"/>
  <c r="P3" i="19"/>
  <c r="M9" i="19"/>
  <c r="M8" i="19"/>
  <c r="M7" i="19"/>
  <c r="M5" i="19"/>
  <c r="M4" i="19"/>
  <c r="M3" i="19"/>
  <c r="J9" i="19"/>
  <c r="J8" i="19"/>
  <c r="J7" i="19"/>
  <c r="J4" i="19"/>
  <c r="J3" i="19"/>
  <c r="AM3" i="19"/>
  <c r="AM4" i="19"/>
  <c r="AM5" i="19"/>
  <c r="AM6" i="19"/>
  <c r="AM7" i="19"/>
  <c r="AM8" i="19"/>
  <c r="AM9" i="19"/>
  <c r="AM2" i="19"/>
  <c r="AK3" i="8" l="1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" i="8"/>
  <c r="P25" i="4"/>
  <c r="S25" i="4"/>
  <c r="M25" i="4"/>
  <c r="M14" i="5"/>
  <c r="M10" i="5"/>
  <c r="S10" i="5"/>
  <c r="S14" i="5"/>
  <c r="H14" i="5"/>
  <c r="P10" i="8"/>
  <c r="I3" i="6"/>
  <c r="F3" i="6"/>
  <c r="D3" i="6"/>
  <c r="E3" i="6"/>
  <c r="B3" i="6"/>
  <c r="L10" i="5" l="1"/>
  <c r="AB8" i="5" l="1"/>
  <c r="X8" i="5"/>
  <c r="K16" i="5"/>
  <c r="F13" i="5"/>
  <c r="I16" i="5"/>
  <c r="N2" i="4"/>
  <c r="Q16" i="5" s="1"/>
  <c r="AB16" i="5" s="1"/>
  <c r="P2" i="4"/>
  <c r="J2" i="4"/>
  <c r="M2" i="4"/>
  <c r="K2" i="4"/>
  <c r="N16" i="5" s="1"/>
  <c r="S23" i="4"/>
  <c r="P23" i="4"/>
  <c r="AD16" i="5" l="1"/>
  <c r="X16" i="5"/>
  <c r="F16" i="5" s="1"/>
  <c r="M23" i="4" l="1"/>
  <c r="G23" i="4"/>
  <c r="J4" i="4"/>
  <c r="J5" i="4"/>
  <c r="J6" i="4"/>
  <c r="J7" i="4"/>
  <c r="J8" i="4"/>
  <c r="J3" i="4"/>
  <c r="J23" i="4"/>
  <c r="S24" i="4"/>
  <c r="P24" i="4"/>
  <c r="M24" i="4"/>
  <c r="J24" i="4"/>
  <c r="E24" i="4"/>
  <c r="H24" i="4"/>
  <c r="G24" i="4"/>
  <c r="G11" i="4" l="1"/>
  <c r="P22" i="4"/>
  <c r="P17" i="4"/>
  <c r="J22" i="4"/>
  <c r="J11" i="4"/>
  <c r="J18" i="8"/>
  <c r="J19" i="8"/>
  <c r="J17" i="8"/>
  <c r="N14" i="5"/>
  <c r="AF14" i="5" l="1"/>
  <c r="AF13" i="5"/>
  <c r="H5" i="5" l="1"/>
  <c r="S12" i="5"/>
  <c r="S11" i="5"/>
  <c r="S9" i="5"/>
  <c r="S5" i="5"/>
  <c r="M5" i="5"/>
  <c r="AD11" i="5" l="1"/>
  <c r="AB9" i="5"/>
  <c r="J6" i="8"/>
  <c r="J8" i="8"/>
  <c r="J7" i="8"/>
  <c r="J5" i="8"/>
  <c r="I4" i="6"/>
  <c r="R8" i="6"/>
  <c r="O8" i="6"/>
  <c r="L8" i="6"/>
  <c r="I8" i="6"/>
  <c r="R7" i="6"/>
  <c r="O7" i="6"/>
  <c r="L7" i="6"/>
  <c r="I7" i="6"/>
  <c r="M9" i="8"/>
  <c r="S9" i="8"/>
  <c r="P8" i="8"/>
  <c r="P7" i="8"/>
  <c r="Q8" i="8"/>
  <c r="S8" i="8"/>
  <c r="V8" i="8"/>
  <c r="S7" i="8"/>
  <c r="Q7" i="8"/>
  <c r="V7" i="8"/>
  <c r="V6" i="8"/>
  <c r="Q6" i="8"/>
  <c r="Q2" i="8"/>
  <c r="Q3" i="8"/>
  <c r="Q4" i="8"/>
  <c r="Q5" i="8"/>
  <c r="O5" i="8"/>
  <c r="N5" i="8"/>
  <c r="S5" i="8"/>
  <c r="P5" i="8"/>
  <c r="P6" i="8"/>
  <c r="V5" i="8"/>
  <c r="S6" i="8"/>
  <c r="Q10" i="8"/>
  <c r="H6" i="8"/>
  <c r="S14" i="8"/>
  <c r="Q16" i="8"/>
  <c r="S16" i="8"/>
  <c r="P16" i="8"/>
  <c r="M16" i="8"/>
  <c r="M15" i="8"/>
  <c r="M13" i="8"/>
  <c r="M12" i="8"/>
  <c r="M10" i="8"/>
  <c r="J16" i="8"/>
  <c r="J15" i="8"/>
  <c r="J13" i="8"/>
  <c r="J12" i="8"/>
  <c r="J10" i="8"/>
  <c r="V16" i="8"/>
  <c r="S15" i="8"/>
  <c r="P15" i="8"/>
  <c r="V15" i="8"/>
  <c r="P13" i="8"/>
  <c r="H13" i="8"/>
  <c r="K13" i="8"/>
  <c r="S13" i="8"/>
  <c r="Q13" i="8"/>
  <c r="V13" i="8"/>
  <c r="Q12" i="8"/>
  <c r="V12" i="8"/>
  <c r="P12" i="8"/>
  <c r="S12" i="8"/>
  <c r="V10" i="8"/>
  <c r="S10" i="8"/>
  <c r="J4" i="8"/>
  <c r="M4" i="8"/>
  <c r="P4" i="8"/>
  <c r="L4" i="8"/>
  <c r="K4" i="8"/>
  <c r="I4" i="8"/>
  <c r="H4" i="8"/>
  <c r="S2" i="8"/>
  <c r="V4" i="8"/>
  <c r="S4" i="8"/>
  <c r="V2" i="8" l="1"/>
  <c r="V3" i="8"/>
  <c r="S3" i="8"/>
  <c r="P3" i="8"/>
  <c r="P2" i="8"/>
  <c r="M3" i="8"/>
  <c r="M2" i="8"/>
  <c r="J3" i="8"/>
  <c r="J2" i="8"/>
  <c r="I5" i="6"/>
  <c r="F5" i="6" l="1"/>
  <c r="F4" i="6"/>
  <c r="D4" i="6"/>
  <c r="E4" i="6"/>
  <c r="C5" i="6"/>
  <c r="D5" i="6"/>
  <c r="E5" i="6"/>
  <c r="B5" i="6"/>
  <c r="C4" i="6"/>
  <c r="B4" i="6"/>
  <c r="Q14" i="8"/>
  <c r="Q11" i="8"/>
  <c r="V14" i="8"/>
  <c r="P14" i="8"/>
  <c r="V11" i="8"/>
  <c r="M19" i="8"/>
  <c r="M18" i="8"/>
  <c r="M17" i="8"/>
  <c r="P19" i="8"/>
  <c r="P18" i="8"/>
  <c r="P17" i="8"/>
  <c r="V19" i="8"/>
  <c r="V18" i="8"/>
  <c r="V17" i="8"/>
  <c r="S18" i="8"/>
  <c r="S19" i="8"/>
  <c r="S17" i="8"/>
  <c r="S11" i="8"/>
  <c r="P11" i="8"/>
  <c r="AD9" i="5" l="1"/>
  <c r="AD10" i="5"/>
  <c r="AB11" i="5"/>
  <c r="AB12" i="5"/>
  <c r="AD12" i="5"/>
  <c r="N11" i="5"/>
  <c r="X11" i="5" s="1"/>
  <c r="AF11" i="5" s="1"/>
  <c r="N12" i="5"/>
  <c r="X12" i="5" s="1"/>
  <c r="AF12" i="5" s="1"/>
  <c r="I9" i="5"/>
  <c r="N9" i="5" s="1"/>
  <c r="X9" i="5" s="1"/>
  <c r="AF9" i="5" s="1"/>
  <c r="I10" i="5"/>
  <c r="I11" i="5"/>
  <c r="I12" i="5"/>
  <c r="I14" i="5"/>
  <c r="H9" i="5"/>
  <c r="H10" i="5"/>
  <c r="H11" i="5"/>
  <c r="H12" i="5"/>
  <c r="M9" i="5"/>
  <c r="M11" i="5"/>
  <c r="M12" i="5"/>
  <c r="U8" i="5"/>
  <c r="U9" i="5"/>
  <c r="U11" i="5"/>
  <c r="U12" i="5"/>
  <c r="X7" i="5"/>
  <c r="AF7" i="5" s="1"/>
  <c r="AB7" i="5"/>
  <c r="AD7" i="5"/>
  <c r="AF8" i="5"/>
  <c r="AD8" i="5"/>
  <c r="AD6" i="5"/>
  <c r="AB6" i="5"/>
  <c r="X6" i="5"/>
  <c r="AF6" i="5" s="1"/>
  <c r="I2" i="5"/>
  <c r="O3" i="5"/>
  <c r="O4" i="5"/>
  <c r="O5" i="5"/>
  <c r="O2" i="5"/>
  <c r="N4" i="5"/>
  <c r="N5" i="5"/>
  <c r="N3" i="5"/>
  <c r="N2" i="5"/>
  <c r="L3" i="5"/>
  <c r="L4" i="5"/>
  <c r="L5" i="5"/>
  <c r="L2" i="5"/>
  <c r="G3" i="5"/>
  <c r="G4" i="5"/>
  <c r="G5" i="5"/>
  <c r="G2" i="5"/>
  <c r="F3" i="5"/>
  <c r="I3" i="5" s="1"/>
  <c r="F4" i="5"/>
  <c r="I4" i="5" s="1"/>
  <c r="F5" i="5"/>
  <c r="I5" i="5" s="1"/>
  <c r="I6" i="5"/>
  <c r="N6" i="5" s="1"/>
  <c r="I7" i="5"/>
  <c r="N7" i="5" s="1"/>
  <c r="I8" i="5"/>
  <c r="N8" i="5" s="1"/>
  <c r="F2" i="5"/>
  <c r="S8" i="5" l="1"/>
  <c r="S7" i="5"/>
  <c r="S6" i="5"/>
  <c r="M8" i="5"/>
  <c r="M7" i="5"/>
  <c r="M6" i="5"/>
  <c r="H7" i="5"/>
  <c r="H8" i="5"/>
  <c r="H6" i="5"/>
  <c r="U7" i="5"/>
  <c r="U6" i="5"/>
  <c r="B2" i="14" l="1"/>
  <c r="C2" i="14"/>
  <c r="D2" i="14"/>
  <c r="E2" i="14"/>
  <c r="B3" i="14"/>
  <c r="C3" i="14"/>
  <c r="D3" i="14"/>
  <c r="E3" i="14"/>
  <c r="B4" i="14"/>
  <c r="C4" i="14"/>
  <c r="D4" i="14"/>
  <c r="E4" i="14"/>
  <c r="B5" i="14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25" i="14"/>
  <c r="C25" i="14"/>
  <c r="D25" i="14"/>
  <c r="E25" i="14"/>
  <c r="B26" i="14"/>
  <c r="C26" i="14"/>
  <c r="D26" i="14"/>
  <c r="E26" i="14"/>
  <c r="B27" i="14"/>
  <c r="C27" i="14"/>
  <c r="D27" i="14"/>
  <c r="E27" i="14"/>
  <c r="B28" i="14"/>
  <c r="C28" i="14"/>
  <c r="D28" i="14"/>
  <c r="E28" i="14"/>
  <c r="B29" i="14"/>
  <c r="C29" i="14"/>
  <c r="D29" i="14"/>
  <c r="E29" i="14"/>
  <c r="B30" i="14"/>
  <c r="C30" i="14"/>
  <c r="D30" i="14"/>
  <c r="E30" i="14"/>
  <c r="B31" i="14"/>
  <c r="C31" i="14"/>
  <c r="D31" i="14"/>
  <c r="E31" i="14"/>
  <c r="B32" i="14"/>
  <c r="C32" i="14"/>
  <c r="D32" i="14"/>
  <c r="E32" i="14"/>
  <c r="B33" i="14"/>
  <c r="C33" i="14"/>
  <c r="D33" i="14"/>
  <c r="E33" i="14"/>
  <c r="B34" i="14"/>
  <c r="C34" i="14"/>
  <c r="D34" i="14"/>
  <c r="E34" i="14"/>
  <c r="B35" i="14"/>
  <c r="C35" i="14"/>
  <c r="D35" i="14"/>
  <c r="E35" i="14"/>
  <c r="B36" i="14"/>
  <c r="C36" i="14"/>
  <c r="D36" i="14"/>
  <c r="E36" i="14"/>
  <c r="B37" i="14"/>
  <c r="C37" i="14"/>
  <c r="D37" i="14"/>
  <c r="E37" i="14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26" i="17"/>
  <c r="P31" i="16"/>
  <c r="S31" i="16"/>
  <c r="V31" i="16"/>
  <c r="P32" i="16"/>
  <c r="S32" i="16"/>
  <c r="V32" i="16"/>
  <c r="P33" i="16"/>
  <c r="S33" i="16"/>
  <c r="V33" i="16"/>
  <c r="P34" i="16"/>
  <c r="S34" i="16"/>
  <c r="V34" i="16"/>
  <c r="V43" i="16"/>
  <c r="V42" i="16"/>
  <c r="V41" i="16"/>
  <c r="V40" i="16"/>
  <c r="V39" i="16"/>
  <c r="V38" i="16"/>
  <c r="V37" i="16"/>
  <c r="V36" i="16"/>
  <c r="V35" i="16"/>
  <c r="V30" i="16"/>
  <c r="V29" i="16"/>
  <c r="V28" i="16"/>
  <c r="V27" i="16"/>
  <c r="V26" i="16"/>
  <c r="V25" i="16"/>
  <c r="S43" i="16"/>
  <c r="S42" i="16"/>
  <c r="S41" i="16"/>
  <c r="S40" i="16"/>
  <c r="S39" i="16"/>
  <c r="S38" i="16"/>
  <c r="S37" i="16"/>
  <c r="S36" i="16"/>
  <c r="S35" i="16"/>
  <c r="S30" i="16"/>
  <c r="S29" i="16"/>
  <c r="S28" i="16"/>
  <c r="S27" i="16"/>
  <c r="S26" i="16"/>
  <c r="S25" i="16"/>
  <c r="P35" i="16"/>
  <c r="P36" i="16"/>
  <c r="P37" i="16"/>
  <c r="P38" i="16"/>
  <c r="P39" i="16"/>
  <c r="P40" i="16"/>
  <c r="P41" i="16"/>
  <c r="P42" i="16"/>
  <c r="P43" i="16"/>
  <c r="P26" i="16"/>
  <c r="P27" i="16"/>
  <c r="P28" i="16"/>
  <c r="P29" i="16"/>
  <c r="P30" i="16"/>
  <c r="P25" i="16"/>
  <c r="J25" i="17" s="1"/>
  <c r="V17" i="16"/>
  <c r="V16" i="16"/>
  <c r="S17" i="16"/>
  <c r="S16" i="16"/>
  <c r="P17" i="16"/>
  <c r="J17" i="17" s="1"/>
  <c r="P16" i="16"/>
  <c r="J16" i="17" s="1"/>
  <c r="J18" i="17"/>
  <c r="J19" i="17"/>
  <c r="J20" i="17"/>
  <c r="J21" i="17"/>
  <c r="J22" i="17"/>
  <c r="J23" i="17"/>
  <c r="J24" i="17"/>
  <c r="S15" i="16"/>
  <c r="S14" i="16"/>
  <c r="S13" i="16"/>
  <c r="S12" i="16"/>
  <c r="S11" i="16"/>
  <c r="S10" i="16"/>
  <c r="S9" i="16"/>
  <c r="S8" i="16"/>
  <c r="P15" i="16"/>
  <c r="J15" i="17" s="1"/>
  <c r="P14" i="16"/>
  <c r="J14" i="17" s="1"/>
  <c r="P13" i="16"/>
  <c r="J13" i="17" s="1"/>
  <c r="P12" i="16"/>
  <c r="J12" i="17" s="1"/>
  <c r="P11" i="16"/>
  <c r="J11" i="17" s="1"/>
  <c r="P10" i="16"/>
  <c r="J10" i="17" s="1"/>
  <c r="P9" i="16"/>
  <c r="J9" i="17" s="1"/>
  <c r="P8" i="16"/>
  <c r="J8" i="17" s="1"/>
  <c r="V14" i="16"/>
  <c r="V13" i="16"/>
  <c r="V10" i="16"/>
  <c r="V11" i="16"/>
  <c r="V9" i="16"/>
  <c r="V15" i="16"/>
  <c r="V12" i="16"/>
  <c r="V8" i="16"/>
  <c r="V7" i="16"/>
  <c r="V6" i="16"/>
  <c r="S7" i="16"/>
  <c r="S6" i="16"/>
  <c r="P7" i="16"/>
  <c r="J7" i="17" s="1"/>
  <c r="P6" i="16"/>
  <c r="J6" i="17" s="1"/>
  <c r="V5" i="16"/>
  <c r="V4" i="16"/>
  <c r="V3" i="16"/>
  <c r="V2" i="16"/>
  <c r="S5" i="16"/>
  <c r="S4" i="16"/>
  <c r="S3" i="16"/>
  <c r="S2" i="16"/>
  <c r="P3" i="16"/>
  <c r="J3" i="17" s="1"/>
  <c r="P4" i="16"/>
  <c r="J4" i="17" s="1"/>
  <c r="P5" i="16"/>
  <c r="J5" i="17" s="1"/>
  <c r="P2" i="16"/>
  <c r="J2" i="17" s="1"/>
  <c r="Q25" i="4"/>
  <c r="K25" i="4"/>
  <c r="Q2" i="5"/>
  <c r="Q3" i="5"/>
  <c r="Q4" i="5"/>
  <c r="K2" i="5"/>
  <c r="K3" i="5"/>
  <c r="K4" i="5"/>
  <c r="Q19" i="8"/>
  <c r="N25" i="4" s="1"/>
  <c r="X2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G8" i="6"/>
  <c r="M8" i="6"/>
  <c r="T8" i="6"/>
  <c r="H8" i="6"/>
  <c r="P8" i="6"/>
  <c r="J8" i="6"/>
  <c r="U14" i="5"/>
  <c r="K14" i="5"/>
  <c r="U13" i="5"/>
  <c r="Q13" i="5"/>
  <c r="O13" i="5"/>
  <c r="L13" i="5"/>
  <c r="K13" i="5"/>
  <c r="G13" i="5"/>
  <c r="I13" i="5"/>
  <c r="N13" i="5" s="1"/>
  <c r="AB10" i="5" l="1"/>
  <c r="N10" i="5"/>
  <c r="X10" i="5" s="1"/>
  <c r="K5" i="5"/>
  <c r="Q5" i="5"/>
  <c r="AF10" i="5" l="1"/>
  <c r="H7" i="6"/>
  <c r="Q18" i="8" l="1"/>
  <c r="Q17" i="8"/>
  <c r="P9" i="15" l="1"/>
  <c r="P8" i="15"/>
  <c r="P7" i="15"/>
  <c r="P6" i="15"/>
  <c r="P5" i="15"/>
  <c r="P4" i="15"/>
  <c r="P3" i="15"/>
  <c r="P2" i="15"/>
  <c r="D33" i="9" l="1"/>
  <c r="C33" i="9"/>
  <c r="B33" i="9"/>
  <c r="D32" i="9"/>
  <c r="B32" i="9"/>
  <c r="A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A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B11" i="9"/>
  <c r="D10" i="9"/>
  <c r="C10" i="9"/>
  <c r="B10" i="9"/>
  <c r="A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A2" i="9"/>
  <c r="D11" i="10"/>
  <c r="C11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tc={EC8863C8-3B44-456E-A35F-E4E8C27073FF}</author>
  </authors>
  <commentList>
    <comment ref="H6" authorId="0" shapeId="0" xr:uid="{EC8863C8-3B44-456E-A35F-E4E8C27073FF}">
      <text>
        <t>[Threaded comment]
Your version of Excel allows you to read this threaded comment; however, any edits to it will get removed if the file is opened in a newer version of Excel. Learn more: https://go.microsoft.com/fwlink/?linkid=870924
Comment:
    TDB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tc={0F1D94C3-AC1D-4EC6-B09F-21F1C42A860E}</author>
    <author>tc={EA3ECE87-6FCA-4EE9-AE0D-6E6213513727}</author>
    <author>tc={8F9CA61F-0A65-4591-ACF4-AAB0476B272C}</author>
    <author>tc={F5F9831B-DA96-4AE5-85F2-DE8AC72115E0}</author>
  </authors>
  <commentList>
    <comment ref="K10" authorId="0" shapeId="0" xr:uid="{0F1D94C3-AC1D-4EC6-B09F-21F1C42A860E}">
      <text>
        <t>[Threaded comment]
Your version of Excel allows you to read this threaded comment; however, any edits to it will get removed if the file is opened in a newer version of Excel. Learn more: https://go.microsoft.com/fwlink/?linkid=870924
Comment:
    =K11-AVERAGE(K4-K3,K8-K7) possible 121.7</t>
      </text>
    </comment>
    <comment ref="L10" authorId="1" shapeId="0" xr:uid="{EA3ECE87-6FCA-4EE9-AE0D-6E6213513727}">
      <text>
        <t>[Threaded comment]
Your version of Excel allows you to read this threaded comment; however, any edits to it will get removed if the file is opened in a newer version of Excel. Learn more: https://go.microsoft.com/fwlink/?linkid=870924
Comment:
    =SQRT(L8^2+L7^2+L4^2+L3^2)</t>
      </text>
    </comment>
    <comment ref="H14" authorId="2" shapeId="0" xr:uid="{8F9CA61F-0A65-4591-ACF4-AAB0476B272C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temperature.xlsx</t>
      </text>
    </comment>
    <comment ref="Q16" authorId="3" shapeId="0" xr:uid="{F5F9831B-DA96-4AE5-85F2-DE8AC72115E0}">
      <text>
        <t>[Threaded comment]
Your version of Excel allows you to read this threaded comment; however, any edits to it will get removed if the file is opened in a newer version of Excel. Learn more: https://go.microsoft.com/fwlink/?linkid=870924
Comment:
    PSINa1990 used Cp from Wagman1982 to calculate the Cp of reaction 277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tc={A7005480-6FC1-45DE-9580-F33E2C677652}</author>
    <author>tc={92AECEB7-025D-4E24-8612-1A3BA22C6942}</author>
    <author>tc={B63D8267-DB56-4636-B94C-3E3BA60ED657}</author>
    <author>tc={338B581C-04D1-41AB-B12B-C62E7A55D299}</author>
    <author>tc={768252B9-9BDD-441E-8FAB-6183793BE45F}</author>
  </authors>
  <commentList>
    <comment ref="F1" authorId="0" shapeId="0" xr:uid="{A7005480-6FC1-45DE-9580-F33E2C677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https://www.unige.ch/sciences/terre/research/Groups/mineral_resources/opaques/ore_abbreviations.php
</t>
      </text>
    </comment>
    <comment ref="H13" authorId="1" shapeId="0" xr:uid="{92AECEB7-025D-4E24-8612-1A3BA22C6942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fixed, consistent with S and H</t>
      </text>
    </comment>
    <comment ref="H17" authorId="2" shapeId="0" xr:uid="{B63D8267-DB56-4636-B94C-3E3BA60ED657}">
      <text>
        <t>[Threaded comment]
Your version of Excel allows you to read this threaded comment; however, any edits to it will get removed if the file is opened in a newer version of Excel. Learn more: https://go.microsoft.com/fwlink/?linkid=870924
Comment:
    -6278.5</t>
      </text>
    </comment>
    <comment ref="H18" authorId="3" shapeId="0" xr:uid="{338B581C-04D1-41AB-B12B-C62E7A55D299}">
      <text>
        <t>[Threaded comment]
Your version of Excel allows you to read this threaded comment; however, any edits to it will get removed if the file is opened in a newer version of Excel. Learn more: https://go.microsoft.com/fwlink/?linkid=870924
Comment:
    -5427.000</t>
      </text>
    </comment>
    <comment ref="H19" authorId="4" shapeId="0" xr:uid="{768252B9-9BDD-441E-8FAB-6183793BE45F}">
      <text>
        <t>[Threaded comment]
Your version of Excel allows you to read this threaded comment; however, any edits to it will get removed if the file is opened in a newer version of Excel. Learn more: https://go.microsoft.com/fwlink/?linkid=870924
Comment:
    -1549.000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tc={A827B257-9D21-4F64-AD88-EDA134A43D20}</author>
  </authors>
  <commentList>
    <comment ref="F1" authorId="0" shapeId="0" xr:uid="{A827B257-9D21-4F64-AD88-EDA134A43D2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tc={4A87016A-6FF3-4E0F-85AC-739C99F37CCF}</author>
  </authors>
  <commentList>
    <comment ref="F1" authorId="0" shapeId="0" xr:uid="{4A87016A-6FF3-4E0F-85AC-739C99F37CC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tc={9466175E-FB52-4D1E-B7A1-C550F98BD6AC}</author>
  </authors>
  <commentList>
    <comment ref="F1" authorId="0" shapeId="0" xr:uid="{9466175E-FB52-4D1E-B7A1-C550F98BD6A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tc={EB70672F-F921-45E1-98A9-45807F887F31}</author>
  </authors>
  <commentList>
    <comment ref="E1" authorId="0" shapeId="0" xr:uid="{EB70672F-F921-45E1-98A9-45807F887F3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tc={665E0257-1938-4EC3-9086-9A86B56EB1DF}</author>
  </authors>
  <commentList>
    <comment ref="F1" authorId="0" shapeId="0" xr:uid="{665E0257-1938-4EC3-9086-9A86B56EB1D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tc={C5676E22-7CA6-480D-9E54-6409F6EAED82}</author>
  </authors>
  <commentList>
    <comment ref="F1" authorId="0" shapeId="0" xr:uid="{C5676E22-7CA6-480D-9E54-6409F6EAED8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https://en.wikipedia.org/wiki/Cement_chemist_notation</t>
      </text>
    </comment>
  </commentList>
</comments>
</file>

<file path=xl/sharedStrings.xml><?xml version="1.0" encoding="utf-8"?>
<sst xmlns="http://schemas.openxmlformats.org/spreadsheetml/2006/main" count="2684" uniqueCount="1155">
  <si>
    <t>Data collected for the T-P udate of the PSINagra TDB 2020 TM 44-04-23</t>
  </si>
  <si>
    <t>solids -NEA</t>
  </si>
  <si>
    <t>Cpf(T)</t>
  </si>
  <si>
    <t>a + b*T + c*T^2 + e*T^-2</t>
  </si>
  <si>
    <t>Data collected for the cemdata26 update in each specific sheet</t>
  </si>
  <si>
    <r>
      <rPr>
        <b/>
        <sz val="12"/>
        <color rgb="FF000000"/>
        <rFont val="Calibri"/>
        <family val="2"/>
      </rPr>
      <t>a0</t>
    </r>
    <r>
      <rPr>
        <sz val="12"/>
        <color rgb="FF000000"/>
        <rFont val="Calibri"/>
        <family val="2"/>
        <charset val="1"/>
      </rPr>
      <t xml:space="preserve"> + </t>
    </r>
    <r>
      <rPr>
        <b/>
        <sz val="12"/>
        <color rgb="FF000000"/>
        <rFont val="Calibri"/>
        <family val="2"/>
      </rPr>
      <t>a1</t>
    </r>
    <r>
      <rPr>
        <sz val="12"/>
        <color rgb="FF000000"/>
        <rFont val="Calibri"/>
        <family val="2"/>
        <charset val="1"/>
      </rPr>
      <t xml:space="preserve">*T  + </t>
    </r>
    <r>
      <rPr>
        <b/>
        <sz val="12"/>
        <color rgb="FF000000"/>
        <rFont val="Calibri"/>
        <family val="2"/>
      </rPr>
      <t>a4</t>
    </r>
    <r>
      <rPr>
        <sz val="12"/>
        <color rgb="FF000000"/>
        <rFont val="Calibri"/>
        <family val="2"/>
        <charset val="1"/>
      </rPr>
      <t xml:space="preserve">*T^2 + </t>
    </r>
    <r>
      <rPr>
        <b/>
        <sz val="12"/>
        <color rgb="FF000000"/>
        <rFont val="Calibri"/>
        <family val="2"/>
      </rPr>
      <t>a2</t>
    </r>
    <r>
      <rPr>
        <sz val="12"/>
        <color rgb="FF000000"/>
        <rFont val="Calibri"/>
        <family val="2"/>
        <charset val="1"/>
      </rPr>
      <t>*T^-2</t>
    </r>
  </si>
  <si>
    <t>solids -GEMS</t>
  </si>
  <si>
    <r>
      <rPr>
        <b/>
        <sz val="12"/>
        <color rgb="FF000000"/>
        <rFont val="Calibri"/>
        <family val="2"/>
      </rPr>
      <t>a0</t>
    </r>
    <r>
      <rPr>
        <sz val="12"/>
        <color rgb="FF000000"/>
        <rFont val="Calibri"/>
        <family val="2"/>
        <charset val="1"/>
      </rPr>
      <t xml:space="preserve"> + </t>
    </r>
    <r>
      <rPr>
        <b/>
        <sz val="12"/>
        <color rgb="FF000000"/>
        <rFont val="Calibri"/>
        <family val="2"/>
      </rPr>
      <t>a1</t>
    </r>
    <r>
      <rPr>
        <sz val="12"/>
        <color rgb="FF000000"/>
        <rFont val="Calibri"/>
        <family val="2"/>
        <charset val="1"/>
      </rPr>
      <t xml:space="preserve">*T + </t>
    </r>
    <r>
      <rPr>
        <b/>
        <sz val="12"/>
        <color rgb="FF000000"/>
        <rFont val="Calibri"/>
        <family val="2"/>
      </rPr>
      <t>a2</t>
    </r>
    <r>
      <rPr>
        <sz val="12"/>
        <color rgb="FF000000"/>
        <rFont val="Calibri"/>
        <family val="2"/>
        <charset val="1"/>
      </rPr>
      <t xml:space="preserve">*T^-2 + a3*T^-0.5 + </t>
    </r>
    <r>
      <rPr>
        <b/>
        <sz val="12"/>
        <color rgb="FF000000"/>
        <rFont val="Calibri"/>
        <family val="2"/>
      </rPr>
      <t>a4</t>
    </r>
    <r>
      <rPr>
        <sz val="12"/>
        <color rgb="FF000000"/>
        <rFont val="Calibri"/>
        <family val="2"/>
        <charset val="1"/>
      </rPr>
      <t>*T^2 + a5*T^3 + + a6*T^4 + a7*T^-3 + a8*T^-1 + a9*T^0.5</t>
    </r>
  </si>
  <si>
    <t>gases -GEMS</t>
  </si>
  <si>
    <r>
      <rPr>
        <b/>
        <sz val="12"/>
        <color rgb="FF000000"/>
        <rFont val="Calibri"/>
        <family val="2"/>
      </rPr>
      <t>a0</t>
    </r>
    <r>
      <rPr>
        <sz val="12"/>
        <color rgb="FF000000"/>
        <rFont val="Calibri"/>
        <family val="2"/>
        <charset val="1"/>
      </rPr>
      <t xml:space="preserve"> + </t>
    </r>
    <r>
      <rPr>
        <b/>
        <sz val="12"/>
        <color rgb="FF000000"/>
        <rFont val="Calibri"/>
        <family val="2"/>
      </rPr>
      <t>a1</t>
    </r>
    <r>
      <rPr>
        <sz val="12"/>
        <color rgb="FF000000"/>
        <rFont val="Calibri"/>
        <family val="2"/>
        <charset val="1"/>
      </rPr>
      <t xml:space="preserve">*T + </t>
    </r>
    <r>
      <rPr>
        <b/>
        <sz val="12"/>
        <color rgb="FF000000"/>
        <rFont val="Calibri"/>
        <family val="2"/>
      </rPr>
      <t>a2</t>
    </r>
    <r>
      <rPr>
        <sz val="12"/>
        <color rgb="FF000000"/>
        <rFont val="Calibri"/>
        <family val="2"/>
        <charset val="1"/>
      </rPr>
      <t xml:space="preserve">*T^-2 + a3*T^-0.5 + </t>
    </r>
    <r>
      <rPr>
        <b/>
        <sz val="12"/>
        <color rgb="FF000000"/>
        <rFont val="Calibri"/>
        <family val="2"/>
      </rPr>
      <t>a4</t>
    </r>
    <r>
      <rPr>
        <sz val="12"/>
        <color rgb="FF000000"/>
        <rFont val="Calibri"/>
        <family val="2"/>
        <charset val="1"/>
      </rPr>
      <t xml:space="preserve">*T^2 + </t>
    </r>
    <r>
      <rPr>
        <b/>
        <sz val="12"/>
        <color rgb="FF000000"/>
        <rFont val="Calibri"/>
        <family val="2"/>
      </rPr>
      <t>a5</t>
    </r>
    <r>
      <rPr>
        <sz val="12"/>
        <color rgb="FF000000"/>
        <rFont val="Calibri"/>
        <family val="2"/>
        <charset val="1"/>
      </rPr>
      <t xml:space="preserve">*T^3 + + </t>
    </r>
    <r>
      <rPr>
        <b/>
        <sz val="12"/>
        <color rgb="FF000000"/>
        <rFont val="Calibri"/>
        <family val="2"/>
      </rPr>
      <t>a6</t>
    </r>
    <r>
      <rPr>
        <sz val="12"/>
        <color rgb="FF000000"/>
        <rFont val="Calibri"/>
        <family val="2"/>
        <charset val="1"/>
      </rPr>
      <t xml:space="preserve">*T^4 + a7*T^-3 + </t>
    </r>
    <r>
      <rPr>
        <b/>
        <sz val="12"/>
        <color rgb="FF000000"/>
        <rFont val="Calibri"/>
        <family val="2"/>
      </rPr>
      <t>a8</t>
    </r>
    <r>
      <rPr>
        <sz val="12"/>
        <color rgb="FF000000"/>
        <rFont val="Calibri"/>
        <family val="2"/>
        <charset val="1"/>
      </rPr>
      <t>*T^-1 + a9*T^0.5</t>
    </r>
  </si>
  <si>
    <t>R</t>
  </si>
  <si>
    <t>Tref</t>
  </si>
  <si>
    <t>K</t>
  </si>
  <si>
    <t>Pref</t>
  </si>
  <si>
    <t>bar</t>
  </si>
  <si>
    <t>Ref_abb</t>
  </si>
  <si>
    <t>Ref_full</t>
  </si>
  <si>
    <t>1989COX/WAG</t>
  </si>
  <si>
    <t>Cox, J.D., Wagman, D.D., Medvedev, V.A. (1989): CODATA Key Values for Thermodynamics. New York, Hemisphere Publishing, 271 pp.</t>
  </si>
  <si>
    <t>2016BRO/EKB</t>
  </si>
  <si>
    <t>Brown, P.L. &amp; Ekberg, C. (2016): Hydrolysis of Metal Ions. Wiley-VCH Verlag GmbH &amp; Co. KGaA, Weinheim, Germany, 917 pp.</t>
  </si>
  <si>
    <t>2023HUM/THO</t>
  </si>
  <si>
    <t>Hummel, W. and Thoenen, T. (2023): The PSI Chemical Thermodynamic Database 2020. Nagra Thechnical Report 21-03, 1253 pp.</t>
  </si>
  <si>
    <t>2013LEM/BER</t>
  </si>
  <si>
    <t>Lemire, R.J., Berner, U., Musikas, C., Palmer, D.A., Taylor, P. &amp; Tochiyama, O. (2013): Chemical Thermodynamics of Iron, Part 1. Chemical Thermodynamics, Vol. 13a. OECD Publications, Paris, France, 1082 pp.</t>
  </si>
  <si>
    <t>2020LEM/TAY</t>
  </si>
  <si>
    <t>Lemire, R.J., Taylor, P., Schlenz, H. &amp; Palmer, D.A. (2020): Chemical Thermodynamics of Iron, Part 2. Chemical Thermodynamics, Vol. 13b. OECD Publications, Paris, France, 882 pp.</t>
  </si>
  <si>
    <t>2024RAN/PAL</t>
  </si>
  <si>
    <t>Rand, M.H., Palmer, D.A., Fuger, J. &amp; Gajda, T. (2024): Selected ancillary compounds of interest to radioactive waste management. Chemical Thermodynamics Vol. 15. OECD Publications, Paris, France, 1047 pp.</t>
  </si>
  <si>
    <t>2024MIR</t>
  </si>
  <si>
    <t>1988TAN/HEL</t>
  </si>
  <si>
    <t>Tanger, J.C. &amp; Helgeson, H.C. (1988): Calculation of the thermodynamic and transport properties of aqueous species at high pressures and temperatures; revised equations of state for the standard partial molal properties of ions and electrolytes. American Journal of Science 288, 19–98</t>
  </si>
  <si>
    <t>1988SHO/HEL</t>
  </si>
  <si>
    <t>Shock, E.L. &amp; Helgeson, H.C. (1988): Calculation of the thermodynamic and transport properties of aqueous species at high pressures and temperatures: Correlation algorithms for ionic species and equation of state predictions to 5 kb and 1000°C. Geochimica et Cosmochimica Acta 52, 2009–2036.</t>
  </si>
  <si>
    <t>1997SHO/SAS</t>
  </si>
  <si>
    <t>Shock, E.L., Sassani, D.C., Willis, M. &amp; Sverjensky, D.A. (1997): Inorganic species in geologic fluids: Correlations among standard molal thermodynamic properties of aqueous ions and hydroxide complexes. Geochimica et Cosmochimica Acta 61, 907–950</t>
  </si>
  <si>
    <t>1995ROB/HEM</t>
  </si>
  <si>
    <t>Robie, R. &amp; Hemingway, B.S. (1995): Thermodynamic Properties of Minerals and Related Substances at 298.15K and 1 Bar, U.S. Geological Survey Bulletin.</t>
  </si>
  <si>
    <t>2019SHE/SIP</t>
  </si>
  <si>
    <t>Shen, L., Sippola, H., Li, X., Lindberg, D. &amp; Taskinen, P. (2019): Thermodynamic Modeling of Calcium Sulfate Hydrates in the CaSO4-H2O System from 273.15 to 473.15 K with Extension to 548.15 K. Journal of Chemical and Engineering Data 64, 2697–2709.</t>
  </si>
  <si>
    <t>2015BLA/VIE</t>
  </si>
  <si>
    <t>Blanc, P., Vieillard, P., Gailhanou, H., Gaboreau, S., Marty, N., Claret, F., Madé, B. &amp; Giffaut, E. (2015): ThermoChimie database developments in the framework of cement/clay interactions. Applied Geochemistry 55, 95–107.</t>
  </si>
  <si>
    <t>2020aMA/LOT</t>
  </si>
  <si>
    <t xml:space="preserve">Ma, B. &amp; Lothenbach, B. (2020a): Synthesis, characterization, and thermodynamic study of selected Na-based zeolites. Cement and Concrete Research 135, 106111. </t>
  </si>
  <si>
    <t>2020bMA/LOT</t>
  </si>
  <si>
    <t xml:space="preserve">Ma, B. &amp; Lothenbach, B. (2020b): Thermodynamic study of cement/rock interactions using experimentally generated solubility data of zeolites. Cement and Concrete Research 135, 106149. </t>
  </si>
  <si>
    <t>2021MA/LOT</t>
  </si>
  <si>
    <t>Ma, B. &amp; Lothenbach, B. (2021): Synthesis, characterization, and thermodynamic study of selected K-based zeolites. Cement and Concrete Research 148, 106537.</t>
  </si>
  <si>
    <t>2011KUL</t>
  </si>
  <si>
    <t>Kulik, D.A. (2011): Improving the structural consistency of C-S-H solid solution thermodynamic models. Cement and Concrete Research 41, 477-495.</t>
  </si>
  <si>
    <t>2012LOT/SAO</t>
  </si>
  <si>
    <t>2014MYE/BER</t>
  </si>
  <si>
    <t>2016NIE/ENE</t>
  </si>
  <si>
    <t>2022KUL/MIR</t>
  </si>
  <si>
    <t>Kulik, D.A., Miron, G.D. &amp; Lothenbach, B. (2022): A structurally-consistent CASH+ sublattice solid solution model for fully hydrated C-S-H phases: Thermodynamic basis, methods, and Ca-Si-H2O core sub-model. Cement and Concrete Research 151, 106585.</t>
  </si>
  <si>
    <t>2022aMIR/KUL</t>
  </si>
  <si>
    <t xml:space="preserve">Miron, G.D., Kulik, D.A., Yan, Y., Tits, J. &amp; Lothenbach, B. (2022b): Extensions of CASH+ thermodynamic solid solution model for the uptake of alkali metals and alkaline earth metals in C-S-H. Cement and Concrete Research 152, 106667. </t>
  </si>
  <si>
    <t>2022bMIR/KUL</t>
  </si>
  <si>
    <t xml:space="preserve">Miron, G.D., Kulik, D.A. &amp; Lothenbach, B. (2022a): Porewater compositions of Portland cement with and without silica fume calculated using the fine-tuned CASH+NK solid solution model. Materials and Structures 2022 55:8 55, 1–13. </t>
  </si>
  <si>
    <t>Symbol</t>
  </si>
  <si>
    <t>Name</t>
  </si>
  <si>
    <t>Composition</t>
  </si>
  <si>
    <t>Valence</t>
  </si>
  <si>
    <t>Atomic_mass [g/mol]</t>
  </si>
  <si>
    <t>Number</t>
  </si>
  <si>
    <t>DfGm [kJ/mol]</t>
  </si>
  <si>
    <t>sigma DfGm [kJ/mol]</t>
  </si>
  <si>
    <t>DfHm [kJ/mol]</t>
  </si>
  <si>
    <t>sigma DfHm [kJ/mol]</t>
  </si>
  <si>
    <t>Sm [J/(K mol)]</t>
  </si>
  <si>
    <t>sigma Sm [J/(K mol)]</t>
  </si>
  <si>
    <t>Sm_Ref</t>
  </si>
  <si>
    <t>Cpm [J/(K mol)]</t>
  </si>
  <si>
    <t>sigma Cpm [J/(K mol)]</t>
  </si>
  <si>
    <t>Cp_Ref</t>
  </si>
  <si>
    <t>label</t>
  </si>
  <si>
    <t>Al</t>
  </si>
  <si>
    <t>Aluminim</t>
  </si>
  <si>
    <t>28.3</t>
  </si>
  <si>
    <t>0.10</t>
  </si>
  <si>
    <t>0.07</t>
  </si>
  <si>
    <t>core</t>
  </si>
  <si>
    <t>C</t>
  </si>
  <si>
    <t>Carbon</t>
  </si>
  <si>
    <t>5.74</t>
  </si>
  <si>
    <t>0.08</t>
  </si>
  <si>
    <t>Ca</t>
  </si>
  <si>
    <t>Calcium</t>
  </si>
  <si>
    <t>41.59</t>
  </si>
  <si>
    <t>0.4</t>
  </si>
  <si>
    <t>0.3</t>
  </si>
  <si>
    <t>Cl</t>
  </si>
  <si>
    <t>Chlorine</t>
  </si>
  <si>
    <t>111.540</t>
  </si>
  <si>
    <t>0.010</t>
  </si>
  <si>
    <t>0.002</t>
  </si>
  <si>
    <t>F</t>
  </si>
  <si>
    <t>Fluorine</t>
  </si>
  <si>
    <t>101.395</t>
  </si>
  <si>
    <t>0.005</t>
  </si>
  <si>
    <t>Fe</t>
  </si>
  <si>
    <t>Iron</t>
  </si>
  <si>
    <t>27.085</t>
  </si>
  <si>
    <t>0.16</t>
  </si>
  <si>
    <t>0.5</t>
  </si>
  <si>
    <t>H</t>
  </si>
  <si>
    <t>Hydrogen</t>
  </si>
  <si>
    <t>65.340</t>
  </si>
  <si>
    <t>0.003</t>
  </si>
  <si>
    <t>Potasium</t>
  </si>
  <si>
    <t>64.68</t>
  </si>
  <si>
    <t>0.20</t>
  </si>
  <si>
    <t>Mg</t>
  </si>
  <si>
    <t>Magnesium</t>
  </si>
  <si>
    <t>32.67</t>
  </si>
  <si>
    <t>0.02</t>
  </si>
  <si>
    <t>N</t>
  </si>
  <si>
    <t>Nitrogen</t>
  </si>
  <si>
    <t>95.805</t>
  </si>
  <si>
    <t>0.004</t>
  </si>
  <si>
    <t>14.562</t>
  </si>
  <si>
    <t>0.001</t>
  </si>
  <si>
    <t>Na</t>
  </si>
  <si>
    <t>Sodium</t>
  </si>
  <si>
    <t>51.3</t>
  </si>
  <si>
    <t>O</t>
  </si>
  <si>
    <t>Oxygen</t>
  </si>
  <si>
    <t>102.576</t>
  </si>
  <si>
    <t>14.689</t>
  </si>
  <si>
    <t>P</t>
  </si>
  <si>
    <t>Phosphorus</t>
  </si>
  <si>
    <t>41.09</t>
  </si>
  <si>
    <t>0.25</t>
  </si>
  <si>
    <t>23.824</t>
  </si>
  <si>
    <t>S</t>
  </si>
  <si>
    <t>Sulfur</t>
  </si>
  <si>
    <t>32.054</t>
  </si>
  <si>
    <t>0.05</t>
  </si>
  <si>
    <t>Si</t>
  </si>
  <si>
    <t>Silicon</t>
  </si>
  <si>
    <t>18.81</t>
  </si>
  <si>
    <t>19.789</t>
  </si>
  <si>
    <t>0.03</t>
  </si>
  <si>
    <t>DfGm_Ref</t>
  </si>
  <si>
    <t>DfHm_Ref</t>
  </si>
  <si>
    <t>Cpm_Ref</t>
  </si>
  <si>
    <t>Vm [cm3/mol]</t>
  </si>
  <si>
    <t>sigma Vm [cm3/mol]</t>
  </si>
  <si>
    <t>Vm_Ref</t>
  </si>
  <si>
    <t>HKF_coefs</t>
  </si>
  <si>
    <t>a1·10 [cal·mol–1·bar–1]</t>
  </si>
  <si>
    <t>a2·10-2 [cal·mol–1]</t>
  </si>
  <si>
    <t>a3 [cal·K·mol–1·bar–1]</t>
  </si>
  <si>
    <t>a4·10-4[cal·K·mol–1]</t>
  </si>
  <si>
    <t>c1 [cal·K–1·mol–1]</t>
  </si>
  <si>
    <t>c2·10-4 [cal·K·mol–1]</t>
  </si>
  <si>
    <t>ω°·10-5 [cal·mol–1]</t>
  </si>
  <si>
    <t>H2O(l)</t>
  </si>
  <si>
    <r>
      <t>H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O(l)</t>
    </r>
  </si>
  <si>
    <t>H2O@</t>
  </si>
  <si>
    <t xml:space="preserve">0.041 </t>
  </si>
  <si>
    <t>0.040</t>
  </si>
  <si>
    <t>Cl-</t>
  </si>
  <si>
    <r>
      <t>Cl</t>
    </r>
    <r>
      <rPr>
        <vertAlign val="superscript"/>
        <sz val="10"/>
        <color rgb="FF000000"/>
        <rFont val="Arial"/>
        <family val="2"/>
      </rPr>
      <t>-</t>
    </r>
  </si>
  <si>
    <t>0.100</t>
  </si>
  <si>
    <t>Na+</t>
  </si>
  <si>
    <r>
      <t>Na</t>
    </r>
    <r>
      <rPr>
        <vertAlign val="superscript"/>
        <sz val="10"/>
        <color rgb="FF000000"/>
        <rFont val="Arial"/>
        <family val="2"/>
      </rPr>
      <t>+</t>
    </r>
  </si>
  <si>
    <t xml:space="preserve">0.060 </t>
  </si>
  <si>
    <t>K+</t>
  </si>
  <si>
    <r>
      <t>K</t>
    </r>
    <r>
      <rPr>
        <vertAlign val="superscript"/>
        <sz val="10"/>
        <color rgb="FF000000"/>
        <rFont val="Arial"/>
        <family val="2"/>
      </rPr>
      <t>+</t>
    </r>
  </si>
  <si>
    <t>0.080</t>
  </si>
  <si>
    <t>Ca+2</t>
  </si>
  <si>
    <r>
      <t>Ca</t>
    </r>
    <r>
      <rPr>
        <vertAlign val="superscript"/>
        <sz val="10"/>
        <color rgb="FF000000"/>
        <rFont val="Arial"/>
        <family val="2"/>
      </rPr>
      <t>2+</t>
    </r>
  </si>
  <si>
    <t>1.000</t>
  </si>
  <si>
    <t>Mg+2</t>
  </si>
  <si>
    <r>
      <t>Mg</t>
    </r>
    <r>
      <rPr>
        <vertAlign val="superscript"/>
        <sz val="10"/>
        <color rgb="FF000000"/>
        <rFont val="Arial"/>
        <family val="2"/>
      </rPr>
      <t>2+</t>
    </r>
  </si>
  <si>
    <t>0.600</t>
  </si>
  <si>
    <t>1.700</t>
  </si>
  <si>
    <t>Fe+2</t>
  </si>
  <si>
    <r>
      <t>Fe</t>
    </r>
    <r>
      <rPr>
        <vertAlign val="superscript"/>
        <sz val="10"/>
        <color rgb="FF000000"/>
        <rFont val="Arial"/>
        <family val="2"/>
      </rPr>
      <t>2+</t>
    </r>
  </si>
  <si>
    <t>Fe+3</t>
  </si>
  <si>
    <r>
      <t>Fe</t>
    </r>
    <r>
      <rPr>
        <vertAlign val="superscript"/>
        <sz val="10"/>
        <color rgb="FF000000"/>
        <rFont val="Arial"/>
        <family val="2"/>
      </rPr>
      <t>3+</t>
    </r>
  </si>
  <si>
    <t>Al+3</t>
  </si>
  <si>
    <r>
      <t>Al</t>
    </r>
    <r>
      <rPr>
        <vertAlign val="superscript"/>
        <sz val="10"/>
        <color rgb="FF000000"/>
        <rFont val="Arial"/>
        <family val="2"/>
      </rPr>
      <t>3+</t>
    </r>
  </si>
  <si>
    <t>2.600</t>
  </si>
  <si>
    <t>5.000</t>
  </si>
  <si>
    <t>OH-</t>
  </si>
  <si>
    <r>
      <t>OH</t>
    </r>
    <r>
      <rPr>
        <vertAlign val="superscript"/>
        <sz val="10"/>
        <color rgb="FF000000"/>
        <rFont val="Arial"/>
        <family val="2"/>
      </rPr>
      <t>-</t>
    </r>
  </si>
  <si>
    <t>0.200</t>
  </si>
  <si>
    <t>F-</t>
  </si>
  <si>
    <r>
      <t>F</t>
    </r>
    <r>
      <rPr>
        <vertAlign val="superscript"/>
        <sz val="10"/>
        <color rgb="FF000000"/>
        <rFont val="Arial"/>
        <family val="2"/>
      </rPr>
      <t>-</t>
    </r>
  </si>
  <si>
    <t>0.650</t>
  </si>
  <si>
    <t>0.800</t>
  </si>
  <si>
    <t>ClO4-</t>
  </si>
  <si>
    <r>
      <t>ClO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-</t>
    </r>
  </si>
  <si>
    <t>0.400</t>
  </si>
  <si>
    <t>NO3-</t>
  </si>
  <si>
    <r>
      <t>NO</t>
    </r>
    <r>
      <rPr>
        <vertAlign val="subscript"/>
        <sz val="10"/>
        <color rgb="FF000000"/>
        <rFont val="Arial"/>
        <family val="2"/>
      </rPr>
      <t>3</t>
    </r>
    <r>
      <rPr>
        <vertAlign val="superscript"/>
        <sz val="10"/>
        <color rgb="FF000000"/>
        <rFont val="Arial"/>
        <family val="2"/>
      </rPr>
      <t>-</t>
    </r>
  </si>
  <si>
    <t>HS-</t>
  </si>
  <si>
    <r>
      <t>HS</t>
    </r>
    <r>
      <rPr>
        <vertAlign val="superscript"/>
        <sz val="10"/>
        <color rgb="FF000000"/>
        <rFont val="Arial"/>
        <family val="2"/>
      </rPr>
      <t>-</t>
    </r>
  </si>
  <si>
    <t>1.500</t>
  </si>
  <si>
    <t>4.98 b</t>
  </si>
  <si>
    <t>HCO3-</t>
  </si>
  <si>
    <r>
      <t>HCO</t>
    </r>
    <r>
      <rPr>
        <vertAlign val="subscript"/>
        <sz val="10"/>
        <color rgb="FF000000"/>
        <rFont val="Arial"/>
        <family val="2"/>
      </rPr>
      <t>3</t>
    </r>
    <r>
      <rPr>
        <vertAlign val="superscript"/>
        <sz val="10"/>
        <color rgb="FF000000"/>
        <rFont val="Arial"/>
        <family val="2"/>
      </rPr>
      <t>-</t>
    </r>
  </si>
  <si>
    <t>CO3-2</t>
  </si>
  <si>
    <r>
      <t>CO</t>
    </r>
    <r>
      <rPr>
        <vertAlign val="subscript"/>
        <sz val="10"/>
        <color rgb="FF000000"/>
        <rFont val="Arial"/>
        <family val="2"/>
      </rPr>
      <t>3</t>
    </r>
    <r>
      <rPr>
        <vertAlign val="superscript"/>
        <sz val="10"/>
        <color rgb="FF000000"/>
        <rFont val="Arial"/>
        <family val="2"/>
      </rPr>
      <t>2-</t>
    </r>
  </si>
  <si>
    <t>0.250</t>
  </si>
  <si>
    <t>SO4-2</t>
  </si>
  <si>
    <r>
      <t>SO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2-</t>
    </r>
  </si>
  <si>
    <t>HPO4-2</t>
  </si>
  <si>
    <r>
      <t>HPO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2-</t>
    </r>
  </si>
  <si>
    <t>PO4-3</t>
  </si>
  <si>
    <r>
      <t>PO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3-</t>
    </r>
  </si>
  <si>
    <t>4.085</t>
  </si>
  <si>
    <t>12.846</t>
  </si>
  <si>
    <t>Si(OH)4(aq)</t>
  </si>
  <si>
    <r>
      <t>Si(OH)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(aq)</t>
    </r>
  </si>
  <si>
    <t>Si(OH)4@</t>
  </si>
  <si>
    <t>1.400</t>
  </si>
  <si>
    <t>CaSiO2(OH)2(aq)</t>
  </si>
  <si>
    <t>CaSiO2(OH)2@</t>
  </si>
  <si>
    <t>suplemental</t>
  </si>
  <si>
    <t>logK</t>
  </si>
  <si>
    <t>sigma logK</t>
  </si>
  <si>
    <t>logK_Ref</t>
  </si>
  <si>
    <t>DrHm [kJ/mol]</t>
  </si>
  <si>
    <t>sigma DrHm [kJ/mol]</t>
  </si>
  <si>
    <t>DrHm_Ref</t>
  </si>
  <si>
    <t>DrSm [J/(K mol)]</t>
  </si>
  <si>
    <t>sigma DrSm [J/(K mol)]</t>
  </si>
  <si>
    <t>DrSm_Ref</t>
  </si>
  <si>
    <t>DrCpm [J/(K mol)]</t>
  </si>
  <si>
    <t>sigma DrCpm [J/(K mol)]</t>
  </si>
  <si>
    <t>DrCpm_Ref</t>
  </si>
  <si>
    <t>T-min</t>
  </si>
  <si>
    <t>T-max</t>
  </si>
  <si>
    <t>Reaction</t>
  </si>
  <si>
    <t>logKf(T)_coefficients</t>
  </si>
  <si>
    <t>a0</t>
  </si>
  <si>
    <t>a0_e</t>
  </si>
  <si>
    <t>a1*T</t>
  </si>
  <si>
    <t>a1_e</t>
  </si>
  <si>
    <t>a2*T^-1</t>
  </si>
  <si>
    <t>a2_e</t>
  </si>
  <si>
    <t>a3*lnT</t>
  </si>
  <si>
    <t>a3_e</t>
  </si>
  <si>
    <t>AlOH+2</t>
  </si>
  <si>
    <t>recommended</t>
  </si>
  <si>
    <t>Al+3 + H2O(l) = AlOH+2 + H+</t>
  </si>
  <si>
    <t>Al(OH)2+</t>
  </si>
  <si>
    <t>Al+3  + 2H2O(l) = Al(OH)2+ + 2H+</t>
  </si>
  <si>
    <t>Al(OH)3(aq)</t>
  </si>
  <si>
    <t>Al(OH)3@</t>
  </si>
  <si>
    <t>Al+3  + 3H2O(l) = Al(OH)3@ + 3H+</t>
  </si>
  <si>
    <t>refit BE2016 with DrCp = 0</t>
  </si>
  <si>
    <t>Al(OH)4-</t>
  </si>
  <si>
    <t>Al+3 + 4H2O(l) = Al(OH)4- + 4H+</t>
  </si>
  <si>
    <t>SiO(OH)3-</t>
  </si>
  <si>
    <t>Si(OH)4(aq) + OH- = SiO(OH)3- + H2O(l)</t>
  </si>
  <si>
    <t>SiO2(OH)2-2</t>
  </si>
  <si>
    <t>Si(OH)4(aq) + 2OH- = SiO2(OH)2-2 + 2H2O(l)</t>
  </si>
  <si>
    <t>Ca+2 + SiO2(OH)2-2 = CaSiO2(OH)2(aq)</t>
  </si>
  <si>
    <t>abbreviation</t>
  </si>
  <si>
    <t xml:space="preserve">Cpf(T)_coefs </t>
  </si>
  <si>
    <t>a2*T^-2</t>
  </si>
  <si>
    <t>a3*T^-0.5</t>
  </si>
  <si>
    <t>a4*T^2</t>
  </si>
  <si>
    <t>a4_e</t>
  </si>
  <si>
    <t>Tmin</t>
  </si>
  <si>
    <t>Tmax</t>
  </si>
  <si>
    <t>Quartz</t>
  </si>
  <si>
    <t>SiO2</t>
  </si>
  <si>
    <t>qtz</t>
  </si>
  <si>
    <t>α-Al2O3(cr)</t>
  </si>
  <si>
    <t>Al2O3</t>
  </si>
  <si>
    <t>crn</t>
  </si>
  <si>
    <t>Al(OH)3(cr)</t>
  </si>
  <si>
    <t>Gibbsite</t>
  </si>
  <si>
    <t>Al(OH)3</t>
  </si>
  <si>
    <t>gbs</t>
  </si>
  <si>
    <t>Hematite</t>
  </si>
  <si>
    <t>Fe|3|2O3</t>
  </si>
  <si>
    <t>hm</t>
  </si>
  <si>
    <t>Magnetite</t>
  </si>
  <si>
    <t>FeFe|3|2O4</t>
  </si>
  <si>
    <t>mt</t>
  </si>
  <si>
    <t>Goethite</t>
  </si>
  <si>
    <t>Fe|3|OOH</t>
  </si>
  <si>
    <t>goe</t>
  </si>
  <si>
    <t>Lepidocrocite</t>
  </si>
  <si>
    <t>lp</t>
  </si>
  <si>
    <t>Fe|3|(OH)3</t>
  </si>
  <si>
    <t>fhy</t>
  </si>
  <si>
    <t>Ca(OH)2(cr)</t>
  </si>
  <si>
    <t>Portlandite</t>
  </si>
  <si>
    <t>Ca(OH)2</t>
  </si>
  <si>
    <t>por</t>
  </si>
  <si>
    <t>CO3</t>
  </si>
  <si>
    <t>Calcite</t>
  </si>
  <si>
    <t>cal</t>
  </si>
  <si>
    <t>Dolomite</t>
  </si>
  <si>
    <t>dol</t>
  </si>
  <si>
    <t>SO4</t>
  </si>
  <si>
    <t>CaSO4(H2O)2</t>
  </si>
  <si>
    <t>gy</t>
  </si>
  <si>
    <t>Anhydrite</t>
  </si>
  <si>
    <t>CaSO4</t>
  </si>
  <si>
    <t>anh</t>
  </si>
  <si>
    <t>Grossular</t>
  </si>
  <si>
    <t>Ca3Al2(SiO4)3</t>
  </si>
  <si>
    <t>grs</t>
  </si>
  <si>
    <t>Andradite</t>
  </si>
  <si>
    <t>Ca3Fe|3|2(SiO4)3</t>
  </si>
  <si>
    <t>adr</t>
  </si>
  <si>
    <t>Wollastonite</t>
  </si>
  <si>
    <t>wo</t>
  </si>
  <si>
    <t>comment</t>
  </si>
  <si>
    <t xml:space="preserve">Hemihydrate </t>
  </si>
  <si>
    <t>CaSO4(H2O)0.5</t>
  </si>
  <si>
    <t>hh</t>
  </si>
  <si>
    <t>2018LI/ZEN</t>
  </si>
  <si>
    <t>SiO2(am)</t>
  </si>
  <si>
    <t>Amorphous_silica</t>
  </si>
  <si>
    <t>siam</t>
  </si>
  <si>
    <t>SiO2(am) + 4H2O(l) = Si(OH)4(aq)</t>
  </si>
  <si>
    <t>responsible</t>
  </si>
  <si>
    <t>AFt-phases</t>
  </si>
  <si>
    <t>Ca6Al2(SO4)3(OH)12(H2O)26</t>
  </si>
  <si>
    <t>C6As3H32</t>
  </si>
  <si>
    <t>C6As3H30</t>
  </si>
  <si>
    <t>Ca6Al2(SO4)3(OH)12(H2O)24</t>
  </si>
  <si>
    <t>C6As3H13</t>
  </si>
  <si>
    <t>Ca6Al2(SO4)3(OH)12(H2O)7</t>
  </si>
  <si>
    <t>C6As3H9</t>
  </si>
  <si>
    <t>Ca6Al2(SO4)3(OH)12(H2O)3</t>
  </si>
  <si>
    <t>Ca6Al2(CO3)3(OH)12(H2O)26</t>
  </si>
  <si>
    <t>C6Ac3H32</t>
  </si>
  <si>
    <t>Ca6Fe|3|2(SO4)3(OH)12(H2O)26</t>
  </si>
  <si>
    <t>C6Fs3H32</t>
  </si>
  <si>
    <t>Thaumasite</t>
  </si>
  <si>
    <t>(CaSiO3)(CaSO4)(CaCO3)(H2O)15</t>
  </si>
  <si>
    <t>C3SscH15</t>
  </si>
  <si>
    <t>Hydrogarnet</t>
  </si>
  <si>
    <t>C3AH6</t>
  </si>
  <si>
    <t>Katoite</t>
  </si>
  <si>
    <t>Ca3Al2O6(H2O)6</t>
  </si>
  <si>
    <t>Ca3Al2O6(SiO2)0.41(H2O)5.18</t>
  </si>
  <si>
    <t>Ca3Al2O6(SiO2)0.84(H2O)4.32</t>
  </si>
  <si>
    <t>C3FH6</t>
  </si>
  <si>
    <t>Hydroandradite</t>
  </si>
  <si>
    <t>Ca3Fe|3|2O6(H2O)6</t>
  </si>
  <si>
    <t>Ca3Fe|3|2O6(SiO2)0.84(H2O)4.32</t>
  </si>
  <si>
    <t>Ca3AlFe|3|O6(SiO2)0.84(H2O)4.32</t>
  </si>
  <si>
    <t>Ca3Fe|3|2O6(SiO2)1.34(H2O)3.32</t>
  </si>
  <si>
    <t>Afm phases</t>
  </si>
  <si>
    <t>C4AH19</t>
  </si>
  <si>
    <t>Ca4Al2(OH)14(H2O)12</t>
  </si>
  <si>
    <t>C4AH13</t>
  </si>
  <si>
    <t>Ca4Al2(OH)14(H2O)6</t>
  </si>
  <si>
    <t>C4AH11</t>
  </si>
  <si>
    <t>Ca4Al2(OH)14(H2O)4</t>
  </si>
  <si>
    <t xml:space="preserve">C2AH7.5 </t>
  </si>
  <si>
    <t>Ca2Al2(OH)10(H2O)2.5</t>
  </si>
  <si>
    <t>CAH10</t>
  </si>
  <si>
    <t>CaAl2(OH)8(H2O)6</t>
  </si>
  <si>
    <t>CaOAl2O3(H2O)10</t>
  </si>
  <si>
    <t>O-2+H2O=2OH-</t>
  </si>
  <si>
    <t>Hemicarbonate</t>
  </si>
  <si>
    <t>Ca4Al2(CO3)0.5(OH)13(H2O)5.5</t>
  </si>
  <si>
    <t>(CaO)4Al2O3(CO3)0.5(H2O)12</t>
  </si>
  <si>
    <t>Ca4Al2(CO3)0.5(OH)13(H2O)4</t>
  </si>
  <si>
    <t>(CaO)4Al2O3(CO3)0.5(H2O)10.5</t>
  </si>
  <si>
    <t>Ca4Al2(CO3)0.5(OH)13(H2O)2.5</t>
  </si>
  <si>
    <t>(CaO)4Al2O3(CO3)0.5(H2O)9</t>
  </si>
  <si>
    <t>C4AcH11</t>
  </si>
  <si>
    <t>Monocarbonate</t>
  </si>
  <si>
    <t>Ca4Al2(CO3)(OH)12(H2O)5</t>
  </si>
  <si>
    <t>(CaO)3Al2O3CaCO3(H2O)11</t>
  </si>
  <si>
    <t>C4AcH9</t>
  </si>
  <si>
    <t>Ca4Al2(CO3)(OH)12(H2O)2</t>
  </si>
  <si>
    <t>(CaO)3Al2O3CaCO3(H2O)9</t>
  </si>
  <si>
    <t>C4AsH16</t>
  </si>
  <si>
    <t>Ca4Al2(SO4)(OH)12(H2O)10</t>
  </si>
  <si>
    <t>(CaO)3Al2O3CaSO4(H2O)16</t>
  </si>
  <si>
    <t>C4AsH14</t>
  </si>
  <si>
    <t>Ca4Al2(SO4)(OH)12(H2O)8</t>
  </si>
  <si>
    <t>(CaO)3Al2O3CaSO4(H2O)14</t>
  </si>
  <si>
    <t>C4AsH12</t>
  </si>
  <si>
    <t>Ca4Al2(SO4)(OH)12(H2O)6</t>
  </si>
  <si>
    <t>(CaO)3Al2O3CaSO4(H2O)12</t>
  </si>
  <si>
    <t>C4AsH10.5</t>
  </si>
  <si>
    <t>Ca4Al2(SO4)(OH)12(H2O)4.5</t>
  </si>
  <si>
    <t>(CaO)3Al2O3CaSO4(H2O)10.5</t>
  </si>
  <si>
    <t>C4AsH9</t>
  </si>
  <si>
    <t>Ca4Al2(SO4)(OH)12(H2O)3</t>
  </si>
  <si>
    <t>(CaO)3Al2O3CaSO4(H2O)9</t>
  </si>
  <si>
    <t>C2ASH8</t>
  </si>
  <si>
    <t>Straetlingite</t>
  </si>
  <si>
    <t>Ca2Al2Si(OH)14H2O</t>
  </si>
  <si>
    <t>Ca2Al2SiO7(H2O)8</t>
  </si>
  <si>
    <t>C2ASH7</t>
  </si>
  <si>
    <t>Ca2Al2Si(OH)14</t>
  </si>
  <si>
    <t>Ca2Al2SiO7(H2O)7</t>
  </si>
  <si>
    <t>C2ASH5.5</t>
  </si>
  <si>
    <t>Ca2Al2SiO7(H2O)5.5</t>
  </si>
  <si>
    <t>Kuzel_s_salt</t>
  </si>
  <si>
    <t>Ca4Al2Cl(SO4)0.5(OH)12(H2O)6</t>
  </si>
  <si>
    <t>C4ACl2H10</t>
  </si>
  <si>
    <t>Friedel_s_salt</t>
  </si>
  <si>
    <t>Ca4Al2Cl2(OH)12(H2O)4</t>
  </si>
  <si>
    <t>C4A(NO3)2H10</t>
  </si>
  <si>
    <t>Mononitrate</t>
  </si>
  <si>
    <t>Ca4Al2(OH)12(N|5|O3)2(H2O)4</t>
  </si>
  <si>
    <t>C4A(NO2)2H10</t>
  </si>
  <si>
    <t>Mononitrite</t>
  </si>
  <si>
    <t>Ca4Al2(OH)12(N|3|O2)2(H2O)4</t>
  </si>
  <si>
    <t>C4FH13</t>
  </si>
  <si>
    <t>Ca4Fe|3|2(OH)14(H2O)6</t>
  </si>
  <si>
    <t>C4Fc0.5H10</t>
  </si>
  <si>
    <t>C4FcH12</t>
  </si>
  <si>
    <t>Ca4Fe|3|2(CO3)(OH)12(H2O)6</t>
  </si>
  <si>
    <t>Ca4O4Fe|3|2O3CO2(H2O)12</t>
  </si>
  <si>
    <t>C4FsH12</t>
  </si>
  <si>
    <t>Ca4Fe|3|2(SO4)(OH)12(H2O)6</t>
  </si>
  <si>
    <t>Ca4Fe|3|2SO10(H2O)12</t>
  </si>
  <si>
    <t>C4FCl2H10</t>
  </si>
  <si>
    <t>Ca4Fe|3|2Cl2(OH)12(H2O)4</t>
  </si>
  <si>
    <t>clinkers</t>
  </si>
  <si>
    <t>CaO(cr)</t>
  </si>
  <si>
    <t>Lime</t>
  </si>
  <si>
    <t>CaO</t>
  </si>
  <si>
    <t>[30]</t>
  </si>
  <si>
    <t>C3S</t>
  </si>
  <si>
    <t>(CaO)3SiO2</t>
  </si>
  <si>
    <t>[1, 2, 29]</t>
  </si>
  <si>
    <t>C2S</t>
  </si>
  <si>
    <t>(CaO)2SiO2</t>
  </si>
  <si>
    <t>C3A</t>
  </si>
  <si>
    <t>(CaO)3Al2O3</t>
  </si>
  <si>
    <t>C12A7</t>
  </si>
  <si>
    <t>(CaO)12(Al2O3)7</t>
  </si>
  <si>
    <t>[29]</t>
  </si>
  <si>
    <t>CA</t>
  </si>
  <si>
    <t>CaOAl2O3</t>
  </si>
  <si>
    <t>CA2</t>
  </si>
  <si>
    <t>CaO(Al2O3)2</t>
  </si>
  <si>
    <t>C4AF</t>
  </si>
  <si>
    <t>Ferrite</t>
  </si>
  <si>
    <t>(CaO)4(Al2O3)(Fe|3|2O3)</t>
  </si>
  <si>
    <t>Phillipsite(K)</t>
  </si>
  <si>
    <t>NAT</t>
  </si>
  <si>
    <t>Natrolite</t>
  </si>
  <si>
    <t>Na2(Al2Si3)O10(H2O)2</t>
  </si>
  <si>
    <t>CHA(Na)</t>
  </si>
  <si>
    <t>Chabazite(Na)</t>
  </si>
  <si>
    <t>Na2(Al2Si4)O12(H2O)6</t>
  </si>
  <si>
    <t>PHI(Na)</t>
  </si>
  <si>
    <t>Na2.5Al2.5Si5.5O16(H2O)5</t>
  </si>
  <si>
    <t>GIS-LS-P(Na)</t>
  </si>
  <si>
    <t>Low-silica_P(Na)</t>
  </si>
  <si>
    <t>Na2(Al2Si2)O8(H2O)3.8</t>
  </si>
  <si>
    <t>FAU-X(Na)</t>
  </si>
  <si>
    <t>Faujasite-X(Na)</t>
  </si>
  <si>
    <t>Na2(Al2Si2.5)O9(H2O)6.2</t>
  </si>
  <si>
    <t>ANA</t>
  </si>
  <si>
    <t>Analcime</t>
  </si>
  <si>
    <t>Na2(Al2Si4)O12(H2O)2</t>
  </si>
  <si>
    <t>FAU-Y(Na)</t>
  </si>
  <si>
    <t>Faujasite-Y(Na)</t>
  </si>
  <si>
    <t>Na2(Al2Si4)O12(H2O)8</t>
  </si>
  <si>
    <t>SOD(Cl)</t>
  </si>
  <si>
    <t>Sodaliite(Cl)</t>
  </si>
  <si>
    <t>Na8Al6Si6O24Cl2</t>
  </si>
  <si>
    <t>MOR(Na)</t>
  </si>
  <si>
    <t>Mordenite(Na)</t>
  </si>
  <si>
    <t>Na0.72Al0.72Si5.28O12(H2O)2.71</t>
  </si>
  <si>
    <t>LTA(Na)</t>
  </si>
  <si>
    <t>Lynda_type_A(Na)</t>
  </si>
  <si>
    <t>Na1.98Al1.98Si2.02O8(H2O)5.31</t>
  </si>
  <si>
    <t>4A</t>
  </si>
  <si>
    <t>Na2(Al2Si2)O8(H2O)4.5</t>
  </si>
  <si>
    <t>CAN(NO3)</t>
  </si>
  <si>
    <t>Cancrinite(NO3)</t>
  </si>
  <si>
    <t>Na8Al6Si6O24(NO3)2(H2O)4</t>
  </si>
  <si>
    <t>SOD(OH)</t>
  </si>
  <si>
    <t>Hydrosodalite</t>
  </si>
  <si>
    <t>Na8(Al6Si6)O24(OH)2(H2O)2</t>
  </si>
  <si>
    <t>PHI(NaK)</t>
  </si>
  <si>
    <t>Phillipsite(NaK)</t>
  </si>
  <si>
    <t>Na1.5K(Al2.5Si5.5)O16(H2O)5</t>
  </si>
  <si>
    <t>GIS-LS-P(Ca)</t>
  </si>
  <si>
    <t>Low-silica_P(Ca)</t>
  </si>
  <si>
    <t>Ca(Al2Si2)O8(H2O)4.5</t>
  </si>
  <si>
    <t>SCO</t>
  </si>
  <si>
    <t>Scolecite</t>
  </si>
  <si>
    <t xml:space="preserve">Ca(Al2Si3O10)(H2O)3 </t>
  </si>
  <si>
    <t>CHA(Ca)</t>
  </si>
  <si>
    <t>Chabazite(Ca)</t>
  </si>
  <si>
    <t>Ca(Al2Si4)O12(H2O)6</t>
  </si>
  <si>
    <t>HEU(Ca)-1</t>
  </si>
  <si>
    <t>Heulandite1(Ca)</t>
  </si>
  <si>
    <t>Ca1.07Al2.14Si6.86O18(H2O)4.4</t>
  </si>
  <si>
    <t>HEU(Ca)-2</t>
  </si>
  <si>
    <t>Heulandite2(Ca)</t>
  </si>
  <si>
    <t>Ca1.07Al2.14Si6.86O18(H2O)4.5</t>
  </si>
  <si>
    <t>MOR(Ca)</t>
  </si>
  <si>
    <t>Mordenite(Ca)</t>
  </si>
  <si>
    <t>Ca0.34Al0.68Si5.32O12(H2O)2.9</t>
  </si>
  <si>
    <t>CLI(Ca)</t>
  </si>
  <si>
    <t>Ca0.52Al1.04Si4.96O12(H2O)3.1</t>
  </si>
  <si>
    <t>STI(Ca)</t>
  </si>
  <si>
    <t>Stilbite(Ca)</t>
  </si>
  <si>
    <t>Ca1.11Al2.22Si6.78O18(H2O)6.8</t>
  </si>
  <si>
    <t>CHA-Y(K)</t>
  </si>
  <si>
    <t>Chabazite(K)</t>
  </si>
  <si>
    <t>K2Al2Si4O12(H2O)4</t>
  </si>
  <si>
    <t>CLI(K)</t>
  </si>
  <si>
    <t>K1.01Al1.01Si4.99O12(H2O)2.3</t>
  </si>
  <si>
    <t>FAU-X(K)</t>
  </si>
  <si>
    <t>Faujasite-X(K)</t>
  </si>
  <si>
    <t>K2.03Al2.03Si2.47O9(H2O)6.04</t>
  </si>
  <si>
    <t>FAU-Y(K)</t>
  </si>
  <si>
    <t>Faujasite-Y(K)</t>
  </si>
  <si>
    <t>K2.18Al2.18Si3.82O12(H2O)7.72</t>
  </si>
  <si>
    <t>GIS-LSP(K)</t>
  </si>
  <si>
    <t>Low-silica_P(K)</t>
  </si>
  <si>
    <t>K2Al2Si2O8(H2O)2</t>
  </si>
  <si>
    <t>GIS-P1(K)</t>
  </si>
  <si>
    <t>Low-silica_P1(K)</t>
  </si>
  <si>
    <t>K1.67Al1.67Si2.33O8(H2O)1.9</t>
  </si>
  <si>
    <t>HEU(K)</t>
  </si>
  <si>
    <t>Heulandite(K)</t>
  </si>
  <si>
    <t>K2.22Al2.22Si6.78O18(H2O)4.7</t>
  </si>
  <si>
    <t>LEU</t>
  </si>
  <si>
    <t>Leucite</t>
  </si>
  <si>
    <t>K2Al2Si4O12</t>
  </si>
  <si>
    <t>LTA(K)</t>
  </si>
  <si>
    <t>Lynda_type_A(K)</t>
  </si>
  <si>
    <t>K2Al2Si2O8(H2O)3.3</t>
  </si>
  <si>
    <t>MOR(K)</t>
  </si>
  <si>
    <t>Mordenite(K)</t>
  </si>
  <si>
    <t>K0.65Al0.65Si5.35O12(H2O)2.3</t>
  </si>
  <si>
    <t>NAT(K)</t>
  </si>
  <si>
    <t>Natrolite(K)</t>
  </si>
  <si>
    <t>K2Al2Si3O10(H2O)2</t>
  </si>
  <si>
    <t>PHI(K)</t>
  </si>
  <si>
    <t>K2.5Al2.5Si5.5O16(H2O)5</t>
  </si>
  <si>
    <t>STI(K)</t>
  </si>
  <si>
    <t>Stilbite(K)</t>
  </si>
  <si>
    <t>K2.20Al2.20Si6.80O18(H2O)4.8</t>
  </si>
  <si>
    <t>tetra-NAT(K)</t>
  </si>
  <si>
    <t>NAT + 8H2O(l) = 2Al(OH)4- + 2Na+ + 3Si(OH)4(aq)</t>
  </si>
  <si>
    <t>CHA(Na) + 6H2O(l) = 2Al(OH)4- + 2Na+ + 4Si(OH)4(aq)</t>
  </si>
  <si>
    <t>PHI(Na) + 11H2O(l) = 2.5Al(OH)4- + 2.5Na+ + 5.5Si(OH)4(aq)</t>
  </si>
  <si>
    <t>GIS-LS-P(Na) + 4.2H2O(l) = 2Al(OH)4- + 2Na+ + 2Si(OH)4(aq)</t>
  </si>
  <si>
    <t>FAU-X(Na) + 2.8H2O(l) = 2Al(OH)4- + 2Na+ + 2.5Si(OH)4(aq)</t>
  </si>
  <si>
    <t>ANA + 10H2O(l) = 2Al(OH)4- + 2Na+ + 4Si(OH)4(aq)</t>
  </si>
  <si>
    <t>FAU-Y(Na) + 4H2O(l) = 2Al(OH)4- + 2Na+ + 4Si(OH)4(aq)</t>
  </si>
  <si>
    <t>SOD(Cl) + 24H2O(l) = 6Al(OH)4- + 8Na+ + 2Cl- + 6Si(OH)4(aq)</t>
  </si>
  <si>
    <t>4A + 3.5H2O(l) = 2Al(OH)4- + 2Na+ + 2Si(OH)4(aq)</t>
  </si>
  <si>
    <t>PHI(NaK) + 11H2O(l) = 2.5Al(OH)4- + 1.5Na+ + K+ + 5.5Si(OH)4(aq)</t>
  </si>
  <si>
    <t>GIS-LS-P(Ca) + 3.5H2O(l) = 2Al(OH)4- + Ca+2 + 2Si(OH)4(aq)</t>
  </si>
  <si>
    <t>SCO + 7H2O(l) = 2Al(OH)4- + Ca+2 + 3Si(OH)4(aq)</t>
  </si>
  <si>
    <t>CHA(Ca) + 6H2O(l) = 2Al(OH)4- + Ca+2 + 4Si(OH)4(aq)</t>
  </si>
  <si>
    <t>CLI(Ca) + 8.9H2O(l) = 1.04Al(OH)4- + 0.52Ca+2 + 4.96Si(OH)4(aq)</t>
  </si>
  <si>
    <t>CHA-Y(K) + 8H2O(l) = 2Al(OH)4- + 2K+ + 4Si(OH)4(aq)</t>
  </si>
  <si>
    <t>FAU-X(K) + 2.96H2O(l) = 2.03Al(OH)4- + 2.03K+ + 2.47Si(OH)4(aq)</t>
  </si>
  <si>
    <t>FAU-Y(K) + 4.28H2O(l) = 2.18Al(OH)4- + 2.18K+ + 3.82Si(OH)4(aq)</t>
  </si>
  <si>
    <t>GIS-LSP(K) + 6H2O(l) = 2Al(OH)4- + 2K+ + 2Si(OH)4(aq)</t>
  </si>
  <si>
    <t>GIS-P1(K) + 6.1H2O(l) = 1.67Al(OH)4- + 1.67K+ + 2.33Si(OH)4(aq)</t>
  </si>
  <si>
    <t>LEU + 12H2O(l) = 2Al(OH)4- + 2K+ + 4Si(OH)4(aq)</t>
  </si>
  <si>
    <t>LTA(K) + 4.7H2O(l) = 2Al(OH)4- + 2K+ + 2Si(OH)4(aq)</t>
  </si>
  <si>
    <t>NAT(K) + 8H2O(l) = 2Al(OH)4- + 2K+ + 3Si(OH)4(aq)</t>
  </si>
  <si>
    <t>PHI(K) + 11H2O(l) = 2.5Al(OH)4- + 2.5K+ + 5.5Si(OH)4(aq)</t>
  </si>
  <si>
    <t>STI(K) + 13.2H2O(l) = 2.2Al(OH)4- + 2.2K+ + 6.8Si(OH)4(aq)</t>
  </si>
  <si>
    <t>tetra-NAT(K) + 8H2O(l) = 2Al(OH)4- + 2K+ + 3Si(OH)4(aq)</t>
  </si>
  <si>
    <t>Dmitrii</t>
  </si>
  <si>
    <t>CSHQ</t>
  </si>
  <si>
    <t>JenD</t>
  </si>
  <si>
    <t>CSHQ_JenD_ss</t>
  </si>
  <si>
    <t>(CaO)1.5(SiO2)0.6667(H2O)2.5</t>
  </si>
  <si>
    <t>JenH</t>
  </si>
  <si>
    <t>CSHQ_JenH_ss</t>
  </si>
  <si>
    <t>(CaO)1.3333(SiO2)1(H2O)2.1667</t>
  </si>
  <si>
    <t>TobD</t>
  </si>
  <si>
    <t>CSHQ_TobD_ss</t>
  </si>
  <si>
    <t>((CaO)1.25(SiO2)1(H2O)2.75)0.6667</t>
  </si>
  <si>
    <t>TobH</t>
  </si>
  <si>
    <t>CSHQ_TobH_ss</t>
  </si>
  <si>
    <t>(CaO)0.6667(SiO2)1(H2O)1.5</t>
  </si>
  <si>
    <t>KSiOH</t>
  </si>
  <si>
    <t>CSHQ_KSiOH_ss</t>
  </si>
  <si>
    <t>((KOH)2.5SiO2H2O)0.2</t>
  </si>
  <si>
    <t>NaSiOH</t>
  </si>
  <si>
    <t>CSHQ_NaSiOH_ss</t>
  </si>
  <si>
    <t>((NaOH)2.5SiO2H2O)0.2</t>
  </si>
  <si>
    <t>CNASH</t>
  </si>
  <si>
    <t>CNASH_TobH_ss</t>
  </si>
  <si>
    <t>(CaO)1(SiO2)1.5(H2O)2.5</t>
  </si>
  <si>
    <t>INFCA</t>
  </si>
  <si>
    <t>CNASH_INFCA_ss</t>
  </si>
  <si>
    <t>(CaO)1(SiO2)1.1875(Al2O3)0.15625(H2O)1.65625</t>
  </si>
  <si>
    <t>INFCN</t>
  </si>
  <si>
    <t>CNASH_INFCN_ss</t>
  </si>
  <si>
    <t>(CaO)1(SiO2)1.5(Na2O)0.3125(H2O)1.1875</t>
  </si>
  <si>
    <t>INFCNA</t>
  </si>
  <si>
    <t>CNASH_INFCNA_ss</t>
  </si>
  <si>
    <t>(CaO)1(SiO2)1.1875(Al2O3)0.15625(Na2O)0.34375(H2O)1.3125</t>
  </si>
  <si>
    <t>T5C</t>
  </si>
  <si>
    <t>CNASH_T5C_ss</t>
  </si>
  <si>
    <t>(CaO)1.25(SiO2)1.25(H2O)2.5</t>
  </si>
  <si>
    <t>5CA</t>
  </si>
  <si>
    <t>CNASH_5CA_ss</t>
  </si>
  <si>
    <t>(CaO)1.25(SiO2)1(Al2O3)0.125(H2O)1.625</t>
  </si>
  <si>
    <t>5CNA</t>
  </si>
  <si>
    <t>CNASH_5CNA_ss</t>
  </si>
  <si>
    <t>(CaO)1.25(SiO2)1(Al2O3)0.125(Na2O)0.25(H2O)1.375</t>
  </si>
  <si>
    <t>T2C</t>
  </si>
  <si>
    <t>CNASH_T2C_ss</t>
  </si>
  <si>
    <t>(CaO)1.5(SiO2)1(H2O)2.5</t>
  </si>
  <si>
    <t>Elina?</t>
  </si>
  <si>
    <t>MSH</t>
  </si>
  <si>
    <t>M075SH</t>
  </si>
  <si>
    <t>MSH_M075SH_ss</t>
  </si>
  <si>
    <t>Mg1.5Si2O5.5(H2O)2.5</t>
  </si>
  <si>
    <t>M15SH</t>
  </si>
  <si>
    <t>MSH_M15SH_ss</t>
  </si>
  <si>
    <t>Mg1.5SiO3.5(H2O)2.5</t>
  </si>
  <si>
    <t>MgAl-OH-LDH</t>
  </si>
  <si>
    <t>M4A</t>
  </si>
  <si>
    <t>MgAl-OH-LDH_M4A_ss</t>
  </si>
  <si>
    <t>Mg4Al2(OH)14(H2O)3</t>
  </si>
  <si>
    <t>Lothenbach_ea:2016:pap:</t>
  </si>
  <si>
    <t>M6A</t>
  </si>
  <si>
    <t>MgAl-OH-LDH_M6A_ss</t>
  </si>
  <si>
    <t>Mg6Al2(OH)18(H2O)3</t>
  </si>
  <si>
    <t>M8A</t>
  </si>
  <si>
    <t>MgAl-OH-LDH_M8A_ss</t>
  </si>
  <si>
    <t>Mg8Al2(OH)22(H2O)3</t>
  </si>
  <si>
    <t xml:space="preserve">Hydrotalcite-pyroaurite  </t>
  </si>
  <si>
    <t>Mg2AlC0.5OH</t>
  </si>
  <si>
    <t>Hydrotalcite-pyroaurite_Mg2AlC0.5OH_ss</t>
  </si>
  <si>
    <t>Mg2Al(OH)6(CO3)0.5(H2O)2</t>
  </si>
  <si>
    <t>Rozov:2010:book:</t>
  </si>
  <si>
    <t>Mg2FeC0.5OH</t>
  </si>
  <si>
    <t>Hydrotalcite-pyroaurite_Mg2FeC0.5OH_ss</t>
  </si>
  <si>
    <t>Mg2Fe|3|(OH)6(CO3)0.5(H2O)2</t>
  </si>
  <si>
    <t>Mg3AlC0.5OH</t>
  </si>
  <si>
    <t>Hydrotalcite-pyroaurite_Mg3AlC0.5OH_ss</t>
  </si>
  <si>
    <t>Mg3Al(OH)8(CO3)0.5(H2O)2.5</t>
  </si>
  <si>
    <t>Rozov_ea:2011:pap:</t>
  </si>
  <si>
    <t>Mg3FeC0.5OH</t>
  </si>
  <si>
    <t>Hydrotalcite-pyroaurite_Mg3FeC0.5OH_ss</t>
  </si>
  <si>
    <t>Mg3Fe|3|(OH)8(CO3)0.5(H2O)2.5</t>
  </si>
  <si>
    <t>Dan</t>
  </si>
  <si>
    <t>CASH+</t>
  </si>
  <si>
    <t>TCCh</t>
  </si>
  <si>
    <t>CASH+_TCCh_ss</t>
  </si>
  <si>
    <t>{CaOOH}:{CaH(OH)2}:{H2O}:[(CaSiO3)2H2O]</t>
  </si>
  <si>
    <t>28</t>
  </si>
  <si>
    <t>TCvh</t>
  </si>
  <si>
    <t>CASH+_TCvh_ss</t>
  </si>
  <si>
    <t>{CaOOH}:{H}:{H2O}:[(CaSiO3)2H2O]</t>
  </si>
  <si>
    <t>34</t>
  </si>
  <si>
    <t>TSCh</t>
  </si>
  <si>
    <t>CASH+_TSCh_ss</t>
  </si>
  <si>
    <t>{SiO2OH}:{CaH(OH)2}:{H2O}:[(CaSiO3)2H2O]</t>
  </si>
  <si>
    <t>41</t>
  </si>
  <si>
    <t>TSvh</t>
  </si>
  <si>
    <t>CASH+_TSvh_ss</t>
  </si>
  <si>
    <t>{SiO2OH}:{H}:{H2O}:[(CaSiO3)2H2O]</t>
  </si>
  <si>
    <t>37</t>
  </si>
  <si>
    <t>TvCh</t>
  </si>
  <si>
    <t>CASH+_TvCh_ss</t>
  </si>
  <si>
    <t>{OH}:{CaH(OH)2}:{H2O}:[(CaSiO3)2H2O]</t>
  </si>
  <si>
    <t>36</t>
  </si>
  <si>
    <t>Tvvh</t>
  </si>
  <si>
    <t>CASH+_Tvvh_ss</t>
  </si>
  <si>
    <t>{OH}:{H}:{H2O}:[(CaSiO3)2H2O]</t>
  </si>
  <si>
    <t>TACh</t>
  </si>
  <si>
    <t>CASH+_TACh_ss</t>
  </si>
  <si>
    <t>{Al(OH)4}:{CaH(OH)2}:{H2O}:[(CaSiO3)2H2O]</t>
  </si>
  <si>
    <t>43</t>
  </si>
  <si>
    <t>TAvh</t>
  </si>
  <si>
    <t>CASH+_TAvh_ss</t>
  </si>
  <si>
    <t>{Al(OH)4}:{H}:{H2O}:[(CaSiO3)2H2O]</t>
  </si>
  <si>
    <t>TAKh</t>
  </si>
  <si>
    <t>CASH+_TAKh_ss</t>
  </si>
  <si>
    <t>{Al(OH)4}:{KHOH}:{H2O}:[(CaSiO3)2H2O]</t>
  </si>
  <si>
    <t>TANh</t>
  </si>
  <si>
    <t>CASH+_TANh_ss</t>
  </si>
  <si>
    <t>{Al(OH)4}:{NaHOH}:{H2O}:[(CaSiO3)2H2O]</t>
  </si>
  <si>
    <t>TCKh</t>
  </si>
  <si>
    <t>CASH+_TCKh_ss</t>
  </si>
  <si>
    <t>{CaOOH}:{KHOH}:{H2O}:[(CaSiO3)2H2O]</t>
  </si>
  <si>
    <t>39</t>
  </si>
  <si>
    <t>TSKh</t>
  </si>
  <si>
    <t>CASH+_TSKh_ss</t>
  </si>
  <si>
    <t>{SiO2OH}:{KHOH}:{H2O}:[(CaSiO3)2H2O]</t>
  </si>
  <si>
    <t>TvKh</t>
  </si>
  <si>
    <t>CASH+_TvKh_ss</t>
  </si>
  <si>
    <t>{OH}:{KHOH}:{H2O}:[(CaSiO3)2H2O]</t>
  </si>
  <si>
    <t>TCMgh</t>
  </si>
  <si>
    <t>CASH+_TCMgh_ss</t>
  </si>
  <si>
    <t>{CaOOH}:{MgH(OH)2}:{H2O}:[(CaSiO3)2H2O]</t>
  </si>
  <si>
    <t>40</t>
  </si>
  <si>
    <t>TSMgh</t>
  </si>
  <si>
    <t>CASH+_TSMgh_ss</t>
  </si>
  <si>
    <t>{SiO2OH}:{MgH(OH)2}:{H2O}:[(CaSiO3)2H2O]</t>
  </si>
  <si>
    <t>TvMgh</t>
  </si>
  <si>
    <t>CASH+_TvMgh_ss</t>
  </si>
  <si>
    <t>{OH}:{MgH(OH)2}:{H2O}:[(CaSiO3)2H2O]</t>
  </si>
  <si>
    <t>TCNh</t>
  </si>
  <si>
    <t>CASH+_TCNh_ss</t>
  </si>
  <si>
    <t>{CaOOH}:{NaHOH}:{H2O}:[(CaSiO3)2H2O]</t>
  </si>
  <si>
    <t>38</t>
  </si>
  <si>
    <t>TSNh</t>
  </si>
  <si>
    <t>CASH+_TSNh_ss</t>
  </si>
  <si>
    <t>{SiO2OH}:{NaHOH}:{H2O}:[(CaSiO3)2H2O]</t>
  </si>
  <si>
    <t>TvNh</t>
  </si>
  <si>
    <t>CASH+_TvNh_ss</t>
  </si>
  <si>
    <t>{OH}:{NaHOH}:{H2O}:[(CaSiO3)2H2O]</t>
  </si>
  <si>
    <t>32</t>
  </si>
  <si>
    <t>JenD + 3H+ = 1.5Ca+2 + 0.6667Si(OH)4(aq) + 2.6666H2O(l)</t>
  </si>
  <si>
    <t>JenH + 2.6666H+ = 1.3333Ca+2 + Si(OH)4(aq) + 1.5H2O(l)</t>
  </si>
  <si>
    <t>TobD + 2JenD + 7.66675H+ = 3.833375Ca+2 + 2.0001Si(OH)4(aq) + 6.6666H2O(l)</t>
  </si>
  <si>
    <t>TobH + 3.0833Ca+2 + 0.66675Si(OH)4(aq) + 6.4998H2O(l) = 2.5JenD + 6.1666H+</t>
  </si>
  <si>
    <t>KSiOH + 0.75Ca+2 + 0.13335Si(OH)4(aq) + 1.0333H2O(l) = 0.5JenD + 0.5K+ + H+</t>
  </si>
  <si>
    <t>NaSiOH + 0.75Ca+2 + 0.13335Si(OH)4(aq) + 1.0333H2O(l) = 0.5JenD + 0.5Na+ + H+</t>
  </si>
  <si>
    <t>TobH + 2H+ = Ca+2 + 1.5Si(OH)4(aq) + 0.5H2O(l)</t>
  </si>
  <si>
    <t>INFCA + 1.6875H+ + 0.5H2O(l) = 0.3125Al(OH)4- + Ca+2 + 1.1875Si(OH)4(aq)</t>
  </si>
  <si>
    <t>INFCN + 2.625H+ + 0.5H2O(l) = Ca+2 + 0.625Na+ + 1.5Si(OH)4(aq)</t>
  </si>
  <si>
    <t>INFCNA + 2.375H+ + 0.5H2O(l) = 0.3125Al(OH)4- + Ca+2 + 0.6875Na+ + 1.1875Si(OH)4(aq)</t>
  </si>
  <si>
    <t>T5C + 2.5H+ = 1.25Ca+2 + 1.25Si(OH)4(aq) + 1.25H2O(l)</t>
  </si>
  <si>
    <t>5CA + 2.25H+ = 0.25Al(OH)4- + 1.25Ca+2 + Si(OH)4(aq) + 0.25H2O(l)</t>
  </si>
  <si>
    <t>5CNA + 2.75H+ = 0.25Al(OH)4- + 1.25Ca+2 + 0.5Na+ + Si(OH)4(aq) + 0.25H2O(l)</t>
  </si>
  <si>
    <t>T2C + 3H+ = 1.5Ca+2 + Si(OH)4(aq) + 2H2O(l)</t>
  </si>
  <si>
    <t>M075SH + 3H2O(l) = 1.5Mg+2 + 3OH- + 2Si(OH)4(aq)</t>
  </si>
  <si>
    <t>M15SH + H2O(l) = 1.5Mg+2 + 3OH- + Si(OH)4(aq)</t>
  </si>
  <si>
    <t>M4A = 2Al(OH)4- + 4Mg+2 + 6OH- + 3H2O(l)</t>
  </si>
  <si>
    <t>AAM</t>
  </si>
  <si>
    <t>M4A2</t>
  </si>
  <si>
    <t>Mg4Al2(OH)14(H2O)4</t>
  </si>
  <si>
    <t>M4A2 = 2Al(OH)4- + 4Mg+2 + 6OH- + 4H2O(l)</t>
  </si>
  <si>
    <t>M6A = 2Al(OH)4- + 6Mg+2 + 10OH- + 3H2O(l)</t>
  </si>
  <si>
    <t>M8A = 2Al(OH)4- + 8Mg+2 + 14OH- + 3H2O(l)</t>
  </si>
  <si>
    <t>Mg2AlC0.5OH + 2H+ = Al(OH)4- + 2Mg+2 + 0.5CO3-2 + 4H2O(l)</t>
  </si>
  <si>
    <t>Mg2FeC0.5OH + 2H+ = Fe(OH)4- + 2Mg+2 + 0.5CO3-2 + 4H2O(l)</t>
  </si>
  <si>
    <t>Mg3AlC0.5OH + 4H+ = Al(OH)4- + 3Mg+2 + 0.5CO3-2 + 6.5H2O(l)</t>
  </si>
  <si>
    <t>Mg3FeC0.5OH + 4H+ = Fe(OH)4- + 3Mg+2 + 0.5CO3-2 + 6.5H2O(l)</t>
  </si>
  <si>
    <t>TCCh + 4H2O(l) = 4Ca+2 + 8OH- + 2Si(OH)4(aq)</t>
  </si>
  <si>
    <t>TCvh + 4H2O(l) = 3Ca+2 + 6OH- + 2Si(OH)4(aq)</t>
  </si>
  <si>
    <t>TSCh + 5H2O(l) = 3Ca+2 + 6OH- + 3Si(OH)4(aq)</t>
  </si>
  <si>
    <t>TSvh + 5H2O(l) = 2Ca+2 + 4OH- + 3Si(OH)4(aq)</t>
  </si>
  <si>
    <t>TvCh + 3H2O(l) = 3Ca+2 + 6OH- + 2Si(OH)4(aq)</t>
  </si>
  <si>
    <t>Tvvh + 3H2O(l) = 2Ca+2 + 4OH- + 2Si(OH)4(aq)</t>
  </si>
  <si>
    <t>TACh + 3H2O(l) = Al(OH)4- + 3Ca+2 + 5OH- + 2Si(OH)4(aq)</t>
  </si>
  <si>
    <t>TAvh + 3H2O(l) = Al(OH)4- + 2Ca+2 + 3OH- + 2Si(OH)4(aq)</t>
  </si>
  <si>
    <t>TAKh + 3H2O(l) = Al(OH)4- + 2Ca+2 + K+ + 4OH- + 2Si(OH)4(aq)</t>
  </si>
  <si>
    <t>TANh + 3H2O(l) = Al(OH)4- + 2Ca+2 + Na+ + 4OH- + 2Si(OH)4(aq)</t>
  </si>
  <si>
    <t>TCKh + 4H2O(l) = 3Ca+2 + K+ + 7OH- + 2Si(OH)4(aq)</t>
  </si>
  <si>
    <t>TSKh + 5H2O(l) = 2Ca+2 + K+ + 5OH- + 3Si(OH)4(aq)</t>
  </si>
  <si>
    <t>TvKh + 3H2O(l) = 2Ca+2 + K+ + 5OH- + 2Si(OH)4(aq)</t>
  </si>
  <si>
    <t>TCMgh + 4H2O(l) = Mg+2 + 3Ca+2 + 8OH- + 2Si(OH)4(aq)</t>
  </si>
  <si>
    <t>TSMgh + 5H2O(l) = Mg+2 + 2Ca+2 + 6OH- + 3Si(OH)4(aq)</t>
  </si>
  <si>
    <t>TvMgh + 3H2O(l) = Mg+2 + 2Ca+2 + 6OH- + 2Si(OH)4(aq)</t>
  </si>
  <si>
    <t>TCNh + 4H2O(l) = 3Ca+2 + Na+ + 7OH- + 2Si(OH)4(aq)</t>
  </si>
  <si>
    <t>TSNh + 5H2O(l) = 2Ca+2 + Na+ + 5OH- + 3Si(OH)4(aq)</t>
  </si>
  <si>
    <t>TvNh + 3H2O(l) = 2Ca+2 + Na+ + 5OH- + 2Si(OH)4(aq)</t>
  </si>
  <si>
    <t>Ca5(PO4)3OH(cr)</t>
  </si>
  <si>
    <t>Apatite-OH</t>
  </si>
  <si>
    <t>Ca5(PO4)3OH</t>
  </si>
  <si>
    <t>hap</t>
  </si>
  <si>
    <t>Ca5(PO4)3F(cr)</t>
  </si>
  <si>
    <t>Apatite-F</t>
  </si>
  <si>
    <t>Ca5(PO4)3F</t>
  </si>
  <si>
    <t>fap</t>
  </si>
  <si>
    <t>Ca5(PO4)3Cl(cr)</t>
  </si>
  <si>
    <t>Apatite-Cl</t>
  </si>
  <si>
    <t>Ca5(PO4)3Cl</t>
  </si>
  <si>
    <t>cap</t>
  </si>
  <si>
    <t>Ca3(PO4)2(cr)</t>
  </si>
  <si>
    <t>Tuite</t>
  </si>
  <si>
    <t>Ca3(PO4)2</t>
  </si>
  <si>
    <t>cp</t>
  </si>
  <si>
    <t>CaH(PO4)w2(cr)</t>
  </si>
  <si>
    <t>Brushite</t>
  </si>
  <si>
    <t>CaH(PO4)(H2O)2</t>
  </si>
  <si>
    <t>CaHPO4(cr)</t>
  </si>
  <si>
    <t>Monetite</t>
  </si>
  <si>
    <t>CaHPO4</t>
  </si>
  <si>
    <t>Ca4H(PO4)3w2.5(s)</t>
  </si>
  <si>
    <t>OCP</t>
  </si>
  <si>
    <t>Ca4H(PO4)3(H2O)2.5</t>
  </si>
  <si>
    <t>CaHK3(PO4)2(cr)</t>
  </si>
  <si>
    <t>CaHK3(PO4)2</t>
  </si>
  <si>
    <t>barbara</t>
  </si>
  <si>
    <t>Mg3(PO4)2(cr)</t>
  </si>
  <si>
    <t>Farringtonite</t>
  </si>
  <si>
    <t>Mg3(PO4)2</t>
  </si>
  <si>
    <t>Mg3(PO4)2w4(cr)</t>
  </si>
  <si>
    <t>Mg3(PO4)2(H2O)4</t>
  </si>
  <si>
    <t>Mg3(PO4)2w8(cr)</t>
  </si>
  <si>
    <t xml:space="preserve">Bobierrite </t>
  </si>
  <si>
    <t>Mg3(PO4)2(H2O)8</t>
  </si>
  <si>
    <t>Mg3(PO4)2w22(cr)</t>
  </si>
  <si>
    <t>Cattite</t>
  </si>
  <si>
    <t>Mg3(PO4)2(H2O)22</t>
  </si>
  <si>
    <t>MgKPO4w6(cr)</t>
  </si>
  <si>
    <t>K-struvite</t>
  </si>
  <si>
    <t>MgKPO4(H2O)6</t>
  </si>
  <si>
    <t>MgKPO4w1(cr)</t>
  </si>
  <si>
    <t>K-struvite-de-watered</t>
  </si>
  <si>
    <t>MgKPO4(H2O)1</t>
  </si>
  <si>
    <t>MgHPO4w3(cr)</t>
  </si>
  <si>
    <t>Newberyite</t>
  </si>
  <si>
    <t>MgHPO4(H2O)3</t>
  </si>
  <si>
    <t>MgHPO4w7(cr)</t>
  </si>
  <si>
    <t>Phosphorrösslerite</t>
  </si>
  <si>
    <t>MgHPO4(H2O)7</t>
  </si>
  <si>
    <t>Mg2KH(PO4)2w15(cr)</t>
  </si>
  <si>
    <t>Mg2KH(PO4)2(H2O)15</t>
  </si>
  <si>
    <t>Al2PO4(OH)3(cr)</t>
  </si>
  <si>
    <t>Augellite</t>
  </si>
  <si>
    <t>Al2PO4(OH)3</t>
  </si>
  <si>
    <t>AlPO4(cr)</t>
  </si>
  <si>
    <t>Berlinite</t>
  </si>
  <si>
    <t>AlPO4</t>
  </si>
  <si>
    <t>Al4(PO4)3(OH)3(cr)</t>
  </si>
  <si>
    <t>Trolleite</t>
  </si>
  <si>
    <t>Al4(PO4)3(OH)3</t>
  </si>
  <si>
    <t>Al3(PO4)2(OH)3w5(cr)</t>
  </si>
  <si>
    <t>Wavellite</t>
  </si>
  <si>
    <t>Al3(PO4)2(OH)3(H2O)5</t>
  </si>
  <si>
    <t>Al2(PO4)(OH)3w(cr)</t>
  </si>
  <si>
    <t>Senegalite</t>
  </si>
  <si>
    <t>Al2(PO4)(OH)3H2O</t>
  </si>
  <si>
    <t>AlPO4w2(cr)</t>
  </si>
  <si>
    <t>Variscite</t>
  </si>
  <si>
    <t>AlPO4(H2O)2</t>
  </si>
  <si>
    <t>AP(am)</t>
  </si>
  <si>
    <t>Ca2Al(PO4)2OH(cr)</t>
  </si>
  <si>
    <t>Bearthite</t>
  </si>
  <si>
    <t>Ca2Al(PO4)2OH</t>
  </si>
  <si>
    <t>KCaAl6(PO4)4(OH)9w3</t>
  </si>
  <si>
    <t>Millisite</t>
  </si>
  <si>
    <t>KCaAl6(PO4)4(OH)9(H2O)3</t>
  </si>
  <si>
    <t>Ca1.5Al6(PO4)4(OH)9w3(cr)</t>
  </si>
  <si>
    <t>Ca-Millisite</t>
  </si>
  <si>
    <t>Ca1.5Al6(PO4)4(OH)9(H2O)3</t>
  </si>
  <si>
    <t>CaAlH(PO4)2w6(cr)</t>
  </si>
  <si>
    <t>CaAlH(PO4)2(H2O)6</t>
  </si>
  <si>
    <t>CaAl3(PO4)2(OH)5w(cr)</t>
  </si>
  <si>
    <t>Crandallite</t>
  </si>
  <si>
    <t>CaAl3(PO4)2(OH)5H2O</t>
  </si>
  <si>
    <t>Ca2Al2(PO4)3(OH)w7(cr)</t>
  </si>
  <si>
    <t>Montgomeryite</t>
  </si>
  <si>
    <t>Ca2Al2(PO4)3(OH)(H2O)7</t>
  </si>
  <si>
    <t>Basic potassium aluminate phosphate (minyulite type)</t>
  </si>
  <si>
    <t>KAl2(PO4)2OHw2(cr)</t>
  </si>
  <si>
    <t>KAl2(PO4)2OH(H2O)2</t>
  </si>
  <si>
    <t>H6K3Al5(PO4)8w18(cr)</t>
  </si>
  <si>
    <t>Taranakite</t>
  </si>
  <si>
    <t>H6K3Al5(PO4)8(H2O)18</t>
  </si>
  <si>
    <t>Ca5(PO4)3OH(cr) = OH- + 3PO4-3 + 5Ca+2</t>
  </si>
  <si>
    <t>Ca5(PO4)3F(cr) = F- + 3PO4-3 + 5Ca+2</t>
  </si>
  <si>
    <t>Ca5(PO4)3Cl(cr) = Cl- + 3PO4-3 + 5Ca+2</t>
  </si>
  <si>
    <t>Ca3(PO4)2(cr) = 2PO4-3 + 3Ca+2</t>
  </si>
  <si>
    <t>CaH(PO4)w2(cr) = 2H2O(l) + HPO4-2 + Ca+2</t>
  </si>
  <si>
    <t>CaH(PO4)w2(cr) = H+ + 2H2O(l) + PO4-3 + Ca+2</t>
  </si>
  <si>
    <t>CaHPO4(cr) = HPO4-2 + Ca+2</t>
  </si>
  <si>
    <t>CaHPO4(cr) = H+ + PO4-3 + Ca+2</t>
  </si>
  <si>
    <t>orthocalcium phospohate</t>
  </si>
  <si>
    <t>Ca4H(PO4)3w2.5(s) = H+ + 2.5H2O(l) + 3PO4-3 + 4Ca+2</t>
  </si>
  <si>
    <t>CaHK3(PO4)2(cr) = 3K+ + H+ + 2PO4-3 + Ca+2</t>
  </si>
  <si>
    <t>Mg3(PO4)2(cr) = 3Mg+2 + 2PO4-3</t>
  </si>
  <si>
    <t>Mg3(PO4)2w4(cr) = 3Mg+2 + 4H2O(l) + 2PO4-3</t>
  </si>
  <si>
    <t>Mg3(PO4)2w8(cr) = 3Mg+2 + 8H2O(l) + 2PO4-3</t>
  </si>
  <si>
    <t>Mg3(PO4)2w22(cr) = 3Mg+2 + 22H2O(l) + 2PO4-3</t>
  </si>
  <si>
    <t>MgKPO4w6(cr) = Mg+2 + K+ + 6H2O(l) + PO4-3</t>
  </si>
  <si>
    <t>MgKPO4w1(cr) = Mg+2 + K+ + H2O(l) + PO4-3</t>
  </si>
  <si>
    <t>MgHPO4w3(cr) = Mg+2 + 3H2O(l) + HPO4-2</t>
  </si>
  <si>
    <t>MgHPO4w3(cr) = Mg+2 + H+ + 3H2O(l) + PO4-3</t>
  </si>
  <si>
    <t>MgHPO4w7(cr) = Mg+2 + 7H2O(l) + HPO4-2</t>
  </si>
  <si>
    <t>MgHPO4w7(cr) = Mg+2 + H+ + 7H2O(l) + PO4-3</t>
  </si>
  <si>
    <t>Mg2KH(PO4)2w15(cr) = 2Mg+2 + K+ + H+ + 15H2O(l) + 2PO4-3</t>
  </si>
  <si>
    <t>Al2PO4(OH)3(cr) + 3H+ = 2Al+3 + 3H2O(l) + PO4-3</t>
  </si>
  <si>
    <t>AlPO4(cr) = Al+3 + PO4-3</t>
  </si>
  <si>
    <t>Al4(PO4)3(OH)3(cr) + 3H+ = 4Al+3 + 3H2O(l) + 3PO4-3</t>
  </si>
  <si>
    <t>Al3(PO4)2(OH)3w5(cr) + 3H+ = 3Al+3 + 8H2O(l) + 2PO4-3</t>
  </si>
  <si>
    <t>Al2(PO4)(OH)3w(cr) + 3H+ = 2Al+3 + 4H2O(l) + PO4-3</t>
  </si>
  <si>
    <t>AlPO4w2(cr) = Al+3 + 2H2O(l) + PO4-3</t>
  </si>
  <si>
    <t>Ca2Al(PO4)2OH(cr) + H+ = Al+3 + H2O(l) + 2PO4-3 + 2Ca+2</t>
  </si>
  <si>
    <t>KCaAl6(PO4)4(OH)9w3 + 9H+ = 6Al+3 + K+ + 12H2O(l) + 4PO4-3 + Ca+2</t>
  </si>
  <si>
    <t>Ca1.5Al6(PO4)4(OH)9w3(cr) + 9H+ = 6Al+3 + 12H2O(l) + 4PO4-3 + 1.5Ca+2</t>
  </si>
  <si>
    <t>CaAlH(PO4)2w6(cr) = Al+3 + H+ + 6H2O(l) + 2PO4-3 + Ca+2</t>
  </si>
  <si>
    <t>CaAl3(PO4)2(OH)5w(cr) + 5H+ = 3Al+3 + 6H2O(l) + 2PO4-3 + Ca+2</t>
  </si>
  <si>
    <t>Ca2Al2(PO4)3(OH)w7(cr) + H+ = 2Al+3 + 8H2O(l) + 3PO4-3 + 2Ca+2</t>
  </si>
  <si>
    <t>KAl2(PO4)2OHw2(cr) + H+ = 2Al+3 + K+ + 3H2O(l) + 2PO4-3</t>
  </si>
  <si>
    <t>H6K3Al5(PO4)8w18(cr) = 5Al+3 + 3K+ + 6H+ + 18H2O(l) + 8PO4-3</t>
  </si>
  <si>
    <t>Brucite</t>
  </si>
  <si>
    <t>precip? silica</t>
  </si>
  <si>
    <t>-2.5 ??</t>
  </si>
  <si>
    <t>Tricarbonate</t>
  </si>
  <si>
    <t>C3A.5F.5S.8H4.3</t>
  </si>
  <si>
    <t>shorten number</t>
  </si>
  <si>
    <t>RH database</t>
  </si>
  <si>
    <t>Ett(Al)_30</t>
  </si>
  <si>
    <t>Ett(Al)_13</t>
  </si>
  <si>
    <t>Ett(Al)_9</t>
  </si>
  <si>
    <t>Ett(Al)</t>
  </si>
  <si>
    <t>Define rules naming phases</t>
  </si>
  <si>
    <t>PC (Cemdata)</t>
  </si>
  <si>
    <t>Metakaolin</t>
  </si>
  <si>
    <t>alite</t>
  </si>
  <si>
    <t>belite</t>
  </si>
  <si>
    <t>aluminate</t>
  </si>
  <si>
    <t>Barbara</t>
  </si>
  <si>
    <t>HT</t>
  </si>
  <si>
    <t>LT</t>
  </si>
  <si>
    <t>category</t>
  </si>
  <si>
    <t>Fe2</t>
  </si>
  <si>
    <t>FeOH+</t>
  </si>
  <si>
    <t>Fe(OH)2(aq)</t>
  </si>
  <si>
    <t>Fe(OH)3-</t>
  </si>
  <si>
    <t>Fe3</t>
  </si>
  <si>
    <t>FeOH+2</t>
  </si>
  <si>
    <t>Fe(OH)2+</t>
  </si>
  <si>
    <t>Fe(OH)3(aq)</t>
  </si>
  <si>
    <t>Fe(OH)4-</t>
  </si>
  <si>
    <t>Fe(OH)2@</t>
  </si>
  <si>
    <t>Fe|3|OH+2</t>
  </si>
  <si>
    <t>Fe|3|(OH)2+</t>
  </si>
  <si>
    <t>Fe|3|(OH)4-</t>
  </si>
  <si>
    <t>Fe|3|(OH)3@</t>
  </si>
  <si>
    <t>Fe2+ + H2O(l) = FeOH+ + H+</t>
  </si>
  <si>
    <t>Fe2+ + 2 H2O(l) = Fe(OH)2(aq) + 2 H+</t>
  </si>
  <si>
    <t>Fe2+ + 3 H2O(l) = Fe(OH)3- + 3 H+</t>
  </si>
  <si>
    <t>logK test</t>
  </si>
  <si>
    <t>Fe3+ + H2O(l) = FeOH2+ + H+</t>
  </si>
  <si>
    <t>Fe3+ + 2 H2O(l) = Fe(OH)2+ + 2 H+</t>
  </si>
  <si>
    <t>Fe3+ + 3 H2O(l) = Fe(OH)3(aq) + 3 H+</t>
  </si>
  <si>
    <t>Fe3+ + 4 H2O(l) = Fe(OH)4- + 4 H+</t>
  </si>
  <si>
    <t>Magnesite</t>
  </si>
  <si>
    <t>mgs</t>
  </si>
  <si>
    <t>Mg(OH)2</t>
  </si>
  <si>
    <t>CaMg(CO3)2(cr)</t>
  </si>
  <si>
    <t>CaMg(CO3)3</t>
  </si>
  <si>
    <t>MgCO3</t>
  </si>
  <si>
    <t>CaCO3</t>
  </si>
  <si>
    <t>brc</t>
  </si>
  <si>
    <t>1995POK/HEL</t>
  </si>
  <si>
    <r>
      <rPr>
        <b/>
        <sz val="12"/>
        <color rgb="FF000000"/>
        <rFont val="Calibri"/>
        <family val="2"/>
        <scheme val="minor"/>
      </rPr>
      <t>a0</t>
    </r>
    <r>
      <rPr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0000"/>
        <rFont val="Calibri"/>
        <family val="2"/>
        <scheme val="minor"/>
      </rPr>
      <t>a1</t>
    </r>
    <r>
      <rPr>
        <sz val="12"/>
        <color rgb="FF000000"/>
        <rFont val="Calibri"/>
        <family val="2"/>
        <scheme val="minor"/>
      </rPr>
      <t xml:space="preserve">*T + </t>
    </r>
    <r>
      <rPr>
        <b/>
        <sz val="12"/>
        <color rgb="FF000000"/>
        <rFont val="Calibri"/>
        <family val="2"/>
        <scheme val="minor"/>
      </rPr>
      <t>a2</t>
    </r>
    <r>
      <rPr>
        <sz val="12"/>
        <color rgb="FF000000"/>
        <rFont val="Calibri"/>
        <family val="2"/>
        <scheme val="minor"/>
      </rPr>
      <t xml:space="preserve">*T^-2 + a3*T^-0.5 + </t>
    </r>
    <r>
      <rPr>
        <b/>
        <sz val="12"/>
        <color rgb="FF000000"/>
        <rFont val="Calibri"/>
        <family val="2"/>
        <scheme val="minor"/>
      </rPr>
      <t>a4</t>
    </r>
    <r>
      <rPr>
        <sz val="12"/>
        <color rgb="FF000000"/>
        <rFont val="Calibri"/>
        <family val="2"/>
        <scheme val="minor"/>
      </rPr>
      <t>*T^2 + a5*T^3 + + a6*T^4 + a7*T^-3 + a8*T^-1 + a9*T^0.5</t>
    </r>
  </si>
  <si>
    <t>other minerals</t>
  </si>
  <si>
    <t>Corundum</t>
  </si>
  <si>
    <t xml:space="preserve">Li, D., Zeng, D., Yin, X. &amp; Gao, D. (2018): Phase diagrams and thermochemical modeling of salt lake brine systems. III. Li2SO4+H2O, Na2SO4+H2O, K2SO4+H2O, MgSO4+H2O and CaSO4+H2O systems. Calphad 60, 163–176. </t>
  </si>
  <si>
    <t>calculated</t>
  </si>
  <si>
    <t>DrGm [kJ/mol]</t>
  </si>
  <si>
    <t>DrGm_Ref</t>
  </si>
  <si>
    <t>2024bMIR</t>
  </si>
  <si>
    <t>-2.714 +- 0.04 PsiNa logKsp used for CASH+ model</t>
  </si>
  <si>
    <t>NO2-</t>
  </si>
  <si>
    <t>N|3|O2-</t>
  </si>
  <si>
    <t>NH4+</t>
  </si>
  <si>
    <t>N|-3|H4+</t>
  </si>
  <si>
    <t>e-</t>
  </si>
  <si>
    <t xml:space="preserve">NO3- +10H+ + 8e- = NH4+ + 3H2O(l)			</t>
  </si>
  <si>
    <t>-</t>
  </si>
  <si>
    <t>1998CHA</t>
  </si>
  <si>
    <t>Chase, M.W. (1998): NIST-JANAF Thermochemical Tables, 4th Edition.</t>
  </si>
  <si>
    <t>electron</t>
  </si>
  <si>
    <r>
      <t>NO</t>
    </r>
    <r>
      <rPr>
        <vertAlign val="subscript"/>
        <sz val="12"/>
        <color rgb="FF000000"/>
        <rFont val="Calibri"/>
        <family val="2"/>
      </rPr>
      <t>2</t>
    </r>
    <r>
      <rPr>
        <vertAlign val="superscript"/>
        <sz val="12"/>
        <color rgb="FF000000"/>
        <rFont val="Calibri"/>
        <family val="2"/>
      </rPr>
      <t>-</t>
    </r>
  </si>
  <si>
    <r>
      <t>NH</t>
    </r>
    <r>
      <rPr>
        <vertAlign val="subscript"/>
        <sz val="12"/>
        <color rgb="FF000000"/>
        <rFont val="Calibri"/>
        <family val="2"/>
      </rPr>
      <t>4</t>
    </r>
    <r>
      <rPr>
        <vertAlign val="superscript"/>
        <sz val="12"/>
        <color rgb="FF000000"/>
        <rFont val="Calibri"/>
        <family val="2"/>
      </rPr>
      <t>+</t>
    </r>
  </si>
  <si>
    <t>1992WOL</t>
  </si>
  <si>
    <t>Wolery, T.J. (1992): EQ3/6, a software package for geochemical modeling of aqueous systems: Package overview and installation guide (Version 7.0).</t>
  </si>
  <si>
    <t>CaSO4(cr)</t>
  </si>
  <si>
    <t>CaSO4w2(cr)</t>
  </si>
  <si>
    <t>C3AS3(cr)</t>
  </si>
  <si>
    <t>C3FS3(cr)</t>
  </si>
  <si>
    <t>MgCO3(s)</t>
  </si>
  <si>
    <t>Mg(OH)2(s)</t>
  </si>
  <si>
    <t>CaSO4w2(cr) = CaSO4w0.5(cr) + 1.5H2O</t>
  </si>
  <si>
    <t>MgCO3(s) = Mg+2 + CO3-2</t>
  </si>
  <si>
    <t>Mg(OH)2(s) + 2H+ = Mg+2 + 2H2O(l)</t>
  </si>
  <si>
    <t>CaSO4w0.5(cr)</t>
  </si>
  <si>
    <t>a1*10 [cal*mol-1*bar-1]</t>
  </si>
  <si>
    <t>a2*10-2 [cal*mol-1]</t>
  </si>
  <si>
    <t>a3 [cal*K*mol-1*bar-1]</t>
  </si>
  <si>
    <t>a4*10-4[cal*K*mol-1]</t>
  </si>
  <si>
    <t>c1 [cal*K-1*mol-1]</t>
  </si>
  <si>
    <t>c2*10-4 [cal-K*mol-1]</t>
  </si>
  <si>
    <t>w*10-5 [cal*mol-1]</t>
  </si>
  <si>
    <t>2025MIR</t>
  </si>
  <si>
    <t>a8*T-1</t>
  </si>
  <si>
    <r>
      <rPr>
        <b/>
        <sz val="12"/>
        <color rgb="FF000000"/>
        <rFont val="Calibri"/>
        <family val="2"/>
      </rPr>
      <t>a0</t>
    </r>
    <r>
      <rPr>
        <sz val="12"/>
        <color rgb="FF000000"/>
        <rFont val="Calibri"/>
        <family val="2"/>
        <charset val="1"/>
      </rPr>
      <t xml:space="preserve"> + </t>
    </r>
    <r>
      <rPr>
        <b/>
        <sz val="12"/>
        <color rgb="FF000000"/>
        <rFont val="Calibri"/>
        <family val="2"/>
      </rPr>
      <t>a1</t>
    </r>
    <r>
      <rPr>
        <sz val="12"/>
        <color rgb="FF000000"/>
        <rFont val="Calibri"/>
        <family val="2"/>
        <charset val="1"/>
      </rPr>
      <t xml:space="preserve">*T + </t>
    </r>
    <r>
      <rPr>
        <b/>
        <sz val="12"/>
        <color rgb="FF000000"/>
        <rFont val="Calibri"/>
        <family val="2"/>
      </rPr>
      <t>a2</t>
    </r>
    <r>
      <rPr>
        <sz val="12"/>
        <color rgb="FF000000"/>
        <rFont val="Calibri"/>
        <family val="2"/>
        <charset val="1"/>
      </rPr>
      <t xml:space="preserve">*T^-2 + a3*T^-0.5 + </t>
    </r>
    <r>
      <rPr>
        <b/>
        <sz val="12"/>
        <color rgb="FF000000"/>
        <rFont val="Calibri"/>
        <family val="2"/>
      </rPr>
      <t>a4</t>
    </r>
    <r>
      <rPr>
        <sz val="12"/>
        <color rgb="FF000000"/>
        <rFont val="Calibri"/>
        <family val="2"/>
        <charset val="1"/>
      </rPr>
      <t xml:space="preserve">*T^2 + a5*T^3 + + a6*T^4 + a7*T^-3 + </t>
    </r>
    <r>
      <rPr>
        <b/>
        <sz val="12"/>
        <color rgb="FF000000"/>
        <rFont val="Calibri"/>
        <family val="2"/>
      </rPr>
      <t>a8</t>
    </r>
    <r>
      <rPr>
        <sz val="12"/>
        <color rgb="FF000000"/>
        <rFont val="Calibri"/>
        <family val="2"/>
        <charset val="1"/>
      </rPr>
      <t>*T^-1 + a9*T^0.5</t>
    </r>
  </si>
  <si>
    <t>Fe(OH)3(2l) + 3H+ = Fe+3 + 3H2O(l)</t>
  </si>
  <si>
    <t>agg_state</t>
  </si>
  <si>
    <t>g</t>
  </si>
  <si>
    <t>CH4(g)</t>
  </si>
  <si>
    <t>CO2(g)</t>
  </si>
  <si>
    <t>H2(g)</t>
  </si>
  <si>
    <t>H2S(g)</t>
  </si>
  <si>
    <t>H2Se(g)</t>
  </si>
  <si>
    <t>Hg(g)</t>
  </si>
  <si>
    <t>N2(g)</t>
  </si>
  <si>
    <t>O2(g)</t>
  </si>
  <si>
    <t>C|-4|H4</t>
  </si>
  <si>
    <t>C|+4|O2</t>
  </si>
  <si>
    <t>H|0|2</t>
  </si>
  <si>
    <t>H2S|-2|</t>
  </si>
  <si>
    <t>H2Se|-2|</t>
  </si>
  <si>
    <t>Hg|0|</t>
  </si>
  <si>
    <t>N|0|2</t>
  </si>
  <si>
    <t>O|0|2</t>
  </si>
  <si>
    <t>a5*T^3</t>
  </si>
  <si>
    <t>a6*T^4</t>
  </si>
  <si>
    <t>2004OLI/NOL</t>
  </si>
  <si>
    <t>1991GUR/VEY</t>
  </si>
  <si>
    <t>1989GUR/VEY</t>
  </si>
  <si>
    <t>SiO2(cr)</t>
  </si>
  <si>
    <t>Fe2O3(alpha)</t>
  </si>
  <si>
    <t>Fe3O4(cr)</t>
  </si>
  <si>
    <t>FeOOH(alpha)</t>
  </si>
  <si>
    <t>FeOOH(gamma)</t>
  </si>
  <si>
    <t>Fe(OH)3(mic)</t>
  </si>
  <si>
    <t>CaCO3(calcite)</t>
  </si>
  <si>
    <t>_rdc_2-line ferrihydrite</t>
  </si>
  <si>
    <r>
      <t>_rdc_CaSiO</t>
    </r>
    <r>
      <rPr>
        <vertAlign val="sub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  <charset val="1"/>
      </rPr>
      <t>(OH</t>
    </r>
    <r>
      <rPr>
        <sz val="12"/>
        <color rgb="FF000000"/>
        <rFont val="Calibri"/>
        <family val="2"/>
      </rPr>
      <t>)</t>
    </r>
    <r>
      <rPr>
        <vertAlign val="sub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  <charset val="1"/>
      </rPr>
      <t>(aq)</t>
    </r>
  </si>
  <si>
    <t>SOD(OH) + 22H2O(l) = 6Al(OH)4- + 8Na+ + 2OH- + 6Si(OH)4(aq)</t>
  </si>
  <si>
    <t>MOR(Ca) + 0.805Al(OH)4- + 1.485Na+ + 7.0825H2O(l) = 0.75LTA(Na) + 0.34Ca+2 + 3.805Si(OH)4(aq)</t>
  </si>
  <si>
    <t>CAN(NO3) + 20H2O(l) = 2NO3- + 6Al(OH)4- + 8Na+ + 6Si(OH)4(aq)</t>
  </si>
  <si>
    <t>MOR(Na) + 9.29H2O(l) = 0.72Al(OH)4- + 0.72Na+ + 5.28Si(OH)4(aq)</t>
  </si>
  <si>
    <t>LTA(Na) + 2.69H2O(l) = 1.98Al(OH)4- + 1.98Na+ + 2.02Si(OH)4(aq)</t>
  </si>
  <si>
    <t>HEU(Ca)-1 + 13.6H2O(l) = 2.14Al(OH)4- + 1.07Ca+2 + 6.86Si(OH)4(aq)</t>
  </si>
  <si>
    <t>HEU(Ca)-2 + 13.5H2O(l) = 2.14Al(OH)4- + 1.07Ca+2 + 6.86Si(OH)4(aq)</t>
  </si>
  <si>
    <t>STI(Ca) + 11.2H2O(l) = 2.22Al(OH)4- + 1.11Ca+2 + 6.78Si(OH)4(aq)</t>
  </si>
  <si>
    <t>CLI(K) + 9.7H2O(l) = 1.01Al(OH)4- + 1.01K+ + 4.99Si(OH)4(aq)</t>
  </si>
  <si>
    <t>HEU(K) + 13.3H2O(l) = 2.22Al(OH)4- + 2.22K+ + 6.78Si(OH)4(aq)</t>
  </si>
  <si>
    <t>MOR(K) + 9.7H2O(l) = 0.65Al(OH)4- + 0.65K+ + 5.35Si(OH)4(aq)</t>
  </si>
  <si>
    <t>Ett(Fe)</t>
  </si>
  <si>
    <t>I will use name for phase symbol</t>
  </si>
  <si>
    <t>C3FS.8H4.3</t>
  </si>
  <si>
    <t>C3AS.4H5.2</t>
  </si>
  <si>
    <t>C3AS.8H4.3</t>
  </si>
  <si>
    <t>C3FS0.8H4.3</t>
  </si>
  <si>
    <t>C3FS1.3H3.3</t>
  </si>
  <si>
    <t>Al-Fe siliceous hydrogarnet (solid solution)</t>
  </si>
  <si>
    <t xml:space="preserve">C4Ac.5H12 </t>
  </si>
  <si>
    <t>C4Ac.5H10.5</t>
  </si>
  <si>
    <t>C4Ac.5H9</t>
  </si>
  <si>
    <t xml:space="preserve">C4As.5ClH12 </t>
  </si>
  <si>
    <t>Monosulfate_16</t>
  </si>
  <si>
    <t>Monosulfate_14</t>
  </si>
  <si>
    <t>Monosulfate_12</t>
  </si>
  <si>
    <t>Monosulfate_9</t>
  </si>
  <si>
    <t>Straetlingite_7</t>
  </si>
  <si>
    <t>Hemicarbonate_10</t>
  </si>
  <si>
    <t>Hemicarbonate_9</t>
  </si>
  <si>
    <t>Monocarbonate_9</t>
  </si>
  <si>
    <t>Straetlingite_5</t>
  </si>
  <si>
    <t>Monosulfate_10</t>
  </si>
  <si>
    <t>Monosulfate(Fe)</t>
  </si>
  <si>
    <t>Phillips.(Na2.5)</t>
  </si>
  <si>
    <t>Molec._sieve_4A</t>
  </si>
  <si>
    <t>Clinoptil.(Ca)</t>
  </si>
  <si>
    <t>Clinoptil.(K)</t>
  </si>
  <si>
    <t>tetra-Natrol.(K)</t>
  </si>
  <si>
    <t>Hemicarb.(Fe)</t>
  </si>
  <si>
    <t>Monocarb.(Fe)</t>
  </si>
  <si>
    <t>Friedel_s(Fe)</t>
  </si>
  <si>
    <t>Hydran.(FeSi)</t>
  </si>
  <si>
    <t>Hydrga.(AlFeSi)</t>
  </si>
  <si>
    <t>Hydrga.(Si)_4.3</t>
  </si>
  <si>
    <t>Hydrga.(Si)_5.2</t>
  </si>
  <si>
    <t>Hydran.(FeSi)_3</t>
  </si>
  <si>
    <t>K-apatite</t>
  </si>
  <si>
    <t>CO2(aq)</t>
  </si>
  <si>
    <t>CO2</t>
  </si>
  <si>
    <t>HCO3- + H+ = CO2(aq) + H2O(l)</t>
  </si>
  <si>
    <t>CaSiO3</t>
  </si>
  <si>
    <t>_rdc_Gypsum</t>
  </si>
  <si>
    <t>CaSO4w2(cr) = Ca2+ + SO4-2 + 2H2O(l)</t>
  </si>
  <si>
    <t>CaSiO3(cr)</t>
  </si>
  <si>
    <t>dGr [kJ/mol</t>
  </si>
  <si>
    <t>NEA</t>
  </si>
  <si>
    <t>xu21</t>
  </si>
  <si>
    <t>xu 2020</t>
  </si>
  <si>
    <t>xu21?</t>
  </si>
  <si>
    <t>DsR</t>
  </si>
  <si>
    <t>lot2019</t>
  </si>
  <si>
    <t>lot19</t>
  </si>
  <si>
    <t>nigaru</t>
  </si>
  <si>
    <t>KP2O7-3</t>
  </si>
  <si>
    <t>Lothenbach_ea:2019b:pap:</t>
  </si>
  <si>
    <t>KHPO4- + HPO4-2 = H2O(l) + KP2O7-3</t>
  </si>
  <si>
    <t>MgH2P2O7@</t>
  </si>
  <si>
    <t>MgHP2O7-</t>
  </si>
  <si>
    <t>MgP2O7-2</t>
  </si>
  <si>
    <t>MgHP2O8-3</t>
  </si>
  <si>
    <t>NaP2O7-3</t>
  </si>
  <si>
    <t>AlPO4@</t>
  </si>
  <si>
    <t>AlHPO4+</t>
  </si>
  <si>
    <t>AlH4P2O8+</t>
  </si>
  <si>
    <t>AlH2PO4+2</t>
  </si>
  <si>
    <t>Xu_ea:2022:pap:</t>
  </si>
  <si>
    <t>Al+3 + PO4-3 + H+ = AlHPO4+</t>
  </si>
  <si>
    <t>Al+3 + 2PO4-3 + 4H+ = AlH4P2O8+</t>
  </si>
  <si>
    <t>Al+3 + PO4-3 + 2H+ = AlH2PO4+2</t>
  </si>
  <si>
    <t>Al+3 + PO4-3 = AlPO4@</t>
  </si>
  <si>
    <t>NaHPO4- + HPO4-2 = H2O(l) + NaP2O7-3</t>
  </si>
  <si>
    <t>MgOH+ + H3PO4@ + PO4-3 = H+ + H2O(l) + MgHP2O8-3</t>
  </si>
  <si>
    <t>MgPO4- + H2PO4- = H2O(l) + MgP2O7-2</t>
  </si>
  <si>
    <t>MgPO4- + H3PO4@ = H2O(l) + MgHP2O7-</t>
  </si>
  <si>
    <t>MgHPO4@ + H2PO4@ = H2O(l) + MgH2P2O7@</t>
  </si>
  <si>
    <t>Ref_GEMS</t>
  </si>
  <si>
    <t>Shock_ea:1997:pap:</t>
  </si>
  <si>
    <t>Cox_ea:1998:dat:</t>
  </si>
  <si>
    <t>Brown_ea:2016:pap:</t>
  </si>
  <si>
    <t>Hummel_ea:2023:dat:</t>
  </si>
  <si>
    <t>Shen_ea:2019:pap:</t>
  </si>
  <si>
    <t>Ma_ea:2020:pap:</t>
  </si>
  <si>
    <t>Ma_ea:2021:pap:</t>
  </si>
  <si>
    <t>Miron_ea:2022:pap:</t>
  </si>
  <si>
    <t>Li_ea:2018:pap:</t>
  </si>
  <si>
    <t>Miron:2024:rep</t>
  </si>
  <si>
    <t>Tanger_ea:1988:pap</t>
  </si>
  <si>
    <t>Robie_ea:1995:rep:</t>
  </si>
  <si>
    <t>Blanc_ea:2015:pap</t>
  </si>
  <si>
    <t>Ma_ea_b:2020:pap:</t>
  </si>
  <si>
    <t>Lothenbach_ea:2021:pap</t>
  </si>
  <si>
    <t>Myers_ea:2014:pap:</t>
  </si>
  <si>
    <t>Miron_ea_b:2022:pap:</t>
  </si>
  <si>
    <t>Chase:1998:rep:</t>
  </si>
  <si>
    <t>Miron_b:2024:rep:</t>
  </si>
  <si>
    <t>Kulik:2011:pap:</t>
  </si>
  <si>
    <t>Wolery:1992:rep:</t>
  </si>
  <si>
    <t>Miron:2025:rep:</t>
  </si>
  <si>
    <t>Lothenbach, B., Le Saout, G., Ben Haha, M., Figi, R., Wieland, E. (2012): Hydration of a low-alkali CEM III/B-SiO2 cement (LAC). Cement and Concrete Research 41, 410-423.</t>
  </si>
  <si>
    <t>Myers R., Bernal, S.A., Provis J.L. (2014): A thermodynamic model for C-(N-)A-S-H gel: CNASH_ss. Derivation and validation. Cement and Concrete Research 66, 27-47.</t>
  </si>
  <si>
    <t>Nied, D., Enemark-Rasmussen, K., L'Hôpital, E., Skibsted, J., Lothenbach, B. (2016): Properties of magnesium silicate hydrates (M-S-H), Cem. Concr. Res. 79, 323–332.</t>
  </si>
  <si>
    <t>Miron, G.D. (2024): PSI/Nagra TDB, effect of temperature and pressure: I. Selection of molar volumes for solid phases and T-P dependency for master and selected aqueous species. TM 44-24-03, 60 pp.</t>
  </si>
  <si>
    <t>Miron, G.D (2025): PSI/Nagra TDB, effect of temperature and pressure: II. Update of temperature dependency for majort rock forming solids and carbonate aqeuous equilibira. TM-44-25-xx, xx pp.</t>
  </si>
  <si>
    <t>Shock_ea:1988:pap</t>
  </si>
  <si>
    <t>Nied_ea:2016:pap</t>
  </si>
  <si>
    <t>Kulik_ea:2022:pap</t>
  </si>
  <si>
    <t>Miron, G.D (2024): Si-Al Pitzer dataset: Consistent set of Pitzer activity model interaction parameters of Al and Si species, for modelling cements in saline systems with THEREDA . ChemRxiv. 2024; doi:10.26434/chemrxiv-2024-m02f1-v2</t>
  </si>
  <si>
    <t>Gurvich, L. V., Veyts, I. V., Alcock, C. B. (1991): Thermodynamic Properties of Individual Substances, 4th Ed., Vol. 2: Elements carbon, silicon, germanium, tin, lead, and their compounds, vol. 2, Hemisphere, New York, N. Y., 569 pp.</t>
  </si>
  <si>
    <t>Gurvich_ea:1991:book:</t>
  </si>
  <si>
    <t>Gurvich, L. V., Veyts, I. V., Alcock, C. B. (1989): Thermodynamics properties of individual substances. Volume 1. Elements O, H/D, T/, F, Cl, Br, I, He, Ne, Ar, Kr, Xe, Rn, S, N, P, and their compounds. Part 1 - Methods and computation. Part 2 - Tables (4th revised and enlarged edition)</t>
  </si>
  <si>
    <t>Gurvich_ea:1989:book:</t>
  </si>
  <si>
    <t>Olin, A., Nolang, G., Osadchii, E., Ohman, L.-O., Rosen, E. (2005): Chemical Thermodynamic Vol. 7: Chemical Thermodynamics of Selenium, OECD Nuclear Energy Agency, Data Bank, Elsevier, Amsterdam, 851 p.</t>
  </si>
  <si>
    <t>Lemire_ea:2013:book:</t>
  </si>
  <si>
    <t>Lemire_ea:2020:book:</t>
  </si>
  <si>
    <t>Rand_ea:2024:book:</t>
  </si>
  <si>
    <t>Olin_ea:2005:book: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</si>
</sst>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409]d\-mmm\-yyyy;@"/>
    <numFmt numFmtId="165" formatCode="0.000"/>
    <numFmt numFmtId="166" formatCode="0.000E+00"/>
    <numFmt numFmtId="167" formatCode="0.0000E+00"/>
    <numFmt numFmtId="168" formatCode="0.00000E+00"/>
  </numFmts>
  <fonts count="3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</font>
    <font>
      <i/>
      <sz val="10"/>
      <color rgb="FF000000"/>
      <name val="Symbol"/>
      <family val="1"/>
      <charset val="2"/>
    </font>
    <font>
      <i/>
      <sz val="12"/>
      <color rgb="FFFF0000"/>
      <name val="Calibri"/>
      <family val="2"/>
      <charset val="1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8"/>
      <name val="Calibri"/>
      <family val="2"/>
      <charset val="1"/>
    </font>
    <font>
      <sz val="12"/>
      <name val="Calibri"/>
      <family val="2"/>
      <charset val="1"/>
    </font>
    <font>
      <i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vertAlign val="subscript"/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b/>
      <i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color theme="4"/>
      <name val="Calibri"/>
      <family val="2"/>
      <scheme val="minor"/>
    </font>
    <font>
      <sz val="12"/>
      <color theme="4"/>
      <name val="Calibri"/>
      <family val="2"/>
      <charset val="1"/>
    </font>
    <font>
      <i/>
      <sz val="12"/>
      <color theme="4"/>
      <name val="Calibri"/>
      <family val="2"/>
    </font>
    <font>
      <sz val="12"/>
      <color theme="4"/>
      <name val="Calibri"/>
      <family val="2"/>
    </font>
    <font>
      <sz val="12"/>
      <color theme="1"/>
      <name val="Calibr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/>
  </cellStyleXfs>
  <cellXfs count="129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justify"/>
    </xf>
    <xf numFmtId="0" fontId="1" fillId="0" borderId="0" xfId="0" applyFont="1" applyAlignment="1">
      <alignment horizontal="justify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8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top"/>
    </xf>
    <xf numFmtId="165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7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5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right"/>
    </xf>
    <xf numFmtId="165" fontId="7" fillId="0" borderId="0" xfId="0" applyNumberFormat="1" applyFont="1"/>
    <xf numFmtId="165" fontId="0" fillId="0" borderId="0" xfId="0" applyNumberFormat="1"/>
    <xf numFmtId="2" fontId="0" fillId="0" borderId="0" xfId="0" applyNumberFormat="1"/>
    <xf numFmtId="11" fontId="0" fillId="0" borderId="0" xfId="0" applyNumberFormat="1"/>
    <xf numFmtId="166" fontId="0" fillId="0" borderId="0" xfId="0" applyNumberFormat="1"/>
    <xf numFmtId="166" fontId="4" fillId="0" borderId="0" xfId="0" applyNumberFormat="1" applyFont="1" applyAlignment="1">
      <alignment vertical="top"/>
    </xf>
    <xf numFmtId="0" fontId="12" fillId="0" borderId="0" xfId="0" applyFont="1"/>
    <xf numFmtId="0" fontId="4" fillId="0" borderId="0" xfId="0" applyFont="1" applyAlignment="1">
      <alignment horizontal="left" vertical="top"/>
    </xf>
    <xf numFmtId="165" fontId="4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5" fillId="0" borderId="0" xfId="0" applyFont="1"/>
    <xf numFmtId="0" fontId="3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165" fontId="1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2" fontId="0" fillId="0" borderId="0" xfId="0" applyNumberFormat="1" applyAlignment="1">
      <alignment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 vertical="top"/>
    </xf>
    <xf numFmtId="165" fontId="4" fillId="0" borderId="0" xfId="0" applyNumberFormat="1" applyFont="1" applyAlignment="1">
      <alignment horizontal="right" vertical="top"/>
    </xf>
    <xf numFmtId="2" fontId="4" fillId="0" borderId="0" xfId="0" applyNumberFormat="1" applyFont="1" applyAlignment="1">
      <alignment horizontal="right" vertical="top"/>
    </xf>
    <xf numFmtId="0" fontId="15" fillId="0" borderId="0" xfId="0" applyFont="1" applyAlignment="1">
      <alignment vertical="center" wrapText="1"/>
    </xf>
    <xf numFmtId="0" fontId="15" fillId="0" borderId="0" xfId="0" applyFont="1"/>
    <xf numFmtId="165" fontId="14" fillId="0" borderId="0" xfId="0" applyNumberFormat="1" applyFont="1" applyAlignment="1">
      <alignment vertical="top"/>
    </xf>
    <xf numFmtId="165" fontId="14" fillId="0" borderId="0" xfId="0" applyNumberFormat="1" applyFont="1" applyAlignment="1">
      <alignment vertical="center" wrapText="1"/>
    </xf>
    <xf numFmtId="0" fontId="16" fillId="2" borderId="0" xfId="0" applyFont="1" applyFill="1" applyAlignment="1">
      <alignment vertical="top"/>
    </xf>
    <xf numFmtId="0" fontId="15" fillId="2" borderId="0" xfId="0" applyFont="1" applyFill="1" applyAlignment="1">
      <alignment vertical="top"/>
    </xf>
    <xf numFmtId="165" fontId="15" fillId="0" borderId="0" xfId="0" applyNumberFormat="1" applyFont="1" applyAlignment="1">
      <alignment vertical="top"/>
    </xf>
    <xf numFmtId="0" fontId="17" fillId="0" borderId="0" xfId="0" applyFont="1"/>
    <xf numFmtId="165" fontId="17" fillId="0" borderId="0" xfId="0" applyNumberFormat="1" applyFont="1" applyAlignment="1">
      <alignment vertical="top"/>
    </xf>
    <xf numFmtId="165" fontId="17" fillId="0" borderId="0" xfId="0" applyNumberFormat="1" applyFont="1"/>
    <xf numFmtId="165" fontId="16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0" fontId="17" fillId="0" borderId="0" xfId="0" applyFont="1" applyAlignment="1">
      <alignment vertical="top"/>
    </xf>
    <xf numFmtId="167" fontId="17" fillId="0" borderId="0" xfId="0" applyNumberFormat="1" applyFont="1" applyAlignment="1">
      <alignment vertical="top"/>
    </xf>
    <xf numFmtId="0" fontId="14" fillId="0" borderId="0" xfId="0" applyFont="1"/>
    <xf numFmtId="165" fontId="14" fillId="0" borderId="0" xfId="0" applyNumberFormat="1" applyFont="1"/>
    <xf numFmtId="0" fontId="14" fillId="0" borderId="0" xfId="0" applyFont="1" applyAlignment="1">
      <alignment vertical="top"/>
    </xf>
    <xf numFmtId="167" fontId="15" fillId="0" borderId="0" xfId="0" applyNumberFormat="1" applyFont="1" applyAlignment="1">
      <alignment vertical="top"/>
    </xf>
    <xf numFmtId="1" fontId="15" fillId="0" borderId="0" xfId="0" applyNumberFormat="1" applyFont="1" applyAlignment="1">
      <alignment vertical="top"/>
    </xf>
    <xf numFmtId="167" fontId="17" fillId="0" borderId="0" xfId="0" applyNumberFormat="1" applyFont="1"/>
    <xf numFmtId="11" fontId="17" fillId="0" borderId="0" xfId="0" applyNumberFormat="1" applyFont="1" applyAlignment="1">
      <alignment vertical="top"/>
    </xf>
    <xf numFmtId="165" fontId="15" fillId="0" borderId="0" xfId="0" applyNumberFormat="1" applyFont="1"/>
    <xf numFmtId="2" fontId="15" fillId="0" borderId="0" xfId="0" applyNumberFormat="1" applyFont="1" applyAlignment="1">
      <alignment vertical="top"/>
    </xf>
    <xf numFmtId="2" fontId="4" fillId="0" borderId="0" xfId="0" applyNumberFormat="1" applyFont="1" applyAlignment="1">
      <alignment horizontal="left" vertical="top"/>
    </xf>
    <xf numFmtId="165" fontId="4" fillId="0" borderId="0" xfId="0" quotePrefix="1" applyNumberFormat="1" applyFont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165" fontId="21" fillId="7" borderId="0" xfId="0" applyNumberFormat="1" applyFont="1" applyFill="1" applyAlignment="1">
      <alignment horizontal="left" vertical="top"/>
    </xf>
    <xf numFmtId="165" fontId="22" fillId="7" borderId="0" xfId="0" applyNumberFormat="1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165" fontId="23" fillId="0" borderId="0" xfId="0" applyNumberFormat="1" applyFont="1" applyAlignment="1">
      <alignment vertical="top"/>
    </xf>
    <xf numFmtId="165" fontId="23" fillId="0" borderId="0" xfId="0" applyNumberFormat="1" applyFont="1"/>
    <xf numFmtId="165" fontId="23" fillId="0" borderId="0" xfId="0" applyNumberFormat="1" applyFont="1" applyAlignment="1">
      <alignment vertical="center"/>
    </xf>
    <xf numFmtId="2" fontId="16" fillId="0" borderId="0" xfId="0" applyNumberFormat="1" applyFont="1" applyAlignment="1">
      <alignment vertical="top"/>
    </xf>
    <xf numFmtId="2" fontId="23" fillId="0" borderId="0" xfId="0" applyNumberFormat="1" applyFont="1" applyAlignment="1">
      <alignment vertical="top"/>
    </xf>
    <xf numFmtId="165" fontId="24" fillId="0" borderId="0" xfId="0" applyNumberFormat="1" applyFont="1"/>
    <xf numFmtId="165" fontId="24" fillId="0" borderId="0" xfId="0" applyNumberFormat="1" applyFont="1" applyAlignment="1">
      <alignment vertical="top"/>
    </xf>
    <xf numFmtId="0" fontId="25" fillId="0" borderId="0" xfId="0" applyFont="1" applyAlignment="1">
      <alignment horizontal="left" vertical="top"/>
    </xf>
    <xf numFmtId="2" fontId="24" fillId="0" borderId="0" xfId="0" applyNumberFormat="1" applyFont="1" applyAlignment="1">
      <alignment vertical="center"/>
    </xf>
    <xf numFmtId="2" fontId="24" fillId="0" borderId="0" xfId="0" applyNumberFormat="1" applyFont="1"/>
    <xf numFmtId="0" fontId="24" fillId="0" borderId="0" xfId="0" applyFont="1"/>
    <xf numFmtId="165" fontId="16" fillId="0" borderId="0" xfId="0" applyNumberFormat="1" applyFont="1"/>
    <xf numFmtId="2" fontId="23" fillId="0" borderId="0" xfId="0" applyNumberFormat="1" applyFont="1"/>
    <xf numFmtId="2" fontId="16" fillId="0" borderId="0" xfId="0" applyNumberFormat="1" applyFont="1"/>
    <xf numFmtId="165" fontId="24" fillId="0" borderId="0" xfId="0" applyNumberFormat="1" applyFont="1" applyAlignment="1">
      <alignment wrapText="1"/>
    </xf>
    <xf numFmtId="0" fontId="22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5" fillId="0" borderId="0" xfId="0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26" fillId="0" borderId="0" xfId="0" applyFont="1" applyAlignment="1">
      <alignment vertical="top"/>
    </xf>
    <xf numFmtId="165" fontId="27" fillId="0" borderId="0" xfId="0" applyNumberFormat="1" applyFont="1"/>
    <xf numFmtId="2" fontId="27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165" fontId="29" fillId="0" borderId="0" xfId="0" applyNumberFormat="1" applyFont="1"/>
    <xf numFmtId="0" fontId="12" fillId="0" borderId="0" xfId="0" applyFont="1" applyAlignment="1">
      <alignment horizontal="left" vertical="top"/>
    </xf>
    <xf numFmtId="168" fontId="0" fillId="0" borderId="0" xfId="0" applyNumberFormat="1"/>
    <xf numFmtId="0" fontId="0" fillId="0" borderId="0" xfId="0" applyFill="1"/>
    <xf numFmtId="0" fontId="12" fillId="0" borderId="0" xfId="0" applyFont="1" applyFill="1"/>
    <xf numFmtId="0" fontId="0" fillId="8" borderId="0" xfId="0" applyFill="1"/>
    <xf numFmtId="0" fontId="30" fillId="0" borderId="0" xfId="0" applyFont="1" applyAlignment="1">
      <alignment horizontal="left" vertical="top"/>
    </xf>
    <xf numFmtId="165" fontId="0" fillId="0" borderId="0" xfId="0" applyNumberFormat="1" applyAlignment="1">
      <alignment horizontal="left"/>
    </xf>
    <xf numFmtId="0" fontId="13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left" vertical="top"/>
    </xf>
    <xf numFmtId="165" fontId="24" fillId="0" borderId="0" xfId="0" applyNumberFormat="1" applyFont="1" applyFill="1"/>
    <xf numFmtId="0" fontId="31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 applyFill="1"/>
    <xf numFmtId="0" fontId="23" fillId="0" borderId="0" xfId="0" applyFont="1" applyFill="1"/>
    <xf numFmtId="0" fontId="33" fillId="0" borderId="0" xfId="0" applyFont="1"/>
    <xf numFmtId="0" fontId="34" fillId="0" borderId="0" xfId="0" applyFont="1" applyFill="1"/>
    <xf numFmtId="165" fontId="32" fillId="0" borderId="0" xfId="0" applyNumberFormat="1" applyFont="1" applyFill="1"/>
  </cellXfs>
  <cellStyles count="2">
    <cellStyle name="Normal" xfId="0" builtinId="0"/>
    <cellStyle name="Standard 2" xfId="1" xr:uid="{5C399045-9138-4515-B3A9-79D9377F9611}"/>
  </cellStyles>
  <dxfs count="12">
    <dxf>
      <font>
        <strike/>
        <color rgb="FFFF0000"/>
      </font>
      <numFmt numFmtId="30" formatCode="@"/>
      <fill>
        <patternFill patternType="none">
          <bgColor auto="1"/>
        </patternFill>
      </fill>
    </dxf>
    <dxf>
      <font>
        <strike/>
        <color rgb="FFFF0000"/>
      </font>
      <numFmt numFmtId="30" formatCode="@"/>
      <fill>
        <patternFill patternType="none">
          <bgColor auto="1"/>
        </patternFill>
      </fill>
    </dxf>
    <dxf>
      <font>
        <strike/>
        <color rgb="FFFF0000"/>
      </font>
      <numFmt numFmtId="30" formatCode="@"/>
      <fill>
        <patternFill patternType="none">
          <bgColor auto="1"/>
        </patternFill>
      </fill>
    </dxf>
    <dxf>
      <font>
        <strike/>
        <color rgb="FFFF0000"/>
      </font>
      <numFmt numFmtId="30" formatCode="@"/>
      <fill>
        <patternFill patternType="none">
          <bgColor auto="1"/>
        </patternFill>
      </fill>
    </dxf>
    <dxf>
      <font>
        <strike/>
        <color rgb="FFFF0000"/>
      </font>
      <numFmt numFmtId="30" formatCode="@"/>
      <fill>
        <patternFill patternType="none">
          <bgColor auto="1"/>
        </patternFill>
      </fill>
    </dxf>
    <dxf>
      <font>
        <strike/>
        <color rgb="FFFF0000"/>
      </font>
      <numFmt numFmtId="30" formatCode="@"/>
      <fill>
        <patternFill patternType="none">
          <bgColor auto="1"/>
        </patternFill>
      </fill>
    </dxf>
    <dxf>
      <font>
        <strike/>
        <color rgb="FFFF0000"/>
      </font>
      <numFmt numFmtId="30" formatCode="@"/>
      <fill>
        <patternFill patternType="none">
          <bgColor auto="1"/>
        </patternFill>
      </fill>
    </dxf>
    <dxf>
      <font>
        <strike/>
        <color rgb="FFFF0000"/>
      </font>
      <numFmt numFmtId="30" formatCode="@"/>
      <fill>
        <patternFill patternType="none">
          <bgColor auto="1"/>
        </patternFill>
      </fill>
    </dxf>
    <dxf>
      <font>
        <strike/>
        <color rgb="FFFF0000"/>
      </font>
      <numFmt numFmtId="30" formatCode="@"/>
      <fill>
        <patternFill patternType="none">
          <bgColor auto="1"/>
        </patternFill>
      </fill>
    </dxf>
    <dxf>
      <font>
        <strike/>
        <color rgb="FFFF0000"/>
      </font>
      <numFmt numFmtId="30" formatCode="@"/>
      <fill>
        <patternFill patternType="none">
          <bgColor auto="1"/>
        </patternFill>
      </fill>
    </dxf>
    <dxf>
      <font>
        <strike/>
        <color rgb="FFFF0000"/>
      </font>
      <numFmt numFmtId="30" formatCode="@"/>
      <fill>
        <patternFill patternType="none">
          <bgColor auto="1"/>
        </patternFill>
      </fill>
    </dxf>
    <dxf>
      <font>
        <strike/>
        <color rgb="FFFF0000"/>
      </font>
      <numFmt numFmtId="30" formatCode="@"/>
      <fill>
        <patternFill patternType="none">
          <bgColor auto="1"/>
        </patternFill>
      </fill>
    </dxf>
  </dxfs>
  <tableStyles count="1" defaultTableStyle="TableStyleMedium2" defaultPivotStyle="PivotStyleLight16">
    <tableStyle name="PivotTable Style 1" table="0" count="0" xr9:uid="{8AEBB05E-F539-440C-B3D8-D65B73787023}"/>
  </tableStyles>
  <colors>
    <indexedColors>
      <rgbColor rgb="FF000000"/>
      <rgbColor rgb="FFFCE4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545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ron\switchdrive\Thermodynamics\Databases\PSI2021\TDB_2020_for_Dan\TDB_2020_Data_tables\Phosphate_data_2024.xlsx" TargetMode="External"/><Relationship Id="rId1" Type="http://schemas.openxmlformats.org/officeDocument/2006/relationships/externalLinkPath" Target="file:///C:\Users\miron\switchdrive\Thermodynamics\Databases\PSI2021\TDB_2020_for_Dan\TDB_2020_Data_tables\Phosphate_data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Phosphate aq. ReacDC"/>
      <sheetName val="Phosphate solids ReacDC"/>
      <sheetName val="Phosphate SIT coefficients"/>
    </sheetNames>
    <sheetDataSet>
      <sheetData sheetId="0"/>
      <sheetData sheetId="1"/>
      <sheetData sheetId="2">
        <row r="2">
          <cell r="B2" t="str">
            <v>MgHPO4w3(cr)</v>
          </cell>
        </row>
        <row r="7">
          <cell r="F7">
            <v>22.41</v>
          </cell>
          <cell r="G7">
            <v>0.3</v>
          </cell>
        </row>
        <row r="8">
          <cell r="B8" t="str">
            <v>Mg3(PO4)2w4(cr)</v>
          </cell>
          <cell r="F8">
            <v>23.5</v>
          </cell>
        </row>
        <row r="9">
          <cell r="F9">
            <v>25.3</v>
          </cell>
        </row>
        <row r="10">
          <cell r="F10">
            <v>23.03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 Miron PSI" id="{F3159F18-ECD6-4F3E-9EEB-8C4F3FADD977}" userId="43f9d20c1ac386c3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" dT="2025-04-30T11:58:56.18" personId="{F3159F18-ECD6-4F3E-9EEB-8C4F3FADD977}" id="{EC8863C8-3B44-456E-A35F-E4E8C27073FF}">
    <text>TDB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5-03-28T13:46:29.01" personId="{F3159F18-ECD6-4F3E-9EEB-8C4F3FADD977}" id="{0F1D94C3-AC1D-4EC6-B09F-21F1C42A860E}">
    <text>=K11-AVERAGE(K4-K3,K8-K7) possible 121.7</text>
  </threadedComment>
  <threadedComment ref="L10" dT="2025-03-28T13:47:36.97" personId="{F3159F18-ECD6-4F3E-9EEB-8C4F3FADD977}" id="{EA3ECE87-6FCA-4EE9-AE0D-6E6213513727}">
    <text>=SQRT(L8^2+L7^2+L4^2+L3^2)</text>
  </threadedComment>
  <threadedComment ref="H14" dT="2025-01-09T14:38:01.12" personId="{F3159F18-ECD6-4F3E-9EEB-8C4F3FADD977}" id="{8F9CA61F-0A65-4591-ACF4-AAB0476B272C}">
    <text>temperature.xlsx</text>
  </threadedComment>
  <threadedComment ref="Q16" dT="2025-01-09T17:55:30.45" personId="{F3159F18-ECD6-4F3E-9EEB-8C4F3FADD977}" id="{F5F9831B-DA96-4AE5-85F2-DE8AC72115E0}">
    <text>PSINa1990 used Cp from Wagman1982 to calculate the Cp of reaction 277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4-12-20T09:24:18.38" personId="{F3159F18-ECD6-4F3E-9EEB-8C4F3FADD977}" id="{A7005480-6FC1-45DE-9580-F33E2C677652}">
    <text xml:space="preserve">https://www.unige.ch/sciences/terre/research/Groups/mineral_resources/opaques/ore_abbreviations.php
</text>
    <extLst>
      <x:ext xmlns:xltc2="http://schemas.microsoft.com/office/spreadsheetml/2020/threadedcomments2" uri="{F7C98A9C-CBB3-438F-8F68-D28B6AF4A901}">
        <xltc2:checksum>556147396</xltc2:checksum>
        <xltc2:hyperlink startIndex="0" length="99" url="https://www.unige.ch/sciences/terre/research/Groups/mineral_resources/opaques/ore_abbreviations.php"/>
      </x:ext>
    </extLst>
  </threadedComment>
  <threadedComment ref="H13" dT="2024-08-14T14:03:26.05" personId="{F3159F18-ECD6-4F3E-9EEB-8C4F3FADD977}" id="{92AECEB7-025D-4E24-8612-1A3BA22C6942}">
    <text>fixed, consistent with S and H</text>
  </threadedComment>
  <threadedComment ref="H17" dT="2025-04-30T07:45:45.76" personId="{F3159F18-ECD6-4F3E-9EEB-8C4F3FADD977}" id="{B63D8267-DB56-4636-B94C-3E3BA60ED657}">
    <text>-6278.5</text>
  </threadedComment>
  <threadedComment ref="H18" dT="2025-04-30T07:46:30.91" personId="{F3159F18-ECD6-4F3E-9EEB-8C4F3FADD977}" id="{338B581C-04D1-41AB-B12B-C62E7A55D299}">
    <text>-5427.000</text>
  </threadedComment>
  <threadedComment ref="H19" dT="2025-04-30T08:15:57.07" personId="{F3159F18-ECD6-4F3E-9EEB-8C4F3FADD977}" id="{768252B9-9BDD-441E-8FAB-6183793BE45F}">
    <text>-1549.000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" dT="2024-12-11T15:27:02.73" personId="{F3159F18-ECD6-4F3E-9EEB-8C4F3FADD977}" id="{A827B257-9D21-4F64-AD88-EDA134A43D20}">
    <text>https://en.wikipedia.org/wiki/Cement_chemist_notation</text>
    <extLst>
      <x:ext xmlns:xltc2="http://schemas.microsoft.com/office/spreadsheetml/2020/threadedcomments2" uri="{F7C98A9C-CBB3-438F-8F68-D28B6AF4A901}">
        <xltc2:checksum>2496497174</xltc2:checksum>
        <xltc2:hyperlink startIndex="0" length="53" url="https://en.wikipedia.org/wiki/Cement_chemist_notation"/>
      </x:ext>
    </extLs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4-12-11T15:27:02.73" personId="{F3159F18-ECD6-4F3E-9EEB-8C4F3FADD977}" id="{4A87016A-6FF3-4E0F-85AC-739C99F37CCF}">
    <text>https://en.wikipedia.org/wiki/Cement_chemist_notation</text>
    <extLst>
      <x:ext xmlns:xltc2="http://schemas.microsoft.com/office/spreadsheetml/2020/threadedcomments2" uri="{F7C98A9C-CBB3-438F-8F68-D28B6AF4A901}">
        <xltc2:checksum>2496497174</xltc2:checksum>
        <xltc2:hyperlink startIndex="0" length="53" url="https://en.wikipedia.org/wiki/Cement_chemist_notation"/>
      </x:ext>
    </extLs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4-12-11T15:27:02.73" personId="{F3159F18-ECD6-4F3E-9EEB-8C4F3FADD977}" id="{9466175E-FB52-4D1E-B7A1-C550F98BD6AC}">
    <text>https://en.wikipedia.org/wiki/Cement_chemist_notation</text>
    <extLst>
      <x:ext xmlns:xltc2="http://schemas.microsoft.com/office/spreadsheetml/2020/threadedcomments2" uri="{F7C98A9C-CBB3-438F-8F68-D28B6AF4A901}">
        <xltc2:checksum>2496497174</xltc2:checksum>
        <xltc2:hyperlink startIndex="0" length="53" url="https://en.wikipedia.org/wiki/Cement_chemist_notation"/>
      </x:ext>
    </extLs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4-12-11T15:27:02.73" personId="{F3159F18-ECD6-4F3E-9EEB-8C4F3FADD977}" id="{EB70672F-F921-45E1-98A9-45807F887F31}">
    <text>https://en.wikipedia.org/wiki/Cement_chemist_notation</text>
    <extLst>
      <x:ext xmlns:xltc2="http://schemas.microsoft.com/office/spreadsheetml/2020/threadedcomments2" uri="{F7C98A9C-CBB3-438F-8F68-D28B6AF4A901}">
        <xltc2:checksum>2496497174</xltc2:checksum>
        <xltc2:hyperlink startIndex="0" length="53" url="https://en.wikipedia.org/wiki/Cement_chemist_notation"/>
      </x:ext>
    </extLs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4-12-11T15:27:02.73" personId="{F3159F18-ECD6-4F3E-9EEB-8C4F3FADD977}" id="{665E0257-1938-4EC3-9086-9A86B56EB1DF}">
    <text>https://en.wikipedia.org/wiki/Cement_chemist_notation</text>
    <extLst>
      <x:ext xmlns:xltc2="http://schemas.microsoft.com/office/spreadsheetml/2020/threadedcomments2" uri="{F7C98A9C-CBB3-438F-8F68-D28B6AF4A901}">
        <xltc2:checksum>2496497174</xltc2:checksum>
        <xltc2:hyperlink startIndex="0" length="53" url="https://en.wikipedia.org/wiki/Cement_chemist_notation"/>
      </x:ext>
    </extLs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4-12-11T15:27:02.73" personId="{F3159F18-ECD6-4F3E-9EEB-8C4F3FADD977}" id="{C5676E22-7CA6-480D-9E54-6409F6EAED82}">
    <text>https://en.wikipedia.org/wiki/Cement_chemist_notation</text>
    <extLst>
      <x:ext xmlns:xltc2="http://schemas.microsoft.com/office/spreadsheetml/2020/threadedcomments2" uri="{F7C98A9C-CBB3-438F-8F68-D28B6AF4A901}">
        <xltc2:checksum>2496497174</xltc2:checksum>
        <xltc2:hyperlink startIndex="0" length="53" url="https://en.wikipedia.org/wiki/Cement_chemist_notation"/>
      </x:ext>
    </extLs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38"/>
  <sheetViews>
    <sheetView topLeftCell="B1" zoomScaleNormal="100" workbookViewId="0">
      <selection activeCell="G20" sqref="G20"/>
    </sheetView>
  </sheetViews>
  <sheetFormatPr defaultColWidth="10.6640625" defaultRowHeight="15.5" x14ac:dyDescent="0.35"/>
  <cols>
    <col min="1" max="1" width="11.6640625" style="1" customWidth="1"/>
    <col min="2" max="2" width="109.1640625" style="1" customWidth="1"/>
    <col min="3" max="3" width="10.6640625" style="1"/>
    <col min="4" max="4" width="11.6640625" style="1" bestFit="1" customWidth="1"/>
    <col min="5" max="1024" width="10.6640625" style="1"/>
  </cols>
  <sheetData>
    <row r="2" spans="1:13" x14ac:dyDescent="0.35">
      <c r="A2" s="2">
        <v>45632</v>
      </c>
      <c r="B2" s="1" t="s">
        <v>0</v>
      </c>
      <c r="D2" s="1" t="s">
        <v>1</v>
      </c>
      <c r="E2" s="1" t="s">
        <v>2</v>
      </c>
      <c r="F2" s="1" t="s">
        <v>3</v>
      </c>
    </row>
    <row r="3" spans="1:13" x14ac:dyDescent="0.35">
      <c r="A3" s="2"/>
      <c r="B3" s="1" t="s">
        <v>4</v>
      </c>
      <c r="F3" s="19" t="s">
        <v>5</v>
      </c>
    </row>
    <row r="4" spans="1:13" x14ac:dyDescent="0.35">
      <c r="A4" s="2"/>
      <c r="D4" s="20" t="s">
        <v>6</v>
      </c>
      <c r="E4" s="20" t="s">
        <v>2</v>
      </c>
      <c r="F4" s="21" t="s">
        <v>994</v>
      </c>
      <c r="G4" s="22"/>
      <c r="H4" s="22"/>
      <c r="I4" s="22"/>
      <c r="J4" s="22"/>
      <c r="K4" s="22"/>
      <c r="L4" s="22"/>
      <c r="M4" s="22"/>
    </row>
    <row r="5" spans="1:13" x14ac:dyDescent="0.35">
      <c r="A5" s="2"/>
      <c r="D5" s="20" t="s">
        <v>8</v>
      </c>
      <c r="E5" s="20" t="s">
        <v>2</v>
      </c>
      <c r="F5" s="21" t="s">
        <v>9</v>
      </c>
      <c r="G5" s="22"/>
      <c r="H5" s="22"/>
      <c r="I5" s="22"/>
      <c r="J5" s="22"/>
      <c r="K5" s="22"/>
      <c r="L5" s="22"/>
      <c r="M5" s="22"/>
    </row>
    <row r="6" spans="1:13" x14ac:dyDescent="0.35">
      <c r="A6" s="2"/>
    </row>
    <row r="7" spans="1:13" x14ac:dyDescent="0.35">
      <c r="A7" s="2"/>
      <c r="D7" s="1" t="s">
        <v>10</v>
      </c>
      <c r="E7" s="1">
        <v>8.3145100000000003</v>
      </c>
    </row>
    <row r="8" spans="1:13" x14ac:dyDescent="0.35">
      <c r="A8" s="2"/>
      <c r="D8" s="1" t="s">
        <v>11</v>
      </c>
      <c r="E8" s="1">
        <v>298.14999999999998</v>
      </c>
      <c r="F8" s="1" t="s">
        <v>12</v>
      </c>
    </row>
    <row r="9" spans="1:13" x14ac:dyDescent="0.35">
      <c r="A9" s="2"/>
      <c r="D9" s="1" t="s">
        <v>13</v>
      </c>
      <c r="E9" s="1">
        <v>1</v>
      </c>
      <c r="F9" s="1" t="s">
        <v>14</v>
      </c>
    </row>
    <row r="10" spans="1:13" x14ac:dyDescent="0.35">
      <c r="A10" s="2"/>
      <c r="B10" s="3"/>
    </row>
    <row r="11" spans="1:13" x14ac:dyDescent="0.35">
      <c r="A11" s="2"/>
    </row>
    <row r="12" spans="1:13" x14ac:dyDescent="0.35">
      <c r="A12" s="2"/>
    </row>
    <row r="13" spans="1:13" x14ac:dyDescent="0.35">
      <c r="A13" s="2"/>
      <c r="B13" s="13"/>
    </row>
    <row r="14" spans="1:13" x14ac:dyDescent="0.35">
      <c r="A14" s="2"/>
    </row>
    <row r="15" spans="1:13" x14ac:dyDescent="0.35">
      <c r="A15" s="2"/>
    </row>
    <row r="16" spans="1:13" x14ac:dyDescent="0.35">
      <c r="A16" s="2"/>
    </row>
    <row r="17" spans="1:2" x14ac:dyDescent="0.35">
      <c r="A17" s="2"/>
      <c r="B17" s="13"/>
    </row>
    <row r="18" spans="1:2" x14ac:dyDescent="0.35">
      <c r="A18" s="2"/>
    </row>
    <row r="19" spans="1:2" x14ac:dyDescent="0.35">
      <c r="A19" s="2"/>
    </row>
    <row r="20" spans="1:2" x14ac:dyDescent="0.35">
      <c r="A20" s="2"/>
      <c r="B20" s="13"/>
    </row>
    <row r="21" spans="1:2" x14ac:dyDescent="0.35">
      <c r="A21" s="2"/>
      <c r="B21" s="11"/>
    </row>
    <row r="22" spans="1:2" x14ac:dyDescent="0.35">
      <c r="A22" s="2"/>
    </row>
    <row r="23" spans="1:2" x14ac:dyDescent="0.35">
      <c r="A23" s="2"/>
      <c r="B23" s="13"/>
    </row>
    <row r="24" spans="1:2" x14ac:dyDescent="0.35">
      <c r="A24" s="2"/>
      <c r="B24" s="13"/>
    </row>
    <row r="25" spans="1:2" x14ac:dyDescent="0.35">
      <c r="A25" s="2"/>
    </row>
    <row r="26" spans="1:2" s="1" customFormat="1" x14ac:dyDescent="0.35">
      <c r="A26" s="2"/>
      <c r="B26" s="3"/>
    </row>
    <row r="27" spans="1:2" x14ac:dyDescent="0.35">
      <c r="A27" s="2"/>
      <c r="B27" s="14"/>
    </row>
    <row r="28" spans="1:2" x14ac:dyDescent="0.35">
      <c r="A28" s="2"/>
    </row>
    <row r="29" spans="1:2" x14ac:dyDescent="0.35">
      <c r="A29" s="2"/>
    </row>
    <row r="30" spans="1:2" x14ac:dyDescent="0.35">
      <c r="A30" s="2"/>
    </row>
    <row r="31" spans="1:2" x14ac:dyDescent="0.35">
      <c r="A31" s="2"/>
    </row>
    <row r="32" spans="1:2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91B1-93CD-420F-890B-7F3729C89E2E}">
  <sheetPr>
    <tabColor rgb="FF0070C0"/>
  </sheetPr>
  <dimension ref="A1:Y1"/>
  <sheetViews>
    <sheetView workbookViewId="0">
      <selection activeCell="J59" sqref="J59"/>
    </sheetView>
  </sheetViews>
  <sheetFormatPr defaultRowHeight="15.5" x14ac:dyDescent="0.35"/>
  <cols>
    <col min="4" max="4" width="11.58203125" bestFit="1" customWidth="1"/>
    <col min="6" max="6" width="9.6640625" bestFit="1" customWidth="1"/>
    <col min="7" max="7" width="8.08203125" bestFit="1" customWidth="1"/>
    <col min="8" max="8" width="12.6640625" bestFit="1" customWidth="1"/>
    <col min="9" max="9" width="18.1640625" bestFit="1" customWidth="1"/>
    <col min="10" max="10" width="9.1640625" bestFit="1" customWidth="1"/>
    <col min="11" max="11" width="15.6640625" bestFit="1" customWidth="1"/>
    <col min="12" max="12" width="21.1640625" bestFit="1" customWidth="1"/>
    <col min="13" max="13" width="10.1640625" bestFit="1" customWidth="1"/>
    <col min="17" max="17" width="17.83203125" bestFit="1" customWidth="1"/>
  </cols>
  <sheetData>
    <row r="1" spans="1:25" x14ac:dyDescent="0.35">
      <c r="A1" s="11"/>
      <c r="B1" s="3" t="s">
        <v>59</v>
      </c>
      <c r="C1" s="3" t="s">
        <v>60</v>
      </c>
      <c r="D1" s="3" t="s">
        <v>61</v>
      </c>
      <c r="E1" s="3" t="s">
        <v>222</v>
      </c>
      <c r="F1" s="3" t="s">
        <v>223</v>
      </c>
      <c r="G1" s="3" t="s">
        <v>224</v>
      </c>
      <c r="H1" s="3" t="s">
        <v>225</v>
      </c>
      <c r="I1" s="3" t="s">
        <v>226</v>
      </c>
      <c r="J1" s="3" t="s">
        <v>227</v>
      </c>
      <c r="K1" s="3" t="s">
        <v>231</v>
      </c>
      <c r="L1" s="3" t="s">
        <v>232</v>
      </c>
      <c r="M1" s="3" t="s">
        <v>233</v>
      </c>
      <c r="N1" s="3" t="s">
        <v>234</v>
      </c>
      <c r="O1" s="3" t="s">
        <v>235</v>
      </c>
      <c r="P1" s="3" t="s">
        <v>236</v>
      </c>
      <c r="Q1" s="3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92C7-FF38-4C0B-84DB-79AF98650B31}">
  <sheetPr>
    <tabColor rgb="FF0070C0"/>
  </sheetPr>
  <dimension ref="A1:AK9"/>
  <sheetViews>
    <sheetView workbookViewId="0">
      <selection activeCell="V1" sqref="V1:AF1"/>
    </sheetView>
  </sheetViews>
  <sheetFormatPr defaultRowHeight="15.5" x14ac:dyDescent="0.35"/>
  <cols>
    <col min="1" max="1" width="10.58203125" bestFit="1" customWidth="1"/>
    <col min="4" max="4" width="9.58203125" bestFit="1" customWidth="1"/>
    <col min="5" max="5" width="21.9140625" bestFit="1" customWidth="1"/>
    <col min="6" max="6" width="8.83203125" customWidth="1"/>
    <col min="7" max="7" width="12.6640625" bestFit="1" customWidth="1"/>
    <col min="10" max="10" width="12.6640625" bestFit="1" customWidth="1"/>
    <col min="13" max="13" width="12.33203125" bestFit="1" customWidth="1"/>
    <col min="16" max="16" width="13.6640625" bestFit="1" customWidth="1"/>
    <col min="19" max="19" width="12.6640625" bestFit="1" customWidth="1"/>
    <col min="22" max="22" width="11.6640625" bestFit="1" customWidth="1"/>
    <col min="23" max="23" width="9.33203125" bestFit="1" customWidth="1"/>
    <col min="24" max="24" width="9.33203125" customWidth="1"/>
  </cols>
  <sheetData>
    <row r="1" spans="1:37" x14ac:dyDescent="0.35">
      <c r="A1" s="3" t="s">
        <v>325</v>
      </c>
      <c r="B1" s="3" t="s">
        <v>316</v>
      </c>
      <c r="C1" s="3" t="s">
        <v>59</v>
      </c>
      <c r="D1" s="3" t="s">
        <v>60</v>
      </c>
      <c r="E1" s="3" t="s">
        <v>61</v>
      </c>
      <c r="F1" s="3" t="s">
        <v>262</v>
      </c>
      <c r="G1" s="3" t="s">
        <v>65</v>
      </c>
      <c r="H1" s="3" t="s">
        <v>66</v>
      </c>
      <c r="I1" s="3" t="s">
        <v>143</v>
      </c>
      <c r="J1" s="3" t="s">
        <v>67</v>
      </c>
      <c r="K1" s="3" t="s">
        <v>68</v>
      </c>
      <c r="L1" s="3" t="s">
        <v>144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145</v>
      </c>
      <c r="S1" s="3" t="s">
        <v>146</v>
      </c>
      <c r="T1" s="3" t="s">
        <v>147</v>
      </c>
      <c r="U1" s="3" t="s">
        <v>148</v>
      </c>
      <c r="V1" s="3" t="s">
        <v>263</v>
      </c>
      <c r="W1" s="3" t="s">
        <v>238</v>
      </c>
      <c r="X1" s="3" t="s">
        <v>239</v>
      </c>
      <c r="Y1" s="3" t="s">
        <v>240</v>
      </c>
      <c r="Z1" s="3" t="s">
        <v>241</v>
      </c>
      <c r="AA1" s="3" t="s">
        <v>264</v>
      </c>
      <c r="AB1" s="3" t="s">
        <v>243</v>
      </c>
      <c r="AC1" s="3" t="s">
        <v>265</v>
      </c>
      <c r="AD1" s="3" t="s">
        <v>245</v>
      </c>
      <c r="AE1" s="3" t="s">
        <v>266</v>
      </c>
      <c r="AF1" s="3" t="s">
        <v>267</v>
      </c>
      <c r="AG1" s="3" t="s">
        <v>268</v>
      </c>
      <c r="AH1" s="3" t="s">
        <v>269</v>
      </c>
      <c r="AI1" s="20" t="s">
        <v>6</v>
      </c>
      <c r="AJ1" s="20" t="s">
        <v>2</v>
      </c>
      <c r="AK1" s="21" t="s">
        <v>7</v>
      </c>
    </row>
    <row r="2" spans="1:37" x14ac:dyDescent="0.35">
      <c r="B2" t="s">
        <v>427</v>
      </c>
      <c r="C2" s="3" t="s">
        <v>428</v>
      </c>
      <c r="D2" s="3" t="s">
        <v>429</v>
      </c>
      <c r="E2" s="3" t="s">
        <v>430</v>
      </c>
      <c r="F2" s="3" t="s">
        <v>82</v>
      </c>
      <c r="G2" s="29">
        <v>-604.03</v>
      </c>
      <c r="H2" s="29"/>
      <c r="I2" s="29" t="s">
        <v>431</v>
      </c>
      <c r="J2" s="29">
        <v>-635</v>
      </c>
      <c r="K2" s="29"/>
      <c r="L2" s="29">
        <v>39.700000000000003</v>
      </c>
      <c r="P2" s="30">
        <f t="shared" ref="P2:P9" si="0">W2+Y2*298.15+AE2/298.15^2</f>
        <v>42.795799662598064</v>
      </c>
      <c r="S2" s="30">
        <v>17</v>
      </c>
      <c r="W2" s="32">
        <v>48.8</v>
      </c>
      <c r="X2" s="32"/>
      <c r="Y2" s="31">
        <v>4.4999999999999997E-3</v>
      </c>
      <c r="Z2" s="31"/>
      <c r="AA2">
        <v>0</v>
      </c>
      <c r="AE2" s="31">
        <v>-653000</v>
      </c>
    </row>
    <row r="3" spans="1:37" x14ac:dyDescent="0.35">
      <c r="C3" t="s">
        <v>432</v>
      </c>
      <c r="D3" t="s">
        <v>432</v>
      </c>
      <c r="E3" t="s">
        <v>433</v>
      </c>
      <c r="F3" t="s">
        <v>432</v>
      </c>
      <c r="G3" s="29">
        <v>-2784.33</v>
      </c>
      <c r="H3" s="29"/>
      <c r="I3" s="29" t="s">
        <v>434</v>
      </c>
      <c r="J3" s="29">
        <v>-2931</v>
      </c>
      <c r="K3" s="29"/>
      <c r="L3" s="29">
        <v>169</v>
      </c>
      <c r="P3" s="30">
        <f t="shared" si="0"/>
        <v>171.92333846254485</v>
      </c>
      <c r="S3" s="30">
        <v>73</v>
      </c>
      <c r="W3" s="32">
        <v>209</v>
      </c>
      <c r="X3" s="32"/>
      <c r="Y3" s="31">
        <v>3.5999999999999997E-2</v>
      </c>
      <c r="Z3" s="31"/>
      <c r="AA3">
        <v>0</v>
      </c>
      <c r="AE3" s="31">
        <v>-4250000</v>
      </c>
    </row>
    <row r="4" spans="1:37" x14ac:dyDescent="0.35">
      <c r="C4" t="s">
        <v>435</v>
      </c>
      <c r="D4" t="s">
        <v>435</v>
      </c>
      <c r="E4" t="s">
        <v>436</v>
      </c>
      <c r="F4" t="s">
        <v>435</v>
      </c>
      <c r="G4" s="29">
        <v>-2193.21</v>
      </c>
      <c r="H4" s="29"/>
      <c r="I4" s="29" t="s">
        <v>434</v>
      </c>
      <c r="J4" s="29">
        <v>-2308</v>
      </c>
      <c r="K4" s="29"/>
      <c r="L4" s="29">
        <v>128</v>
      </c>
      <c r="P4" s="30">
        <f t="shared" si="0"/>
        <v>128.9457884803555</v>
      </c>
      <c r="S4" s="30">
        <v>52</v>
      </c>
      <c r="W4" s="33">
        <v>152</v>
      </c>
      <c r="X4" s="33"/>
      <c r="Y4" s="31">
        <v>3.6999999999999998E-2</v>
      </c>
      <c r="Z4" s="31"/>
      <c r="AA4">
        <v>0</v>
      </c>
      <c r="AE4" s="31">
        <v>-3030000</v>
      </c>
    </row>
    <row r="5" spans="1:37" x14ac:dyDescent="0.35">
      <c r="C5" t="s">
        <v>437</v>
      </c>
      <c r="D5" t="s">
        <v>437</v>
      </c>
      <c r="E5" t="s">
        <v>438</v>
      </c>
      <c r="F5" t="s">
        <v>437</v>
      </c>
      <c r="G5" s="29">
        <v>-3382.35</v>
      </c>
      <c r="H5" s="29"/>
      <c r="I5" s="29" t="s">
        <v>434</v>
      </c>
      <c r="J5" s="29">
        <v>-3561</v>
      </c>
      <c r="K5" s="29"/>
      <c r="L5" s="29">
        <v>205</v>
      </c>
      <c r="P5" s="30">
        <f t="shared" si="0"/>
        <v>209.74275320481809</v>
      </c>
      <c r="S5" s="30">
        <v>89</v>
      </c>
      <c r="W5" s="32">
        <v>261</v>
      </c>
      <c r="X5" s="32"/>
      <c r="Y5" s="31">
        <v>1.9E-2</v>
      </c>
      <c r="Z5" s="31"/>
      <c r="AA5">
        <v>0</v>
      </c>
      <c r="AE5" s="31">
        <v>-5060000</v>
      </c>
    </row>
    <row r="6" spans="1:37" x14ac:dyDescent="0.35">
      <c r="C6" t="s">
        <v>439</v>
      </c>
      <c r="D6" t="s">
        <v>439</v>
      </c>
      <c r="E6" t="s">
        <v>440</v>
      </c>
      <c r="F6" t="s">
        <v>439</v>
      </c>
      <c r="G6" s="29">
        <v>-18451.439999999999</v>
      </c>
      <c r="H6" s="29"/>
      <c r="I6" s="29" t="s">
        <v>441</v>
      </c>
      <c r="J6" s="29">
        <v>-19414</v>
      </c>
      <c r="K6" s="29"/>
      <c r="L6" s="29">
        <v>1045</v>
      </c>
      <c r="P6" s="30">
        <f t="shared" si="0"/>
        <v>1084.8313537611261</v>
      </c>
      <c r="S6" s="30">
        <v>518</v>
      </c>
      <c r="W6" s="32">
        <v>1263</v>
      </c>
      <c r="X6" s="32"/>
      <c r="Y6" s="31">
        <v>0.27400000000000002</v>
      </c>
      <c r="Z6" s="31"/>
      <c r="AA6">
        <v>0</v>
      </c>
      <c r="AE6" s="31">
        <v>-23100000</v>
      </c>
    </row>
    <row r="7" spans="1:37" x14ac:dyDescent="0.35">
      <c r="C7" t="s">
        <v>442</v>
      </c>
      <c r="D7" t="s">
        <v>442</v>
      </c>
      <c r="E7" t="s">
        <v>443</v>
      </c>
      <c r="F7" t="s">
        <v>442</v>
      </c>
      <c r="G7" s="29">
        <v>-2207.9</v>
      </c>
      <c r="H7" s="29"/>
      <c r="I7" s="29" t="s">
        <v>441</v>
      </c>
      <c r="J7" s="29">
        <v>-2327</v>
      </c>
      <c r="K7" s="29"/>
      <c r="L7" s="29">
        <v>114</v>
      </c>
      <c r="P7" s="30">
        <f t="shared" si="0"/>
        <v>126.06171060712337</v>
      </c>
      <c r="S7" s="30">
        <v>54</v>
      </c>
      <c r="W7" s="32">
        <v>151</v>
      </c>
      <c r="X7" s="32"/>
      <c r="Y7" s="31">
        <v>4.2000000000000003E-2</v>
      </c>
      <c r="Z7" s="31"/>
      <c r="AA7">
        <v>0</v>
      </c>
      <c r="AE7" s="31">
        <v>-3330000</v>
      </c>
    </row>
    <row r="8" spans="1:37" x14ac:dyDescent="0.35">
      <c r="C8" t="s">
        <v>444</v>
      </c>
      <c r="D8" t="s">
        <v>444</v>
      </c>
      <c r="E8" t="s">
        <v>445</v>
      </c>
      <c r="F8" t="s">
        <v>444</v>
      </c>
      <c r="G8" s="29">
        <v>-3795.31</v>
      </c>
      <c r="H8" s="29"/>
      <c r="I8" s="29" t="s">
        <v>441</v>
      </c>
      <c r="J8" s="29">
        <v>-4004</v>
      </c>
      <c r="K8" s="29"/>
      <c r="L8" s="29">
        <v>178</v>
      </c>
      <c r="P8" s="30">
        <f t="shared" si="0"/>
        <v>200.04922448140212</v>
      </c>
      <c r="S8" s="30">
        <v>89</v>
      </c>
      <c r="W8" s="32">
        <v>277</v>
      </c>
      <c r="X8" s="32"/>
      <c r="Y8" s="31">
        <v>2.3E-2</v>
      </c>
      <c r="Z8" s="31"/>
      <c r="AA8">
        <v>0</v>
      </c>
      <c r="AE8" s="31">
        <v>-7450000</v>
      </c>
    </row>
    <row r="9" spans="1:37" x14ac:dyDescent="0.35">
      <c r="C9" t="s">
        <v>446</v>
      </c>
      <c r="D9" t="s">
        <v>447</v>
      </c>
      <c r="E9" t="s">
        <v>448</v>
      </c>
      <c r="F9" t="s">
        <v>446</v>
      </c>
      <c r="G9" s="29">
        <v>-4786.5</v>
      </c>
      <c r="H9" s="29"/>
      <c r="I9" s="29" t="s">
        <v>434</v>
      </c>
      <c r="J9" s="29">
        <v>-5080</v>
      </c>
      <c r="K9" s="29"/>
      <c r="L9" s="29">
        <v>326</v>
      </c>
      <c r="P9" s="30">
        <f t="shared" si="0"/>
        <v>395.76495</v>
      </c>
      <c r="S9" s="30">
        <v>130</v>
      </c>
      <c r="W9" s="32">
        <v>374</v>
      </c>
      <c r="X9" s="32"/>
      <c r="Y9" s="31">
        <v>7.2999999999999995E-2</v>
      </c>
      <c r="Z9" s="31"/>
      <c r="AA9">
        <v>0</v>
      </c>
    </row>
  </sheetData>
  <conditionalFormatting sqref="C1:C9">
    <cfRule type="expression" dxfId="6" priority="2">
      <formula>LEN(C1)&gt;16</formula>
    </cfRule>
  </conditionalFormatting>
  <conditionalFormatting sqref="D3:D5">
    <cfRule type="expression" dxfId="5" priority="1">
      <formula>LEN(D3)&gt;16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C419-1052-45F2-912D-05EBC88A5938}">
  <sheetPr>
    <tabColor rgb="FFFFC000"/>
  </sheetPr>
  <dimension ref="A1:AL37"/>
  <sheetViews>
    <sheetView topLeftCell="D1" workbookViewId="0">
      <selection activeCell="D38" sqref="D38"/>
    </sheetView>
  </sheetViews>
  <sheetFormatPr defaultRowHeight="15.5" x14ac:dyDescent="0.35"/>
  <cols>
    <col min="1" max="1" width="10.58203125" bestFit="1" customWidth="1"/>
    <col min="3" max="3" width="11.33203125" bestFit="1" customWidth="1"/>
    <col min="4" max="4" width="28" customWidth="1"/>
    <col min="5" max="5" width="28.6640625" bestFit="1" customWidth="1"/>
    <col min="6" max="6" width="11.58203125" bestFit="1" customWidth="1"/>
    <col min="7" max="7" width="13.08203125" bestFit="1" customWidth="1"/>
    <col min="8" max="8" width="12.6640625" bestFit="1" customWidth="1"/>
    <col min="10" max="10" width="9.1640625" bestFit="1" customWidth="1"/>
    <col min="11" max="11" width="12.6640625" bestFit="1" customWidth="1"/>
    <col min="15" max="15" width="11.5" customWidth="1"/>
    <col min="16" max="16" width="12.6640625" bestFit="1" customWidth="1"/>
    <col min="17" max="17" width="13.6640625" bestFit="1" customWidth="1"/>
    <col min="19" max="20" width="12.6640625" bestFit="1" customWidth="1"/>
    <col min="22" max="22" width="12.6640625" bestFit="1" customWidth="1"/>
    <col min="36" max="36" width="11.6640625" bestFit="1" customWidth="1"/>
  </cols>
  <sheetData>
    <row r="1" spans="1:38" s="3" customFormat="1" ht="14.5" customHeight="1" x14ac:dyDescent="0.35">
      <c r="A1" s="3" t="s">
        <v>325</v>
      </c>
      <c r="B1" s="3" t="s">
        <v>75</v>
      </c>
      <c r="C1" s="3" t="s">
        <v>59</v>
      </c>
      <c r="D1" s="3" t="s">
        <v>60</v>
      </c>
      <c r="E1" s="3" t="s">
        <v>61</v>
      </c>
      <c r="F1" s="3" t="s">
        <v>262</v>
      </c>
      <c r="G1" s="3" t="s">
        <v>920</v>
      </c>
      <c r="H1" s="3" t="s">
        <v>65</v>
      </c>
      <c r="I1" s="3" t="s">
        <v>66</v>
      </c>
      <c r="J1" s="3" t="s">
        <v>143</v>
      </c>
      <c r="K1" s="3" t="s">
        <v>67</v>
      </c>
      <c r="L1" s="3" t="s">
        <v>68</v>
      </c>
      <c r="M1" s="3" t="s">
        <v>144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145</v>
      </c>
      <c r="T1" s="3" t="s">
        <v>146</v>
      </c>
      <c r="U1" s="3" t="s">
        <v>147</v>
      </c>
      <c r="V1" s="3" t="s">
        <v>148</v>
      </c>
      <c r="W1" s="3" t="s">
        <v>263</v>
      </c>
      <c r="X1" s="3" t="s">
        <v>238</v>
      </c>
      <c r="Y1" s="3" t="s">
        <v>239</v>
      </c>
      <c r="Z1" s="3" t="s">
        <v>240</v>
      </c>
      <c r="AA1" s="3" t="s">
        <v>241</v>
      </c>
      <c r="AB1" s="3" t="s">
        <v>264</v>
      </c>
      <c r="AC1" s="3" t="s">
        <v>243</v>
      </c>
      <c r="AD1" s="3" t="s">
        <v>265</v>
      </c>
      <c r="AE1" s="3" t="s">
        <v>245</v>
      </c>
      <c r="AF1" s="3" t="s">
        <v>266</v>
      </c>
      <c r="AG1" s="3" t="s">
        <v>267</v>
      </c>
      <c r="AH1" s="3" t="s">
        <v>268</v>
      </c>
      <c r="AI1" s="3" t="s">
        <v>269</v>
      </c>
      <c r="AJ1" s="20" t="s">
        <v>6</v>
      </c>
      <c r="AK1" s="20" t="s">
        <v>2</v>
      </c>
      <c r="AL1" s="21" t="s">
        <v>7</v>
      </c>
    </row>
    <row r="2" spans="1:38" x14ac:dyDescent="0.35">
      <c r="B2" t="s">
        <v>918</v>
      </c>
      <c r="C2" t="s">
        <v>450</v>
      </c>
      <c r="D2" t="s">
        <v>451</v>
      </c>
      <c r="E2" t="s">
        <v>452</v>
      </c>
      <c r="F2" t="s">
        <v>450</v>
      </c>
      <c r="G2" s="3" t="s">
        <v>247</v>
      </c>
      <c r="N2">
        <v>360</v>
      </c>
      <c r="P2" t="s">
        <v>42</v>
      </c>
      <c r="Q2">
        <v>359</v>
      </c>
      <c r="S2" t="s">
        <v>42</v>
      </c>
      <c r="T2" s="30">
        <v>169.35600280762</v>
      </c>
      <c r="V2" t="s">
        <v>42</v>
      </c>
      <c r="X2" s="40">
        <f t="shared" ref="X2:X37" si="0">Q2</f>
        <v>359</v>
      </c>
    </row>
    <row r="3" spans="1:38" x14ac:dyDescent="0.35">
      <c r="B3" t="s">
        <v>919</v>
      </c>
      <c r="C3" t="s">
        <v>453</v>
      </c>
      <c r="D3" t="s">
        <v>454</v>
      </c>
      <c r="E3" t="s">
        <v>455</v>
      </c>
      <c r="F3" t="s">
        <v>453</v>
      </c>
      <c r="G3" s="3" t="s">
        <v>247</v>
      </c>
      <c r="N3">
        <v>548</v>
      </c>
      <c r="P3" t="s">
        <v>42</v>
      </c>
      <c r="Q3">
        <v>578</v>
      </c>
      <c r="S3" t="s">
        <v>42</v>
      </c>
      <c r="T3" s="30">
        <v>249.95100021361901</v>
      </c>
      <c r="V3" t="s">
        <v>42</v>
      </c>
      <c r="X3" s="40">
        <f t="shared" si="0"/>
        <v>578</v>
      </c>
    </row>
    <row r="4" spans="1:38" x14ac:dyDescent="0.35">
      <c r="B4" t="s">
        <v>919</v>
      </c>
      <c r="C4" s="113" t="s">
        <v>456</v>
      </c>
      <c r="D4" t="s">
        <v>1062</v>
      </c>
      <c r="E4" t="s">
        <v>457</v>
      </c>
      <c r="F4" t="s">
        <v>456</v>
      </c>
      <c r="G4" s="3" t="s">
        <v>247</v>
      </c>
      <c r="N4">
        <v>692</v>
      </c>
      <c r="P4" t="s">
        <v>42</v>
      </c>
      <c r="Q4">
        <v>620</v>
      </c>
      <c r="S4" t="s">
        <v>42</v>
      </c>
      <c r="T4" s="30">
        <v>304.74000930786002</v>
      </c>
      <c r="V4" t="s">
        <v>42</v>
      </c>
      <c r="X4" s="40">
        <f t="shared" si="0"/>
        <v>620</v>
      </c>
    </row>
    <row r="5" spans="1:38" x14ac:dyDescent="0.35">
      <c r="B5" t="s">
        <v>919</v>
      </c>
      <c r="C5" s="113" t="s">
        <v>458</v>
      </c>
      <c r="D5" t="s">
        <v>459</v>
      </c>
      <c r="E5" t="s">
        <v>460</v>
      </c>
      <c r="F5" t="s">
        <v>458</v>
      </c>
      <c r="G5" s="3" t="s">
        <v>247</v>
      </c>
      <c r="N5">
        <v>374</v>
      </c>
      <c r="P5" t="s">
        <v>42</v>
      </c>
      <c r="Q5">
        <v>384</v>
      </c>
      <c r="S5" t="s">
        <v>42</v>
      </c>
      <c r="T5" s="30">
        <v>153.48999977111899</v>
      </c>
      <c r="V5" t="s">
        <v>42</v>
      </c>
      <c r="X5" s="40">
        <f t="shared" si="0"/>
        <v>384</v>
      </c>
    </row>
    <row r="6" spans="1:38" x14ac:dyDescent="0.35">
      <c r="B6" t="s">
        <v>919</v>
      </c>
      <c r="C6" s="113" t="s">
        <v>461</v>
      </c>
      <c r="D6" t="s">
        <v>462</v>
      </c>
      <c r="E6" t="s">
        <v>463</v>
      </c>
      <c r="F6" t="s">
        <v>461</v>
      </c>
      <c r="G6" s="3" t="s">
        <v>247</v>
      </c>
      <c r="N6">
        <v>566</v>
      </c>
      <c r="P6" t="s">
        <v>42</v>
      </c>
      <c r="Q6">
        <v>586</v>
      </c>
      <c r="S6" t="s">
        <v>42</v>
      </c>
      <c r="T6" s="30">
        <v>195.79999923706001</v>
      </c>
      <c r="V6" t="s">
        <v>42</v>
      </c>
      <c r="X6" s="40">
        <f t="shared" si="0"/>
        <v>586</v>
      </c>
    </row>
    <row r="7" spans="1:38" x14ac:dyDescent="0.35">
      <c r="B7" t="s">
        <v>918</v>
      </c>
      <c r="C7" s="113" t="s">
        <v>464</v>
      </c>
      <c r="D7" t="s">
        <v>465</v>
      </c>
      <c r="E7" t="s">
        <v>466</v>
      </c>
      <c r="F7" t="s">
        <v>464</v>
      </c>
      <c r="G7" s="3" t="s">
        <v>247</v>
      </c>
      <c r="N7">
        <v>469</v>
      </c>
      <c r="P7" t="s">
        <v>42</v>
      </c>
      <c r="Q7">
        <v>425</v>
      </c>
      <c r="S7" t="s">
        <v>42</v>
      </c>
      <c r="T7" s="30">
        <v>194.83999252318901</v>
      </c>
      <c r="V7" t="s">
        <v>42</v>
      </c>
      <c r="X7" s="40">
        <f t="shared" si="0"/>
        <v>425</v>
      </c>
    </row>
    <row r="8" spans="1:38" x14ac:dyDescent="0.35">
      <c r="B8" t="s">
        <v>919</v>
      </c>
      <c r="C8" s="113" t="s">
        <v>467</v>
      </c>
      <c r="D8" t="s">
        <v>468</v>
      </c>
      <c r="E8" t="s">
        <v>469</v>
      </c>
      <c r="F8" t="s">
        <v>467</v>
      </c>
      <c r="G8" s="3" t="s">
        <v>247</v>
      </c>
      <c r="N8">
        <v>734</v>
      </c>
      <c r="P8" t="s">
        <v>42</v>
      </c>
      <c r="Q8">
        <v>739</v>
      </c>
      <c r="S8" t="s">
        <v>42</v>
      </c>
      <c r="T8" s="30">
        <v>282.94000625609999</v>
      </c>
      <c r="V8" t="s">
        <v>42</v>
      </c>
      <c r="X8" s="40">
        <f t="shared" si="0"/>
        <v>739</v>
      </c>
    </row>
    <row r="9" spans="1:38" x14ac:dyDescent="0.35">
      <c r="B9" t="s">
        <v>919</v>
      </c>
      <c r="C9" s="113" t="s">
        <v>470</v>
      </c>
      <c r="D9" t="s">
        <v>471</v>
      </c>
      <c r="E9" t="s">
        <v>472</v>
      </c>
      <c r="F9" t="s">
        <v>470</v>
      </c>
      <c r="G9" s="3" t="s">
        <v>247</v>
      </c>
      <c r="N9">
        <v>848</v>
      </c>
      <c r="P9" t="s">
        <v>42</v>
      </c>
      <c r="Q9">
        <v>812</v>
      </c>
      <c r="S9" t="s">
        <v>42</v>
      </c>
      <c r="T9" s="30">
        <v>421.5299987793</v>
      </c>
      <c r="V9" t="s">
        <v>42</v>
      </c>
      <c r="X9" s="40">
        <f t="shared" si="0"/>
        <v>812</v>
      </c>
    </row>
    <row r="10" spans="1:38" x14ac:dyDescent="0.35">
      <c r="B10" t="s">
        <v>918</v>
      </c>
      <c r="C10" s="113" t="s">
        <v>473</v>
      </c>
      <c r="D10" t="s">
        <v>474</v>
      </c>
      <c r="E10" t="s">
        <v>475</v>
      </c>
      <c r="F10" t="s">
        <v>473</v>
      </c>
      <c r="G10" s="3" t="s">
        <v>247</v>
      </c>
      <c r="N10">
        <v>388</v>
      </c>
      <c r="P10" t="s">
        <v>42</v>
      </c>
      <c r="Q10">
        <v>405</v>
      </c>
      <c r="S10" t="s">
        <v>42</v>
      </c>
      <c r="T10" s="30">
        <v>706.57600402831997</v>
      </c>
      <c r="V10" t="s">
        <v>42</v>
      </c>
      <c r="X10" s="40">
        <f t="shared" si="0"/>
        <v>405</v>
      </c>
    </row>
    <row r="11" spans="1:38" x14ac:dyDescent="0.35">
      <c r="B11" t="s">
        <v>919</v>
      </c>
      <c r="C11" s="113" t="s">
        <v>476</v>
      </c>
      <c r="D11" t="s">
        <v>477</v>
      </c>
      <c r="E11" t="s">
        <v>478</v>
      </c>
      <c r="F11" t="s">
        <v>476</v>
      </c>
      <c r="G11" s="3" t="s">
        <v>247</v>
      </c>
      <c r="N11">
        <v>584</v>
      </c>
      <c r="P11" t="s">
        <v>42</v>
      </c>
      <c r="Q11">
        <v>513</v>
      </c>
      <c r="S11" t="s">
        <v>42</v>
      </c>
      <c r="T11" s="30">
        <v>186.949996948239</v>
      </c>
      <c r="V11" t="s">
        <v>42</v>
      </c>
      <c r="X11" s="40">
        <f t="shared" si="0"/>
        <v>513</v>
      </c>
    </row>
    <row r="12" spans="1:38" x14ac:dyDescent="0.35">
      <c r="B12" t="s">
        <v>919</v>
      </c>
      <c r="C12" s="113" t="s">
        <v>479</v>
      </c>
      <c r="D12" t="s">
        <v>1063</v>
      </c>
      <c r="E12" t="s">
        <v>480</v>
      </c>
      <c r="F12" t="s">
        <v>479</v>
      </c>
      <c r="G12" s="3" t="s">
        <v>247</v>
      </c>
      <c r="N12">
        <v>536</v>
      </c>
      <c r="P12" t="s">
        <v>42</v>
      </c>
      <c r="Q12">
        <v>475</v>
      </c>
      <c r="S12" t="s">
        <v>42</v>
      </c>
      <c r="T12" s="30">
        <v>187.00000762938899</v>
      </c>
      <c r="V12" t="s">
        <v>42</v>
      </c>
      <c r="X12" s="40">
        <f t="shared" si="0"/>
        <v>475</v>
      </c>
    </row>
    <row r="13" spans="1:38" x14ac:dyDescent="0.35">
      <c r="B13" t="s">
        <v>919</v>
      </c>
      <c r="C13" s="113" t="s">
        <v>481</v>
      </c>
      <c r="D13" t="s">
        <v>482</v>
      </c>
      <c r="E13" t="s">
        <v>483</v>
      </c>
      <c r="F13" t="s">
        <v>481</v>
      </c>
      <c r="G13" s="3" t="s">
        <v>247</v>
      </c>
      <c r="N13">
        <v>1149</v>
      </c>
      <c r="P13" t="s">
        <v>42</v>
      </c>
      <c r="Q13">
        <v>1119</v>
      </c>
      <c r="S13" t="s">
        <v>42</v>
      </c>
      <c r="T13" s="30">
        <v>435.96000671386997</v>
      </c>
      <c r="V13" t="s">
        <v>42</v>
      </c>
      <c r="X13" s="40">
        <f t="shared" si="0"/>
        <v>1119</v>
      </c>
    </row>
    <row r="14" spans="1:38" x14ac:dyDescent="0.35">
      <c r="B14" t="s">
        <v>919</v>
      </c>
      <c r="C14" s="113" t="s">
        <v>484</v>
      </c>
      <c r="D14" t="s">
        <v>485</v>
      </c>
      <c r="E14" t="s">
        <v>486</v>
      </c>
      <c r="F14" t="s">
        <v>484</v>
      </c>
      <c r="G14" s="3" t="s">
        <v>247</v>
      </c>
      <c r="N14">
        <v>943</v>
      </c>
      <c r="P14" t="s">
        <v>42</v>
      </c>
      <c r="Q14">
        <v>895</v>
      </c>
      <c r="S14" t="s">
        <v>42</v>
      </c>
      <c r="T14" s="30">
        <v>424.73999023438</v>
      </c>
      <c r="V14" t="s">
        <v>42</v>
      </c>
      <c r="X14" s="40">
        <f t="shared" si="0"/>
        <v>895</v>
      </c>
    </row>
    <row r="15" spans="1:38" x14ac:dyDescent="0.35">
      <c r="B15" t="s">
        <v>919</v>
      </c>
      <c r="C15" s="113" t="s">
        <v>487</v>
      </c>
      <c r="D15" t="s">
        <v>488</v>
      </c>
      <c r="E15" t="s">
        <v>489</v>
      </c>
      <c r="F15" t="s">
        <v>487</v>
      </c>
      <c r="G15" s="3" t="s">
        <v>247</v>
      </c>
      <c r="N15">
        <v>707</v>
      </c>
      <c r="P15" t="s">
        <v>42</v>
      </c>
      <c r="Q15">
        <v>626</v>
      </c>
      <c r="S15" t="s">
        <v>42</v>
      </c>
      <c r="T15" s="30">
        <v>304.74000930786002</v>
      </c>
      <c r="V15" t="s">
        <v>42</v>
      </c>
      <c r="X15" s="40">
        <f t="shared" si="0"/>
        <v>626</v>
      </c>
    </row>
    <row r="16" spans="1:38" x14ac:dyDescent="0.35">
      <c r="B16" t="s">
        <v>919</v>
      </c>
      <c r="C16" s="113" t="s">
        <v>490</v>
      </c>
      <c r="D16" t="s">
        <v>491</v>
      </c>
      <c r="E16" t="s">
        <v>492</v>
      </c>
      <c r="F16" t="s">
        <v>490</v>
      </c>
      <c r="G16" s="3" t="s">
        <v>247</v>
      </c>
      <c r="N16">
        <v>491</v>
      </c>
      <c r="P16" t="s">
        <v>44</v>
      </c>
      <c r="Q16">
        <v>435</v>
      </c>
      <c r="S16" t="s">
        <v>44</v>
      </c>
      <c r="T16" s="30">
        <v>157.58000373839999</v>
      </c>
      <c r="V16" t="s">
        <v>44</v>
      </c>
      <c r="X16" s="40">
        <f t="shared" si="0"/>
        <v>435</v>
      </c>
    </row>
    <row r="17" spans="2:24" x14ac:dyDescent="0.35">
      <c r="B17" t="s">
        <v>918</v>
      </c>
      <c r="C17" s="113" t="s">
        <v>493</v>
      </c>
      <c r="D17" t="s">
        <v>494</v>
      </c>
      <c r="E17" t="s">
        <v>495</v>
      </c>
      <c r="F17" t="s">
        <v>493</v>
      </c>
      <c r="G17" s="3" t="s">
        <v>247</v>
      </c>
      <c r="N17">
        <v>367</v>
      </c>
      <c r="P17" t="s">
        <v>44</v>
      </c>
      <c r="Q17">
        <v>383</v>
      </c>
      <c r="S17" t="s">
        <v>44</v>
      </c>
      <c r="T17" s="30">
        <v>172.42099761962999</v>
      </c>
      <c r="V17" t="s">
        <v>44</v>
      </c>
      <c r="X17" s="40">
        <f t="shared" si="0"/>
        <v>383</v>
      </c>
    </row>
    <row r="18" spans="2:24" x14ac:dyDescent="0.35">
      <c r="B18" t="s">
        <v>919</v>
      </c>
      <c r="C18" s="113" t="s">
        <v>496</v>
      </c>
      <c r="D18" t="s">
        <v>497</v>
      </c>
      <c r="E18" t="s">
        <v>498</v>
      </c>
      <c r="F18" t="s">
        <v>496</v>
      </c>
      <c r="G18" s="3" t="s">
        <v>247</v>
      </c>
      <c r="N18">
        <v>581</v>
      </c>
      <c r="P18" t="s">
        <v>44</v>
      </c>
      <c r="Q18">
        <v>617</v>
      </c>
      <c r="S18" t="s">
        <v>44</v>
      </c>
      <c r="T18" s="30">
        <v>247.60999679565001</v>
      </c>
      <c r="V18" t="s">
        <v>44</v>
      </c>
      <c r="X18" s="40">
        <f t="shared" si="0"/>
        <v>617</v>
      </c>
    </row>
    <row r="19" spans="2:24" x14ac:dyDescent="0.35">
      <c r="B19" t="s">
        <v>918</v>
      </c>
      <c r="C19" s="113" t="s">
        <v>499</v>
      </c>
      <c r="D19" t="s">
        <v>500</v>
      </c>
      <c r="E19" t="s">
        <v>501</v>
      </c>
      <c r="F19" t="s">
        <v>499</v>
      </c>
      <c r="G19" s="3" t="s">
        <v>247</v>
      </c>
      <c r="N19">
        <v>541</v>
      </c>
      <c r="P19" t="s">
        <v>44</v>
      </c>
      <c r="Q19">
        <v>611</v>
      </c>
      <c r="S19" t="s">
        <v>44</v>
      </c>
      <c r="T19" s="30">
        <v>317.88000106811</v>
      </c>
      <c r="V19" t="s">
        <v>44</v>
      </c>
      <c r="X19" s="40">
        <f t="shared" si="0"/>
        <v>611</v>
      </c>
    </row>
    <row r="20" spans="2:24" x14ac:dyDescent="0.35">
      <c r="B20" t="s">
        <v>918</v>
      </c>
      <c r="C20" s="113" t="s">
        <v>502</v>
      </c>
      <c r="D20" t="s">
        <v>503</v>
      </c>
      <c r="E20" t="s">
        <v>504</v>
      </c>
      <c r="F20" t="s">
        <v>502</v>
      </c>
      <c r="G20" s="3" t="s">
        <v>247</v>
      </c>
      <c r="N20">
        <v>581</v>
      </c>
      <c r="P20" t="s">
        <v>44</v>
      </c>
      <c r="Q20">
        <v>619</v>
      </c>
      <c r="S20" t="s">
        <v>44</v>
      </c>
      <c r="T20" s="30">
        <v>317.88000106811</v>
      </c>
      <c r="V20" t="s">
        <v>44</v>
      </c>
      <c r="X20" s="40">
        <f t="shared" si="0"/>
        <v>619</v>
      </c>
    </row>
    <row r="21" spans="2:24" x14ac:dyDescent="0.35">
      <c r="B21" t="s">
        <v>918</v>
      </c>
      <c r="C21" s="113" t="s">
        <v>505</v>
      </c>
      <c r="D21" t="s">
        <v>506</v>
      </c>
      <c r="E21" t="s">
        <v>507</v>
      </c>
      <c r="F21" t="s">
        <v>505</v>
      </c>
      <c r="G21" s="3" t="s">
        <v>247</v>
      </c>
      <c r="N21">
        <v>386</v>
      </c>
      <c r="P21" t="s">
        <v>44</v>
      </c>
      <c r="Q21">
        <v>404</v>
      </c>
      <c r="S21" t="s">
        <v>44</v>
      </c>
      <c r="T21" s="30">
        <v>209.7200012207</v>
      </c>
      <c r="V21" t="s">
        <v>44</v>
      </c>
      <c r="X21" s="40">
        <f t="shared" si="0"/>
        <v>404</v>
      </c>
    </row>
    <row r="22" spans="2:24" x14ac:dyDescent="0.35">
      <c r="B22" t="s">
        <v>918</v>
      </c>
      <c r="C22" s="113" t="s">
        <v>508</v>
      </c>
      <c r="D22" t="s">
        <v>1064</v>
      </c>
      <c r="E22" t="s">
        <v>509</v>
      </c>
      <c r="F22" t="s">
        <v>508</v>
      </c>
      <c r="G22" s="3" t="s">
        <v>247</v>
      </c>
      <c r="N22">
        <v>454</v>
      </c>
      <c r="P22" t="s">
        <v>44</v>
      </c>
      <c r="Q22">
        <v>449</v>
      </c>
      <c r="S22" t="s">
        <v>44</v>
      </c>
      <c r="T22" s="30">
        <v>210.90999603271001</v>
      </c>
      <c r="V22" t="s">
        <v>44</v>
      </c>
      <c r="X22" s="40">
        <f t="shared" si="0"/>
        <v>449</v>
      </c>
    </row>
    <row r="23" spans="2:24" x14ac:dyDescent="0.35">
      <c r="B23" t="s">
        <v>918</v>
      </c>
      <c r="C23" s="113" t="s">
        <v>510</v>
      </c>
      <c r="D23" t="s">
        <v>511</v>
      </c>
      <c r="E23" t="s">
        <v>512</v>
      </c>
      <c r="F23" t="s">
        <v>510</v>
      </c>
      <c r="G23" s="3" t="s">
        <v>247</v>
      </c>
      <c r="N23">
        <v>748</v>
      </c>
      <c r="P23" t="s">
        <v>44</v>
      </c>
      <c r="Q23">
        <v>782</v>
      </c>
      <c r="S23" t="s">
        <v>44</v>
      </c>
      <c r="T23" s="30">
        <v>327.43000030517999</v>
      </c>
      <c r="V23" t="s">
        <v>44</v>
      </c>
      <c r="X23" s="40">
        <f t="shared" si="0"/>
        <v>782</v>
      </c>
    </row>
    <row r="24" spans="2:24" x14ac:dyDescent="0.35">
      <c r="B24" t="s">
        <v>919</v>
      </c>
      <c r="C24" s="113" t="s">
        <v>513</v>
      </c>
      <c r="D24" t="s">
        <v>514</v>
      </c>
      <c r="E24" t="s">
        <v>515</v>
      </c>
      <c r="F24" t="s">
        <v>513</v>
      </c>
      <c r="G24" s="3" t="s">
        <v>247</v>
      </c>
      <c r="N24">
        <v>607</v>
      </c>
      <c r="P24" t="s">
        <v>46</v>
      </c>
      <c r="Q24">
        <v>564</v>
      </c>
      <c r="S24" t="s">
        <v>46</v>
      </c>
      <c r="T24" s="30">
        <v>252.91000366211</v>
      </c>
      <c r="V24" t="s">
        <v>46</v>
      </c>
      <c r="X24" s="40">
        <f t="shared" si="0"/>
        <v>564</v>
      </c>
    </row>
    <row r="25" spans="2:24" x14ac:dyDescent="0.35">
      <c r="B25" t="s">
        <v>918</v>
      </c>
      <c r="C25" s="113" t="s">
        <v>516</v>
      </c>
      <c r="D25" t="s">
        <v>1065</v>
      </c>
      <c r="E25" t="s">
        <v>517</v>
      </c>
      <c r="F25" t="s">
        <v>516</v>
      </c>
      <c r="G25" s="3" t="s">
        <v>247</v>
      </c>
      <c r="N25">
        <v>378</v>
      </c>
      <c r="P25" t="s">
        <v>46</v>
      </c>
      <c r="Q25">
        <v>395</v>
      </c>
      <c r="S25" t="s">
        <v>46</v>
      </c>
      <c r="T25" s="30">
        <v>191.25999450683901</v>
      </c>
      <c r="V25" t="s">
        <v>46</v>
      </c>
      <c r="X25" s="40">
        <f t="shared" si="0"/>
        <v>395</v>
      </c>
    </row>
    <row r="26" spans="2:24" x14ac:dyDescent="0.35">
      <c r="B26" t="s">
        <v>919</v>
      </c>
      <c r="C26" s="113" t="s">
        <v>518</v>
      </c>
      <c r="D26" t="s">
        <v>519</v>
      </c>
      <c r="E26" t="s">
        <v>520</v>
      </c>
      <c r="F26" t="s">
        <v>518</v>
      </c>
      <c r="G26" s="3" t="s">
        <v>247</v>
      </c>
      <c r="N26">
        <v>618</v>
      </c>
      <c r="P26" t="s">
        <v>46</v>
      </c>
      <c r="Q26">
        <v>577</v>
      </c>
      <c r="S26" t="s">
        <v>46</v>
      </c>
      <c r="T26" s="30">
        <v>223.47999572753901</v>
      </c>
      <c r="V26" t="s">
        <v>46</v>
      </c>
      <c r="X26" s="40">
        <f t="shared" si="0"/>
        <v>577</v>
      </c>
    </row>
    <row r="27" spans="2:24" x14ac:dyDescent="0.35">
      <c r="B27" t="s">
        <v>919</v>
      </c>
      <c r="C27" s="113" t="s">
        <v>521</v>
      </c>
      <c r="D27" t="s">
        <v>522</v>
      </c>
      <c r="E27" t="s">
        <v>523</v>
      </c>
      <c r="F27" t="s">
        <v>521</v>
      </c>
      <c r="G27" s="3" t="s">
        <v>247</v>
      </c>
      <c r="N27">
        <v>772</v>
      </c>
      <c r="P27" t="s">
        <v>46</v>
      </c>
      <c r="Q27">
        <v>745</v>
      </c>
      <c r="S27" t="s">
        <v>46</v>
      </c>
      <c r="T27" s="30">
        <v>291.27000808716002</v>
      </c>
      <c r="V27" t="s">
        <v>46</v>
      </c>
      <c r="X27" s="40">
        <f t="shared" si="0"/>
        <v>745</v>
      </c>
    </row>
    <row r="28" spans="2:24" x14ac:dyDescent="0.35">
      <c r="B28" t="s">
        <v>919</v>
      </c>
      <c r="C28" s="113" t="s">
        <v>524</v>
      </c>
      <c r="D28" t="s">
        <v>525</v>
      </c>
      <c r="E28" t="s">
        <v>526</v>
      </c>
      <c r="F28" t="s">
        <v>524</v>
      </c>
      <c r="G28" s="3" t="s">
        <v>247</v>
      </c>
      <c r="N28">
        <v>364</v>
      </c>
      <c r="P28" t="s">
        <v>46</v>
      </c>
      <c r="Q28">
        <v>309</v>
      </c>
      <c r="S28" t="s">
        <v>46</v>
      </c>
      <c r="T28" s="30">
        <v>140.26000022887999</v>
      </c>
      <c r="V28" t="s">
        <v>46</v>
      </c>
      <c r="X28" s="40">
        <f t="shared" si="0"/>
        <v>309</v>
      </c>
    </row>
    <row r="29" spans="2:24" x14ac:dyDescent="0.35">
      <c r="B29" t="s">
        <v>919</v>
      </c>
      <c r="C29" s="113" t="s">
        <v>527</v>
      </c>
      <c r="D29" t="s">
        <v>528</v>
      </c>
      <c r="E29" t="s">
        <v>529</v>
      </c>
      <c r="F29" t="s">
        <v>527</v>
      </c>
      <c r="G29" s="3" t="s">
        <v>247</v>
      </c>
      <c r="N29">
        <v>347</v>
      </c>
      <c r="P29" t="s">
        <v>46</v>
      </c>
      <c r="Q29">
        <v>299</v>
      </c>
      <c r="S29" t="s">
        <v>46</v>
      </c>
      <c r="T29" s="30">
        <v>140.34000396728001</v>
      </c>
      <c r="V29" t="s">
        <v>46</v>
      </c>
      <c r="X29" s="40">
        <f t="shared" si="0"/>
        <v>299</v>
      </c>
    </row>
    <row r="30" spans="2:24" x14ac:dyDescent="0.35">
      <c r="B30" t="s">
        <v>918</v>
      </c>
      <c r="C30" s="113" t="s">
        <v>530</v>
      </c>
      <c r="D30" t="s">
        <v>531</v>
      </c>
      <c r="E30" t="s">
        <v>532</v>
      </c>
      <c r="F30" t="s">
        <v>530</v>
      </c>
      <c r="G30" s="3" t="s">
        <v>247</v>
      </c>
      <c r="N30">
        <v>586</v>
      </c>
      <c r="P30" t="s">
        <v>46</v>
      </c>
      <c r="Q30">
        <v>665</v>
      </c>
      <c r="S30" t="s">
        <v>46</v>
      </c>
      <c r="T30" s="30">
        <v>324.79999542235998</v>
      </c>
      <c r="V30" t="s">
        <v>46</v>
      </c>
      <c r="X30" s="40">
        <f t="shared" si="0"/>
        <v>665</v>
      </c>
    </row>
    <row r="31" spans="2:24" x14ac:dyDescent="0.35">
      <c r="B31" t="s">
        <v>918</v>
      </c>
      <c r="C31" s="113" t="s">
        <v>533</v>
      </c>
      <c r="D31" t="s">
        <v>534</v>
      </c>
      <c r="E31" t="s">
        <v>535</v>
      </c>
      <c r="F31" t="s">
        <v>533</v>
      </c>
      <c r="G31" s="3" t="s">
        <v>247</v>
      </c>
      <c r="N31">
        <v>360</v>
      </c>
      <c r="P31" t="s">
        <v>46</v>
      </c>
      <c r="Q31">
        <v>328</v>
      </c>
      <c r="S31" t="s">
        <v>46</v>
      </c>
      <c r="T31" s="30">
        <v>177.35000610352</v>
      </c>
      <c r="V31" t="s">
        <v>46</v>
      </c>
      <c r="X31" s="40">
        <f t="shared" si="0"/>
        <v>328</v>
      </c>
    </row>
    <row r="32" spans="2:24" x14ac:dyDescent="0.35">
      <c r="B32" t="s">
        <v>919</v>
      </c>
      <c r="C32" s="113" t="s">
        <v>536</v>
      </c>
      <c r="D32" t="s">
        <v>537</v>
      </c>
      <c r="E32" t="s">
        <v>538</v>
      </c>
      <c r="F32" t="s">
        <v>536</v>
      </c>
      <c r="G32" s="3" t="s">
        <v>247</v>
      </c>
      <c r="N32">
        <v>365</v>
      </c>
      <c r="P32" t="s">
        <v>46</v>
      </c>
      <c r="Q32">
        <v>371</v>
      </c>
      <c r="S32" t="s">
        <v>46</v>
      </c>
      <c r="T32" s="30">
        <v>186.81999206543</v>
      </c>
      <c r="V32" t="s">
        <v>46</v>
      </c>
      <c r="X32" s="40">
        <f t="shared" si="0"/>
        <v>371</v>
      </c>
    </row>
    <row r="33" spans="2:24" x14ac:dyDescent="0.35">
      <c r="B33" t="s">
        <v>918</v>
      </c>
      <c r="C33" s="113" t="s">
        <v>539</v>
      </c>
      <c r="D33" t="s">
        <v>540</v>
      </c>
      <c r="E33" t="s">
        <v>541</v>
      </c>
      <c r="F33" t="s">
        <v>539</v>
      </c>
      <c r="G33" s="3" t="s">
        <v>247</v>
      </c>
      <c r="N33">
        <v>346</v>
      </c>
      <c r="P33" t="s">
        <v>46</v>
      </c>
      <c r="Q33">
        <v>388</v>
      </c>
      <c r="S33" t="s">
        <v>46</v>
      </c>
      <c r="T33" s="30">
        <v>190.86999893189</v>
      </c>
      <c r="V33" t="s">
        <v>46</v>
      </c>
      <c r="X33" s="40">
        <f t="shared" si="0"/>
        <v>388</v>
      </c>
    </row>
    <row r="34" spans="2:24" x14ac:dyDescent="0.35">
      <c r="B34" t="s">
        <v>918</v>
      </c>
      <c r="C34" s="113" t="s">
        <v>542</v>
      </c>
      <c r="D34" t="s">
        <v>543</v>
      </c>
      <c r="E34" t="s">
        <v>544</v>
      </c>
      <c r="F34" t="s">
        <v>542</v>
      </c>
      <c r="G34" s="3" t="s">
        <v>247</v>
      </c>
      <c r="N34">
        <v>416</v>
      </c>
      <c r="P34" t="s">
        <v>46</v>
      </c>
      <c r="Q34">
        <v>370</v>
      </c>
      <c r="S34" t="s">
        <v>46</v>
      </c>
      <c r="T34" s="30">
        <v>186.50999069213901</v>
      </c>
      <c r="V34" t="s">
        <v>46</v>
      </c>
      <c r="X34" s="40">
        <f t="shared" si="0"/>
        <v>370</v>
      </c>
    </row>
    <row r="35" spans="2:24" x14ac:dyDescent="0.35">
      <c r="B35" t="s">
        <v>919</v>
      </c>
      <c r="C35" s="113" t="s">
        <v>545</v>
      </c>
      <c r="D35" t="s">
        <v>449</v>
      </c>
      <c r="E35" t="s">
        <v>546</v>
      </c>
      <c r="F35" t="s">
        <v>545</v>
      </c>
      <c r="G35" s="3" t="s">
        <v>247</v>
      </c>
      <c r="N35">
        <v>598</v>
      </c>
      <c r="P35" t="s">
        <v>46</v>
      </c>
      <c r="Q35">
        <v>639</v>
      </c>
      <c r="S35" t="s">
        <v>46</v>
      </c>
      <c r="T35" s="30">
        <v>312.18999862671001</v>
      </c>
      <c r="V35" t="s">
        <v>46</v>
      </c>
      <c r="X35" s="40">
        <f t="shared" si="0"/>
        <v>639</v>
      </c>
    </row>
    <row r="36" spans="2:24" x14ac:dyDescent="0.35">
      <c r="B36" t="s">
        <v>918</v>
      </c>
      <c r="C36" t="s">
        <v>547</v>
      </c>
      <c r="D36" t="s">
        <v>548</v>
      </c>
      <c r="E36" t="s">
        <v>549</v>
      </c>
      <c r="F36" t="s">
        <v>547</v>
      </c>
      <c r="G36" s="3" t="s">
        <v>247</v>
      </c>
      <c r="N36">
        <v>630</v>
      </c>
      <c r="P36" t="s">
        <v>46</v>
      </c>
      <c r="Q36">
        <v>669</v>
      </c>
      <c r="S36" t="s">
        <v>46</v>
      </c>
      <c r="T36" s="30">
        <v>316.669998168939</v>
      </c>
      <c r="V36" t="s">
        <v>46</v>
      </c>
      <c r="X36" s="40">
        <f t="shared" si="0"/>
        <v>669</v>
      </c>
    </row>
    <row r="37" spans="2:24" x14ac:dyDescent="0.35">
      <c r="B37" t="s">
        <v>918</v>
      </c>
      <c r="C37" t="s">
        <v>550</v>
      </c>
      <c r="D37" t="s">
        <v>1066</v>
      </c>
      <c r="E37" t="s">
        <v>544</v>
      </c>
      <c r="F37" t="s">
        <v>550</v>
      </c>
      <c r="G37" s="3" t="s">
        <v>247</v>
      </c>
      <c r="N37">
        <v>416</v>
      </c>
      <c r="P37" t="s">
        <v>46</v>
      </c>
      <c r="Q37">
        <v>370</v>
      </c>
      <c r="S37" t="s">
        <v>46</v>
      </c>
      <c r="T37" s="30">
        <v>186.50999069213901</v>
      </c>
      <c r="V37" t="s">
        <v>46</v>
      </c>
      <c r="X37" s="40">
        <f t="shared" si="0"/>
        <v>370</v>
      </c>
    </row>
  </sheetData>
  <conditionalFormatting sqref="C1">
    <cfRule type="expression" dxfId="4" priority="2">
      <formula>LEN(C1)&gt;16</formula>
    </cfRule>
  </conditionalFormatting>
  <conditionalFormatting sqref="D2:D37">
    <cfRule type="expression" dxfId="3" priority="1">
      <formula>LEN(D2)&gt;16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B1E4-14A4-4A77-A79D-B0B1A93BD864}">
  <sheetPr>
    <tabColor rgb="FFFFC000"/>
  </sheetPr>
  <dimension ref="A1:AA37"/>
  <sheetViews>
    <sheetView workbookViewId="0">
      <selection activeCell="I2" sqref="I2:I10"/>
    </sheetView>
  </sheetViews>
  <sheetFormatPr defaultRowHeight="15.5" x14ac:dyDescent="0.35"/>
  <cols>
    <col min="2" max="2" width="11.33203125" bestFit="1" customWidth="1"/>
    <col min="3" max="3" width="17.83203125" bestFit="1" customWidth="1"/>
    <col min="4" max="4" width="28.6640625" bestFit="1" customWidth="1"/>
    <col min="5" max="5" width="11.58203125" bestFit="1" customWidth="1"/>
    <col min="6" max="6" width="13.08203125" bestFit="1" customWidth="1"/>
    <col min="9" max="9" width="12.83203125" bestFit="1" customWidth="1"/>
    <col min="18" max="18" width="33" customWidth="1"/>
    <col min="19" max="19" width="44.6640625" customWidth="1"/>
  </cols>
  <sheetData>
    <row r="1" spans="1:27" x14ac:dyDescent="0.35">
      <c r="A1" s="11"/>
      <c r="B1" s="3" t="s">
        <v>59</v>
      </c>
      <c r="C1" s="3" t="s">
        <v>60</v>
      </c>
      <c r="D1" s="3" t="s">
        <v>61</v>
      </c>
      <c r="E1" s="3" t="s">
        <v>262</v>
      </c>
      <c r="F1" s="3" t="s">
        <v>75</v>
      </c>
      <c r="G1" s="3" t="s">
        <v>222</v>
      </c>
      <c r="H1" s="3" t="s">
        <v>223</v>
      </c>
      <c r="I1" s="3" t="s">
        <v>224</v>
      </c>
      <c r="J1" s="3" t="s">
        <v>225</v>
      </c>
      <c r="K1" s="3" t="s">
        <v>226</v>
      </c>
      <c r="L1" s="3" t="s">
        <v>227</v>
      </c>
      <c r="M1" s="3" t="s">
        <v>231</v>
      </c>
      <c r="N1" s="3" t="s">
        <v>232</v>
      </c>
      <c r="O1" s="3" t="s">
        <v>233</v>
      </c>
      <c r="P1" s="3" t="s">
        <v>234</v>
      </c>
      <c r="Q1" s="3" t="s">
        <v>235</v>
      </c>
      <c r="R1" s="3" t="s">
        <v>236</v>
      </c>
      <c r="S1" s="3" t="s">
        <v>237</v>
      </c>
      <c r="T1" t="s">
        <v>238</v>
      </c>
      <c r="U1" t="s">
        <v>239</v>
      </c>
      <c r="V1" t="s">
        <v>240</v>
      </c>
      <c r="W1" t="s">
        <v>241</v>
      </c>
      <c r="X1" t="s">
        <v>242</v>
      </c>
      <c r="Y1" t="s">
        <v>243</v>
      </c>
      <c r="Z1" t="s">
        <v>244</v>
      </c>
      <c r="AA1" t="s">
        <v>245</v>
      </c>
    </row>
    <row r="2" spans="1:27" x14ac:dyDescent="0.35">
      <c r="B2" s="3" t="str">
        <f>'zeolites DComp'!C2</f>
        <v>NAT</v>
      </c>
      <c r="C2" s="3" t="str">
        <f>'zeolites DComp'!D2</f>
        <v>Natrolite</v>
      </c>
      <c r="D2" s="3" t="str">
        <f>'zeolites DComp'!E2</f>
        <v>Na2(Al2Si3)O10(H2O)2</v>
      </c>
      <c r="E2" s="3" t="str">
        <f>'zeolites DComp'!F2</f>
        <v>NAT</v>
      </c>
      <c r="F2" s="3" t="s">
        <v>247</v>
      </c>
      <c r="G2" s="30">
        <v>-26.6</v>
      </c>
      <c r="I2" t="str">
        <f>'zeolites DComp'!P2</f>
        <v>2020aMA/LOT</v>
      </c>
      <c r="R2" t="s">
        <v>551</v>
      </c>
    </row>
    <row r="3" spans="1:27" x14ac:dyDescent="0.35">
      <c r="B3" s="3" t="str">
        <f>'zeolites DComp'!C3</f>
        <v>CHA(Na)</v>
      </c>
      <c r="C3" s="3" t="str">
        <f>'zeolites DComp'!D3</f>
        <v>Chabazite(Na)</v>
      </c>
      <c r="D3" s="3" t="str">
        <f>'zeolites DComp'!E3</f>
        <v>Na2(Al2Si4)O12(H2O)6</v>
      </c>
      <c r="E3" s="3" t="str">
        <f>'zeolites DComp'!F3</f>
        <v>CHA(Na)</v>
      </c>
      <c r="F3" s="3" t="s">
        <v>247</v>
      </c>
      <c r="G3" s="30">
        <v>-31.9</v>
      </c>
      <c r="I3" t="str">
        <f>'zeolites DComp'!P3</f>
        <v>2020aMA/LOT</v>
      </c>
      <c r="R3" t="s">
        <v>552</v>
      </c>
    </row>
    <row r="4" spans="1:27" x14ac:dyDescent="0.35">
      <c r="B4" s="3" t="str">
        <f>'zeolites DComp'!C4</f>
        <v>PHI(Na)</v>
      </c>
      <c r="C4" s="3" t="str">
        <f>'zeolites DComp'!D4</f>
        <v>Phillips.(Na2.5)</v>
      </c>
      <c r="D4" s="3" t="str">
        <f>'zeolites DComp'!E4</f>
        <v>Na2.5Al2.5Si5.5O16(H2O)5</v>
      </c>
      <c r="E4" s="3" t="str">
        <f>'zeolites DComp'!F4</f>
        <v>PHI(Na)</v>
      </c>
      <c r="F4" s="3" t="s">
        <v>247</v>
      </c>
      <c r="G4" s="30">
        <v>-39.375</v>
      </c>
      <c r="I4" t="str">
        <f>'zeolites DComp'!P4</f>
        <v>2020aMA/LOT</v>
      </c>
      <c r="R4" t="s">
        <v>553</v>
      </c>
    </row>
    <row r="5" spans="1:27" x14ac:dyDescent="0.35">
      <c r="B5" s="3" t="str">
        <f>'zeolites DComp'!C5</f>
        <v>GIS-LS-P(Na)</v>
      </c>
      <c r="C5" s="3" t="str">
        <f>'zeolites DComp'!D5</f>
        <v>Low-silica_P(Na)</v>
      </c>
      <c r="D5" s="3" t="str">
        <f>'zeolites DComp'!E5</f>
        <v>Na2(Al2Si2)O8(H2O)3.8</v>
      </c>
      <c r="E5" s="3" t="str">
        <f>'zeolites DComp'!F5</f>
        <v>GIS-LS-P(Na)</v>
      </c>
      <c r="F5" s="3" t="s">
        <v>247</v>
      </c>
      <c r="G5" s="30">
        <v>-19.600000000000001</v>
      </c>
      <c r="I5" t="str">
        <f>'zeolites DComp'!P5</f>
        <v>2020aMA/LOT</v>
      </c>
      <c r="R5" t="s">
        <v>554</v>
      </c>
    </row>
    <row r="6" spans="1:27" x14ac:dyDescent="0.35">
      <c r="B6" s="3" t="str">
        <f>'zeolites DComp'!C6</f>
        <v>FAU-X(Na)</v>
      </c>
      <c r="C6" s="3" t="str">
        <f>'zeolites DComp'!D6</f>
        <v>Faujasite-X(Na)</v>
      </c>
      <c r="D6" s="3" t="str">
        <f>'zeolites DComp'!E6</f>
        <v>Na2(Al2Si2.5)O9(H2O)6.2</v>
      </c>
      <c r="E6" s="3" t="str">
        <f>'zeolites DComp'!F6</f>
        <v>FAU-X(Na)</v>
      </c>
      <c r="F6" s="3" t="s">
        <v>247</v>
      </c>
      <c r="G6" s="30">
        <v>-21.9</v>
      </c>
      <c r="I6" t="str">
        <f>'zeolites DComp'!P6</f>
        <v>2020aMA/LOT</v>
      </c>
      <c r="R6" t="s">
        <v>555</v>
      </c>
    </row>
    <row r="7" spans="1:27" x14ac:dyDescent="0.35">
      <c r="B7" s="3" t="str">
        <f>'zeolites DComp'!C7</f>
        <v>ANA</v>
      </c>
      <c r="C7" s="3" t="str">
        <f>'zeolites DComp'!D7</f>
        <v>Analcime</v>
      </c>
      <c r="D7" s="3" t="str">
        <f>'zeolites DComp'!E7</f>
        <v>Na2(Al2Si4)O12(H2O)2</v>
      </c>
      <c r="E7" s="3" t="str">
        <f>'zeolites DComp'!F7</f>
        <v>ANA</v>
      </c>
      <c r="F7" s="3" t="s">
        <v>247</v>
      </c>
      <c r="G7" s="30">
        <v>-26.8</v>
      </c>
      <c r="I7" t="str">
        <f>'zeolites DComp'!P7</f>
        <v>2020aMA/LOT</v>
      </c>
      <c r="R7" t="s">
        <v>556</v>
      </c>
    </row>
    <row r="8" spans="1:27" x14ac:dyDescent="0.35">
      <c r="B8" s="3" t="str">
        <f>'zeolites DComp'!C8</f>
        <v>FAU-Y(Na)</v>
      </c>
      <c r="C8" s="3" t="str">
        <f>'zeolites DComp'!D8</f>
        <v>Faujasite-Y(Na)</v>
      </c>
      <c r="D8" s="3" t="str">
        <f>'zeolites DComp'!E8</f>
        <v>Na2(Al2Si4)O12(H2O)8</v>
      </c>
      <c r="E8" s="3" t="str">
        <f>'zeolites DComp'!F8</f>
        <v>FAU-Y(Na)</v>
      </c>
      <c r="F8" s="3" t="s">
        <v>247</v>
      </c>
      <c r="G8" s="30">
        <v>-29.5</v>
      </c>
      <c r="I8" t="str">
        <f>'zeolites DComp'!P8</f>
        <v>2020aMA/LOT</v>
      </c>
      <c r="R8" t="s">
        <v>557</v>
      </c>
    </row>
    <row r="9" spans="1:27" x14ac:dyDescent="0.35">
      <c r="B9" s="3" t="str">
        <f>'zeolites DComp'!C9</f>
        <v>SOD(Cl)</v>
      </c>
      <c r="C9" s="3" t="str">
        <f>'zeolites DComp'!D9</f>
        <v>Sodaliite(Cl)</v>
      </c>
      <c r="D9" s="3" t="str">
        <f>'zeolites DComp'!E9</f>
        <v>Na8Al6Si6O24Cl2</v>
      </c>
      <c r="E9" s="3" t="str">
        <f>'zeolites DComp'!F9</f>
        <v>SOD(Cl)</v>
      </c>
      <c r="F9" s="3" t="s">
        <v>247</v>
      </c>
      <c r="G9" s="30">
        <v>-69.400000000000006</v>
      </c>
      <c r="I9" t="str">
        <f>'zeolites DComp'!P9</f>
        <v>2020aMA/LOT</v>
      </c>
      <c r="R9" t="s">
        <v>558</v>
      </c>
    </row>
    <row r="10" spans="1:27" x14ac:dyDescent="0.35">
      <c r="B10" s="3" t="str">
        <f>'zeolites DComp'!C10</f>
        <v>MOR(Na)</v>
      </c>
      <c r="C10" s="3" t="str">
        <f>'zeolites DComp'!D10</f>
        <v>Mordenite(Na)</v>
      </c>
      <c r="D10" s="3" t="str">
        <f>'zeolites DComp'!E10</f>
        <v>Na0.72Al0.72Si5.28O12(H2O)2.71</v>
      </c>
      <c r="E10" s="3" t="str">
        <f>'zeolites DComp'!F10</f>
        <v>MOR(Na)</v>
      </c>
      <c r="F10" s="3" t="s">
        <v>247</v>
      </c>
      <c r="G10" s="30">
        <v>-22.5</v>
      </c>
      <c r="I10" t="str">
        <f>'zeolites DComp'!P10</f>
        <v>2020aMA/LOT</v>
      </c>
      <c r="R10" t="s">
        <v>1031</v>
      </c>
    </row>
    <row r="11" spans="1:27" x14ac:dyDescent="0.35">
      <c r="B11" s="3" t="str">
        <f>'zeolites DComp'!C11</f>
        <v>LTA(Na)</v>
      </c>
      <c r="C11" s="3" t="str">
        <f>'zeolites DComp'!D11</f>
        <v>Lynda_type_A(Na)</v>
      </c>
      <c r="D11" s="3" t="str">
        <f>'zeolites DComp'!E11</f>
        <v>Na1.98Al1.98Si2.02O8(H2O)5.31</v>
      </c>
      <c r="E11" s="3" t="str">
        <f>'zeolites DComp'!F11</f>
        <v>LTA(Na)</v>
      </c>
      <c r="F11" s="3" t="s">
        <v>247</v>
      </c>
      <c r="G11" s="30">
        <v>-18.2</v>
      </c>
      <c r="I11" t="str">
        <f>'zeolites DComp'!P11</f>
        <v>2020aMA/LOT</v>
      </c>
      <c r="R11" s="34" t="s">
        <v>1032</v>
      </c>
    </row>
    <row r="12" spans="1:27" x14ac:dyDescent="0.35">
      <c r="B12" s="3" t="str">
        <f>'zeolites DComp'!C12</f>
        <v>4A</v>
      </c>
      <c r="C12" s="3" t="str">
        <f>'zeolites DComp'!D12</f>
        <v>Molec._sieve_4A</v>
      </c>
      <c r="D12" s="3" t="str">
        <f>'zeolites DComp'!E12</f>
        <v>Na2(Al2Si2)O8(H2O)4.5</v>
      </c>
      <c r="E12" s="3" t="str">
        <f>'zeolites DComp'!F12</f>
        <v>4A</v>
      </c>
      <c r="F12" s="3" t="s">
        <v>247</v>
      </c>
      <c r="G12" s="30">
        <v>-20.5</v>
      </c>
      <c r="I12" t="str">
        <f>'zeolites DComp'!P12</f>
        <v>2020aMA/LOT</v>
      </c>
      <c r="R12" t="s">
        <v>559</v>
      </c>
    </row>
    <row r="13" spans="1:27" x14ac:dyDescent="0.35">
      <c r="B13" s="3" t="str">
        <f>'zeolites DComp'!C13</f>
        <v>CAN(NO3)</v>
      </c>
      <c r="C13" s="3" t="str">
        <f>'zeolites DComp'!D13</f>
        <v>Cancrinite(NO3)</v>
      </c>
      <c r="D13" s="3" t="str">
        <f>'zeolites DComp'!E13</f>
        <v>Na8Al6Si6O24(NO3)2(H2O)4</v>
      </c>
      <c r="E13" s="3" t="str">
        <f>'zeolites DComp'!F13</f>
        <v>CAN(NO3)</v>
      </c>
      <c r="F13" s="3" t="s">
        <v>247</v>
      </c>
      <c r="G13" s="30">
        <v>-64.8</v>
      </c>
      <c r="I13" t="str">
        <f>'zeolites DComp'!P13</f>
        <v>2020aMA/LOT</v>
      </c>
      <c r="R13" t="s">
        <v>1030</v>
      </c>
    </row>
    <row r="14" spans="1:27" x14ac:dyDescent="0.35">
      <c r="B14" s="3" t="str">
        <f>'zeolites DComp'!C14</f>
        <v>SOD(OH)</v>
      </c>
      <c r="C14" s="3" t="str">
        <f>'zeolites DComp'!D14</f>
        <v>Hydrosodalite</v>
      </c>
      <c r="D14" s="3" t="str">
        <f>'zeolites DComp'!E14</f>
        <v>Na8(Al6Si6)O24(OH)2(H2O)2</v>
      </c>
      <c r="E14" s="3" t="str">
        <f>'zeolites DComp'!F14</f>
        <v>SOD(OH)</v>
      </c>
      <c r="F14" s="3" t="s">
        <v>247</v>
      </c>
      <c r="G14" s="30">
        <v>-65.2</v>
      </c>
      <c r="I14" t="str">
        <f>'zeolites DComp'!P14</f>
        <v>2020aMA/LOT</v>
      </c>
      <c r="R14" t="s">
        <v>1028</v>
      </c>
    </row>
    <row r="15" spans="1:27" x14ac:dyDescent="0.35">
      <c r="B15" s="3" t="str">
        <f>'zeolites DComp'!C15</f>
        <v>PHI(NaK)</v>
      </c>
      <c r="C15" s="3" t="str">
        <f>'zeolites DComp'!D15</f>
        <v>Phillipsite(NaK)</v>
      </c>
      <c r="D15" s="3" t="str">
        <f>'zeolites DComp'!E15</f>
        <v>Na1.5K(Al2.5Si5.5)O16(H2O)5</v>
      </c>
      <c r="E15" s="3" t="str">
        <f>'zeolites DComp'!F15</f>
        <v>PHI(NaK)</v>
      </c>
      <c r="F15" s="3" t="s">
        <v>247</v>
      </c>
      <c r="G15" s="30">
        <v>-39.875</v>
      </c>
      <c r="I15" t="str">
        <f>'zeolites DComp'!P15</f>
        <v>2020aMA/LOT</v>
      </c>
      <c r="R15" t="s">
        <v>560</v>
      </c>
    </row>
    <row r="16" spans="1:27" x14ac:dyDescent="0.35">
      <c r="B16" s="3" t="str">
        <f>'zeolites DComp'!C16</f>
        <v>GIS-LS-P(Ca)</v>
      </c>
      <c r="C16" s="3" t="str">
        <f>'zeolites DComp'!D16</f>
        <v>Low-silica_P(Ca)</v>
      </c>
      <c r="D16" s="3" t="str">
        <f>'zeolites DComp'!E16</f>
        <v>Ca(Al2Si2)O8(H2O)4.5</v>
      </c>
      <c r="E16" s="3" t="str">
        <f>'zeolites DComp'!F16</f>
        <v>GIS-LS-P(Ca)</v>
      </c>
      <c r="F16" s="3" t="s">
        <v>247</v>
      </c>
      <c r="G16" s="30">
        <v>-23.5</v>
      </c>
      <c r="I16" t="str">
        <f>'zeolites DComp'!P16</f>
        <v>2020bMA/LOT</v>
      </c>
      <c r="R16" t="s">
        <v>561</v>
      </c>
    </row>
    <row r="17" spans="2:18" x14ac:dyDescent="0.35">
      <c r="B17" s="3" t="str">
        <f>'zeolites DComp'!C17</f>
        <v>SCO</v>
      </c>
      <c r="C17" s="3" t="str">
        <f>'zeolites DComp'!D17</f>
        <v>Scolecite</v>
      </c>
      <c r="D17" s="3" t="str">
        <f>'zeolites DComp'!E17</f>
        <v xml:space="preserve">Ca(Al2Si3O10)(H2O)3 </v>
      </c>
      <c r="E17" s="3" t="str">
        <f>'zeolites DComp'!F17</f>
        <v>SCO</v>
      </c>
      <c r="F17" s="3" t="s">
        <v>247</v>
      </c>
      <c r="G17" s="30">
        <v>-24.7</v>
      </c>
      <c r="I17" t="str">
        <f>'zeolites DComp'!P17</f>
        <v>2020bMA/LOT</v>
      </c>
      <c r="R17" t="s">
        <v>562</v>
      </c>
    </row>
    <row r="18" spans="2:18" x14ac:dyDescent="0.35">
      <c r="B18" s="3" t="str">
        <f>'zeolites DComp'!C18</f>
        <v>CHA(Ca)</v>
      </c>
      <c r="C18" s="3" t="str">
        <f>'zeolites DComp'!D18</f>
        <v>Chabazite(Ca)</v>
      </c>
      <c r="D18" s="3" t="str">
        <f>'zeolites DComp'!E18</f>
        <v>Ca(Al2Si4)O12(H2O)6</v>
      </c>
      <c r="E18" s="3" t="str">
        <f>'zeolites DComp'!F18</f>
        <v>CHA(Ca)</v>
      </c>
      <c r="F18" s="3" t="s">
        <v>247</v>
      </c>
      <c r="G18" s="30">
        <v>-31.45</v>
      </c>
      <c r="I18" t="str">
        <f>'zeolites DComp'!P18</f>
        <v>2020bMA/LOT</v>
      </c>
      <c r="R18" t="s">
        <v>563</v>
      </c>
    </row>
    <row r="19" spans="2:18" x14ac:dyDescent="0.35">
      <c r="B19" s="3" t="str">
        <f>'zeolites DComp'!C19</f>
        <v>HEU(Ca)-1</v>
      </c>
      <c r="C19" s="3" t="str">
        <f>'zeolites DComp'!D19</f>
        <v>Heulandite1(Ca)</v>
      </c>
      <c r="D19" s="3" t="str">
        <f>'zeolites DComp'!E19</f>
        <v>Ca1.07Al2.14Si6.86O18(H2O)4.4</v>
      </c>
      <c r="E19" s="3" t="str">
        <f>'zeolites DComp'!F19</f>
        <v>HEU(Ca)-1</v>
      </c>
      <c r="F19" s="3" t="s">
        <v>247</v>
      </c>
      <c r="G19" s="30">
        <v>-40.392856999999999</v>
      </c>
      <c r="I19" t="str">
        <f>'zeolites DComp'!P19</f>
        <v>2020bMA/LOT</v>
      </c>
      <c r="R19" t="s">
        <v>1033</v>
      </c>
    </row>
    <row r="20" spans="2:18" x14ac:dyDescent="0.35">
      <c r="B20" s="3" t="str">
        <f>'zeolites DComp'!C20</f>
        <v>HEU(Ca)-2</v>
      </c>
      <c r="C20" s="3" t="str">
        <f>'zeolites DComp'!D20</f>
        <v>Heulandite2(Ca)</v>
      </c>
      <c r="D20" s="3" t="str">
        <f>'zeolites DComp'!E20</f>
        <v>Ca1.07Al2.14Si6.86O18(H2O)4.5</v>
      </c>
      <c r="E20" s="3" t="str">
        <f>'zeolites DComp'!F20</f>
        <v>HEU(Ca)-2</v>
      </c>
      <c r="F20" s="3" t="s">
        <v>247</v>
      </c>
      <c r="G20" s="30">
        <v>-39.321429000000002</v>
      </c>
      <c r="I20" t="str">
        <f>'zeolites DComp'!P20</f>
        <v>2020bMA/LOT</v>
      </c>
      <c r="R20" t="s">
        <v>1034</v>
      </c>
    </row>
    <row r="21" spans="2:18" x14ac:dyDescent="0.35">
      <c r="B21" s="3" t="str">
        <f>'zeolites DComp'!C21</f>
        <v>MOR(Ca)</v>
      </c>
      <c r="C21" s="3" t="str">
        <f>'zeolites DComp'!D21</f>
        <v>Mordenite(Ca)</v>
      </c>
      <c r="D21" s="3" t="str">
        <f>'zeolites DComp'!E21</f>
        <v>Ca0.34Al0.68Si5.32O12(H2O)2.9</v>
      </c>
      <c r="E21" s="3" t="str">
        <f>'zeolites DComp'!F21</f>
        <v>MOR(Ca)</v>
      </c>
      <c r="F21" s="3" t="s">
        <v>247</v>
      </c>
      <c r="G21" s="30">
        <v>-21.64</v>
      </c>
      <c r="I21" t="str">
        <f>'zeolites DComp'!P21</f>
        <v>2020bMA/LOT</v>
      </c>
      <c r="R21" t="s">
        <v>1029</v>
      </c>
    </row>
    <row r="22" spans="2:18" x14ac:dyDescent="0.35">
      <c r="B22" s="3" t="str">
        <f>'zeolites DComp'!C22</f>
        <v>CLI(Ca)</v>
      </c>
      <c r="C22" s="3" t="str">
        <f>'zeolites DComp'!D22</f>
        <v>Clinoptil.(Ca)</v>
      </c>
      <c r="D22" s="3" t="str">
        <f>'zeolites DComp'!E22</f>
        <v>Ca0.52Al1.04Si4.96O12(H2O)3.1</v>
      </c>
      <c r="E22" s="3" t="str">
        <f>'zeolites DComp'!F22</f>
        <v>CLI(Ca)</v>
      </c>
      <c r="F22" s="3" t="s">
        <v>247</v>
      </c>
      <c r="G22" s="30">
        <v>-23.637930999999998</v>
      </c>
      <c r="I22" t="str">
        <f>'zeolites DComp'!P22</f>
        <v>2020bMA/LOT</v>
      </c>
      <c r="R22" t="s">
        <v>564</v>
      </c>
    </row>
    <row r="23" spans="2:18" x14ac:dyDescent="0.35">
      <c r="B23" s="3" t="str">
        <f>'zeolites DComp'!C23</f>
        <v>STI(Ca)</v>
      </c>
      <c r="C23" s="3" t="str">
        <f>'zeolites DComp'!D23</f>
        <v>Stilbite(Ca)</v>
      </c>
      <c r="D23" s="3" t="str">
        <f>'zeolites DComp'!E23</f>
        <v>Ca1.11Al2.22Si6.78O18(H2O)6.8</v>
      </c>
      <c r="E23" s="3" t="str">
        <f>'zeolites DComp'!F23</f>
        <v>STI(Ca)</v>
      </c>
      <c r="F23" s="3" t="s">
        <v>247</v>
      </c>
      <c r="G23" s="30">
        <v>-40.43</v>
      </c>
      <c r="I23" t="str">
        <f>'zeolites DComp'!P23</f>
        <v>2020bMA/LOT</v>
      </c>
      <c r="R23" t="s">
        <v>1035</v>
      </c>
    </row>
    <row r="24" spans="2:18" x14ac:dyDescent="0.35">
      <c r="B24" s="3" t="str">
        <f>'zeolites DComp'!C24</f>
        <v>CHA-Y(K)</v>
      </c>
      <c r="C24" s="3" t="str">
        <f>'zeolites DComp'!D24</f>
        <v>Chabazite(K)</v>
      </c>
      <c r="D24" s="3" t="str">
        <f>'zeolites DComp'!E24</f>
        <v>K2Al2Si4O12(H2O)4</v>
      </c>
      <c r="E24" s="3" t="str">
        <f>'zeolites DComp'!F24</f>
        <v>CHA-Y(K)</v>
      </c>
      <c r="F24" s="3" t="s">
        <v>247</v>
      </c>
      <c r="G24" s="30">
        <v>-32.299999999999997</v>
      </c>
      <c r="I24" t="str">
        <f>'zeolites DComp'!P24</f>
        <v>2021MA/LOT</v>
      </c>
      <c r="R24" t="s">
        <v>565</v>
      </c>
    </row>
    <row r="25" spans="2:18" x14ac:dyDescent="0.35">
      <c r="B25" s="3" t="str">
        <f>'zeolites DComp'!C25</f>
        <v>CLI(K)</v>
      </c>
      <c r="C25" s="3" t="str">
        <f>'zeolites DComp'!D25</f>
        <v>Clinoptil.(K)</v>
      </c>
      <c r="D25" s="3" t="str">
        <f>'zeolites DComp'!E25</f>
        <v>K1.01Al1.01Si4.99O12(H2O)2.3</v>
      </c>
      <c r="E25" s="3" t="str">
        <f>'zeolites DComp'!F25</f>
        <v>CLI(K)</v>
      </c>
      <c r="F25" s="3" t="s">
        <v>247</v>
      </c>
      <c r="G25" s="30">
        <v>-26.8</v>
      </c>
      <c r="I25" t="str">
        <f>'zeolites DComp'!P25</f>
        <v>2021MA/LOT</v>
      </c>
      <c r="R25" t="s">
        <v>1036</v>
      </c>
    </row>
    <row r="26" spans="2:18" x14ac:dyDescent="0.35">
      <c r="B26" s="3" t="str">
        <f>'zeolites DComp'!C26</f>
        <v>FAU-X(K)</v>
      </c>
      <c r="C26" s="3" t="str">
        <f>'zeolites DComp'!D26</f>
        <v>Faujasite-X(K)</v>
      </c>
      <c r="D26" s="3" t="str">
        <f>'zeolites DComp'!E26</f>
        <v>K2.03Al2.03Si2.47O9(H2O)6.04</v>
      </c>
      <c r="E26" s="3" t="str">
        <f>'zeolites DComp'!F26</f>
        <v>FAU-X(K)</v>
      </c>
      <c r="F26" s="3" t="s">
        <v>247</v>
      </c>
      <c r="G26" s="30">
        <v>-22.5</v>
      </c>
      <c r="I26" t="str">
        <f>'zeolites DComp'!P26</f>
        <v>2021MA/LOT</v>
      </c>
      <c r="R26" t="s">
        <v>566</v>
      </c>
    </row>
    <row r="27" spans="2:18" x14ac:dyDescent="0.35">
      <c r="B27" s="3" t="str">
        <f>'zeolites DComp'!C27</f>
        <v>FAU-Y(K)</v>
      </c>
      <c r="C27" s="3" t="str">
        <f>'zeolites DComp'!D27</f>
        <v>Faujasite-Y(K)</v>
      </c>
      <c r="D27" s="3" t="str">
        <f>'zeolites DComp'!E27</f>
        <v>K2.18Al2.18Si3.82O12(H2O)7.72</v>
      </c>
      <c r="E27" s="3" t="str">
        <f>'zeolites DComp'!F27</f>
        <v>FAU-Y(K)</v>
      </c>
      <c r="F27" s="3" t="s">
        <v>247</v>
      </c>
      <c r="G27" s="30">
        <v>-32.35</v>
      </c>
      <c r="I27" t="str">
        <f>'zeolites DComp'!P27</f>
        <v>2021MA/LOT</v>
      </c>
      <c r="R27" t="s">
        <v>567</v>
      </c>
    </row>
    <row r="28" spans="2:18" x14ac:dyDescent="0.35">
      <c r="B28" s="3" t="str">
        <f>'zeolites DComp'!C28</f>
        <v>GIS-LSP(K)</v>
      </c>
      <c r="C28" s="3" t="str">
        <f>'zeolites DComp'!D28</f>
        <v>Low-silica_P(K)</v>
      </c>
      <c r="D28" s="3" t="str">
        <f>'zeolites DComp'!E28</f>
        <v>K2Al2Si2O8(H2O)2</v>
      </c>
      <c r="E28" s="3" t="str">
        <f>'zeolites DComp'!F28</f>
        <v>GIS-LSP(K)</v>
      </c>
      <c r="F28" s="3" t="s">
        <v>247</v>
      </c>
      <c r="G28" s="30">
        <v>-19.600000000000001</v>
      </c>
      <c r="I28" t="str">
        <f>'zeolites DComp'!P28</f>
        <v>2021MA/LOT</v>
      </c>
      <c r="R28" t="s">
        <v>568</v>
      </c>
    </row>
    <row r="29" spans="2:18" x14ac:dyDescent="0.35">
      <c r="B29" s="3" t="str">
        <f>'zeolites DComp'!C29</f>
        <v>GIS-P1(K)</v>
      </c>
      <c r="C29" s="3" t="str">
        <f>'zeolites DComp'!D29</f>
        <v>Low-silica_P1(K)</v>
      </c>
      <c r="D29" s="3" t="str">
        <f>'zeolites DComp'!E29</f>
        <v>K1.67Al1.67Si2.33O8(H2O)1.9</v>
      </c>
      <c r="E29" s="3" t="str">
        <f>'zeolites DComp'!F29</f>
        <v>GIS-P1(K)</v>
      </c>
      <c r="F29" s="3" t="s">
        <v>247</v>
      </c>
      <c r="G29" s="30">
        <v>-21.2</v>
      </c>
      <c r="I29" t="str">
        <f>'zeolites DComp'!P29</f>
        <v>2021MA/LOT</v>
      </c>
      <c r="R29" t="s">
        <v>569</v>
      </c>
    </row>
    <row r="30" spans="2:18" x14ac:dyDescent="0.35">
      <c r="B30" s="3" t="str">
        <f>'zeolites DComp'!C30</f>
        <v>HEU(K)</v>
      </c>
      <c r="C30" s="3" t="str">
        <f>'zeolites DComp'!D30</f>
        <v>Heulandite(K)</v>
      </c>
      <c r="D30" s="3" t="str">
        <f>'zeolites DComp'!E30</f>
        <v>K2.22Al2.22Si6.78O18(H2O)4.7</v>
      </c>
      <c r="E30" s="3" t="str">
        <f>'zeolites DComp'!F30</f>
        <v>HEU(K)</v>
      </c>
      <c r="F30" s="3" t="s">
        <v>247</v>
      </c>
      <c r="G30" s="30">
        <v>-45.15</v>
      </c>
      <c r="I30" t="str">
        <f>'zeolites DComp'!P30</f>
        <v>2021MA/LOT</v>
      </c>
      <c r="R30" t="s">
        <v>1037</v>
      </c>
    </row>
    <row r="31" spans="2:18" x14ac:dyDescent="0.35">
      <c r="B31" s="3" t="str">
        <f>'zeolites DComp'!C31</f>
        <v>LEU</v>
      </c>
      <c r="C31" s="3" t="str">
        <f>'zeolites DComp'!D31</f>
        <v>Leucite</v>
      </c>
      <c r="D31" s="3" t="str">
        <f>'zeolites DComp'!E31</f>
        <v>K2Al2Si4O12</v>
      </c>
      <c r="E31" s="3" t="str">
        <f>'zeolites DComp'!F31</f>
        <v>LEU</v>
      </c>
      <c r="F31" s="3" t="s">
        <v>247</v>
      </c>
      <c r="G31" s="30">
        <v>-27.6</v>
      </c>
      <c r="I31" t="str">
        <f>'zeolites DComp'!P31</f>
        <v>2021MA/LOT</v>
      </c>
      <c r="R31" t="s">
        <v>570</v>
      </c>
    </row>
    <row r="32" spans="2:18" x14ac:dyDescent="0.35">
      <c r="B32" s="3" t="str">
        <f>'zeolites DComp'!C32</f>
        <v>LTA(K)</v>
      </c>
      <c r="C32" s="3" t="str">
        <f>'zeolites DComp'!D32</f>
        <v>Lynda_type_A(K)</v>
      </c>
      <c r="D32" s="3" t="str">
        <f>'zeolites DComp'!E32</f>
        <v>K2Al2Si2O8(H2O)3.3</v>
      </c>
      <c r="E32" s="3" t="str">
        <f>'zeolites DComp'!F32</f>
        <v>LTA(K)</v>
      </c>
      <c r="F32" s="3" t="s">
        <v>247</v>
      </c>
      <c r="G32" s="30">
        <v>-20.5</v>
      </c>
      <c r="I32" t="str">
        <f>'zeolites DComp'!P32</f>
        <v>2021MA/LOT</v>
      </c>
      <c r="R32" t="s">
        <v>571</v>
      </c>
    </row>
    <row r="33" spans="2:18" x14ac:dyDescent="0.35">
      <c r="B33" s="3" t="str">
        <f>'zeolites DComp'!C33</f>
        <v>MOR(K)</v>
      </c>
      <c r="C33" s="3" t="str">
        <f>'zeolites DComp'!D33</f>
        <v>Mordenite(K)</v>
      </c>
      <c r="D33" s="3" t="str">
        <f>'zeolites DComp'!E33</f>
        <v>K0.65Al0.65Si5.35O12(H2O)2.3</v>
      </c>
      <c r="E33" s="3" t="str">
        <f>'zeolites DComp'!F33</f>
        <v>MOR(K)</v>
      </c>
      <c r="F33" s="3" t="s">
        <v>247</v>
      </c>
      <c r="G33" s="30">
        <v>-22</v>
      </c>
      <c r="I33" t="str">
        <f>'zeolites DComp'!P33</f>
        <v>2021MA/LOT</v>
      </c>
      <c r="R33" t="s">
        <v>1038</v>
      </c>
    </row>
    <row r="34" spans="2:18" x14ac:dyDescent="0.35">
      <c r="B34" s="3" t="str">
        <f>'zeolites DComp'!C34</f>
        <v>NAT(K)</v>
      </c>
      <c r="C34" s="3" t="str">
        <f>'zeolites DComp'!D34</f>
        <v>Natrolite(K)</v>
      </c>
      <c r="D34" s="3" t="str">
        <f>'zeolites DComp'!E34</f>
        <v>K2Al2Si3O10(H2O)2</v>
      </c>
      <c r="E34" s="3" t="str">
        <f>'zeolites DComp'!F34</f>
        <v>NAT(K)</v>
      </c>
      <c r="F34" s="3" t="s">
        <v>247</v>
      </c>
      <c r="G34" s="30">
        <v>-26.35</v>
      </c>
      <c r="I34" t="str">
        <f>'zeolites DComp'!P34</f>
        <v>2021MA/LOT</v>
      </c>
      <c r="R34" t="s">
        <v>572</v>
      </c>
    </row>
    <row r="35" spans="2:18" x14ac:dyDescent="0.35">
      <c r="B35" s="3" t="str">
        <f>'zeolites DComp'!C35</f>
        <v>PHI(K)</v>
      </c>
      <c r="C35" s="3" t="str">
        <f>'zeolites DComp'!D35</f>
        <v>Phillipsite(K)</v>
      </c>
      <c r="D35" s="3" t="str">
        <f>'zeolites DComp'!E35</f>
        <v>K2.5Al2.5Si5.5O16(H2O)5</v>
      </c>
      <c r="E35" s="3" t="str">
        <f>'zeolites DComp'!F35</f>
        <v>PHI(K)</v>
      </c>
      <c r="F35" s="3" t="s">
        <v>247</v>
      </c>
      <c r="G35" s="30">
        <v>-42.6</v>
      </c>
      <c r="I35" t="str">
        <f>'zeolites DComp'!P35</f>
        <v>2021MA/LOT</v>
      </c>
      <c r="R35" t="s">
        <v>573</v>
      </c>
    </row>
    <row r="36" spans="2:18" x14ac:dyDescent="0.35">
      <c r="B36" s="3" t="str">
        <f>'zeolites DComp'!C36</f>
        <v>STI(K)</v>
      </c>
      <c r="C36" s="3" t="str">
        <f>'zeolites DComp'!D36</f>
        <v>Stilbite(K)</v>
      </c>
      <c r="D36" s="3" t="str">
        <f>'zeolites DComp'!E36</f>
        <v>K2.20Al2.20Si6.80O18(H2O)4.8</v>
      </c>
      <c r="E36" s="3" t="str">
        <f>'zeolites DComp'!F36</f>
        <v>STI(K)</v>
      </c>
      <c r="F36" s="3" t="s">
        <v>247</v>
      </c>
      <c r="G36" s="30">
        <v>-45.2</v>
      </c>
      <c r="I36" t="str">
        <f>'zeolites DComp'!P36</f>
        <v>2021MA/LOT</v>
      </c>
      <c r="R36" t="s">
        <v>574</v>
      </c>
    </row>
    <row r="37" spans="2:18" x14ac:dyDescent="0.35">
      <c r="B37" s="3" t="str">
        <f>'zeolites DComp'!C37</f>
        <v>tetra-NAT(K)</v>
      </c>
      <c r="C37" s="3" t="str">
        <f>'zeolites DComp'!D37</f>
        <v>tetra-Natrol.(K)</v>
      </c>
      <c r="D37" s="3" t="str">
        <f>'zeolites DComp'!E37</f>
        <v>K2Al2Si3O10(H2O)2</v>
      </c>
      <c r="E37" s="3" t="str">
        <f>'zeolites DComp'!F37</f>
        <v>tetra-NAT(K)</v>
      </c>
      <c r="F37" s="3" t="s">
        <v>247</v>
      </c>
      <c r="G37" s="30">
        <v>-25.27</v>
      </c>
      <c r="I37" t="str">
        <f>'zeolites DComp'!P37</f>
        <v>2021MA/LOT</v>
      </c>
      <c r="R37" t="s">
        <v>575</v>
      </c>
    </row>
  </sheetData>
  <conditionalFormatting sqref="B1">
    <cfRule type="expression" dxfId="2" priority="2">
      <formula>LEN(B1)&gt;16</formula>
    </cfRule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036-0855-4EF3-A124-237FA5AB42F6}">
  <sheetPr>
    <tabColor theme="5" tint="-0.249977111117893"/>
  </sheetPr>
  <dimension ref="A1:AL43"/>
  <sheetViews>
    <sheetView workbookViewId="0">
      <selection activeCell="P21" sqref="P21:P23"/>
    </sheetView>
  </sheetViews>
  <sheetFormatPr defaultRowHeight="15.5" x14ac:dyDescent="0.35"/>
  <cols>
    <col min="1" max="1" width="10.58203125" bestFit="1" customWidth="1"/>
    <col min="2" max="2" width="21.6640625" bestFit="1" customWidth="1"/>
    <col min="3" max="3" width="12.5" bestFit="1" customWidth="1"/>
    <col min="4" max="4" width="19.6640625" bestFit="1" customWidth="1"/>
    <col min="5" max="5" width="39.08203125" customWidth="1"/>
    <col min="6" max="6" width="13.1640625" customWidth="1"/>
    <col min="16" max="16" width="24.6640625" bestFit="1" customWidth="1"/>
    <col min="18" max="18" width="24.6640625" bestFit="1" customWidth="1"/>
    <col min="19" max="19" width="18.33203125" customWidth="1"/>
    <col min="21" max="21" width="11.5" customWidth="1"/>
    <col min="22" max="22" width="22.6640625" bestFit="1" customWidth="1"/>
  </cols>
  <sheetData>
    <row r="1" spans="1:38" s="3" customFormat="1" ht="14.5" customHeight="1" x14ac:dyDescent="0.35">
      <c r="A1" s="3" t="s">
        <v>325</v>
      </c>
      <c r="C1" s="3" t="s">
        <v>59</v>
      </c>
      <c r="D1" s="3" t="s">
        <v>60</v>
      </c>
      <c r="E1" s="3" t="s">
        <v>61</v>
      </c>
      <c r="F1" s="3" t="s">
        <v>262</v>
      </c>
      <c r="G1" s="3" t="s">
        <v>75</v>
      </c>
      <c r="H1" s="3" t="s">
        <v>65</v>
      </c>
      <c r="I1" s="3" t="s">
        <v>66</v>
      </c>
      <c r="J1" s="3" t="s">
        <v>143</v>
      </c>
      <c r="K1" s="3" t="s">
        <v>67</v>
      </c>
      <c r="L1" s="3" t="s">
        <v>68</v>
      </c>
      <c r="M1" s="3" t="s">
        <v>144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145</v>
      </c>
      <c r="T1" s="3" t="s">
        <v>146</v>
      </c>
      <c r="U1" s="3" t="s">
        <v>147</v>
      </c>
      <c r="V1" s="3" t="s">
        <v>148</v>
      </c>
      <c r="W1" s="3" t="s">
        <v>263</v>
      </c>
      <c r="X1" s="3" t="s">
        <v>238</v>
      </c>
      <c r="Y1" s="3" t="s">
        <v>239</v>
      </c>
      <c r="Z1" s="3" t="s">
        <v>240</v>
      </c>
      <c r="AA1" s="3" t="s">
        <v>241</v>
      </c>
      <c r="AB1" s="3" t="s">
        <v>264</v>
      </c>
      <c r="AC1" s="3" t="s">
        <v>243</v>
      </c>
      <c r="AD1" s="3" t="s">
        <v>265</v>
      </c>
      <c r="AE1" s="3" t="s">
        <v>245</v>
      </c>
      <c r="AF1" s="3" t="s">
        <v>266</v>
      </c>
      <c r="AG1" s="3" t="s">
        <v>267</v>
      </c>
      <c r="AH1" s="3" t="s">
        <v>268</v>
      </c>
      <c r="AI1" s="3" t="s">
        <v>269</v>
      </c>
      <c r="AJ1" s="20" t="s">
        <v>6</v>
      </c>
      <c r="AK1" s="20" t="s">
        <v>2</v>
      </c>
      <c r="AL1" s="21" t="s">
        <v>7</v>
      </c>
    </row>
    <row r="2" spans="1:38" x14ac:dyDescent="0.35">
      <c r="A2" t="s">
        <v>576</v>
      </c>
      <c r="B2" t="s">
        <v>577</v>
      </c>
      <c r="C2" t="s">
        <v>578</v>
      </c>
      <c r="D2" t="s">
        <v>579</v>
      </c>
      <c r="E2" t="s">
        <v>580</v>
      </c>
      <c r="F2" t="s">
        <v>578</v>
      </c>
      <c r="N2">
        <v>173.4</v>
      </c>
      <c r="P2" t="str">
        <f>Ref!$A$18</f>
        <v>2011KUL</v>
      </c>
      <c r="Q2">
        <v>232.8</v>
      </c>
      <c r="S2" t="str">
        <f>Ref!$A$18</f>
        <v>2011KUL</v>
      </c>
      <c r="T2">
        <v>81</v>
      </c>
      <c r="V2" t="str">
        <f>Ref!$A$18</f>
        <v>2011KUL</v>
      </c>
      <c r="X2">
        <v>232.8</v>
      </c>
      <c r="Z2" s="31">
        <v>0</v>
      </c>
      <c r="AB2" s="31">
        <v>0</v>
      </c>
      <c r="AH2">
        <v>273.14999999999998</v>
      </c>
      <c r="AI2">
        <v>423.15</v>
      </c>
    </row>
    <row r="3" spans="1:38" x14ac:dyDescent="0.35">
      <c r="A3" t="s">
        <v>576</v>
      </c>
      <c r="C3" t="s">
        <v>581</v>
      </c>
      <c r="D3" t="s">
        <v>582</v>
      </c>
      <c r="E3" t="s">
        <v>583</v>
      </c>
      <c r="F3" t="s">
        <v>581</v>
      </c>
      <c r="N3">
        <v>142.5</v>
      </c>
      <c r="P3" t="str">
        <f>Ref!$A$18</f>
        <v>2011KUL</v>
      </c>
      <c r="Q3">
        <v>207.9</v>
      </c>
      <c r="S3" t="str">
        <f>Ref!$A$18</f>
        <v>2011KUL</v>
      </c>
      <c r="T3">
        <v>76</v>
      </c>
      <c r="V3" t="str">
        <f>Ref!$A$18</f>
        <v>2011KUL</v>
      </c>
      <c r="X3">
        <v>207.9</v>
      </c>
      <c r="Z3" s="31">
        <v>0</v>
      </c>
      <c r="AB3" s="31">
        <v>0</v>
      </c>
      <c r="AH3">
        <v>273.14999999999998</v>
      </c>
      <c r="AI3">
        <v>423.15</v>
      </c>
    </row>
    <row r="4" spans="1:38" x14ac:dyDescent="0.35">
      <c r="A4" t="s">
        <v>576</v>
      </c>
      <c r="C4" t="s">
        <v>584</v>
      </c>
      <c r="D4" t="s">
        <v>585</v>
      </c>
      <c r="E4" t="s">
        <v>586</v>
      </c>
      <c r="F4" t="s">
        <v>584</v>
      </c>
      <c r="N4">
        <v>121.8</v>
      </c>
      <c r="P4" t="str">
        <f>Ref!$A$18</f>
        <v>2011KUL</v>
      </c>
      <c r="Q4">
        <v>166.9</v>
      </c>
      <c r="S4" t="str">
        <f>Ref!$A$18</f>
        <v>2011KUL</v>
      </c>
      <c r="T4">
        <v>48</v>
      </c>
      <c r="V4" t="str">
        <f>Ref!$A$18</f>
        <v>2011KUL</v>
      </c>
      <c r="X4">
        <v>166.9</v>
      </c>
      <c r="Z4" s="31">
        <v>0</v>
      </c>
      <c r="AB4" s="31">
        <v>0</v>
      </c>
      <c r="AH4">
        <v>273.14999999999998</v>
      </c>
      <c r="AI4">
        <v>423.15</v>
      </c>
    </row>
    <row r="5" spans="1:38" x14ac:dyDescent="0.35">
      <c r="A5" t="s">
        <v>576</v>
      </c>
      <c r="C5" t="s">
        <v>587</v>
      </c>
      <c r="D5" t="s">
        <v>588</v>
      </c>
      <c r="E5" t="s">
        <v>589</v>
      </c>
      <c r="F5" t="s">
        <v>587</v>
      </c>
      <c r="N5">
        <v>89.9</v>
      </c>
      <c r="P5" t="str">
        <f>Ref!$A$18</f>
        <v>2011KUL</v>
      </c>
      <c r="Q5">
        <v>141.6</v>
      </c>
      <c r="S5" t="str">
        <f>Ref!$A$18</f>
        <v>2011KUL</v>
      </c>
      <c r="T5">
        <v>55</v>
      </c>
      <c r="V5" t="str">
        <f>Ref!$A$18</f>
        <v>2011KUL</v>
      </c>
      <c r="X5">
        <v>141.6</v>
      </c>
      <c r="Z5" s="31">
        <v>0</v>
      </c>
      <c r="AB5" s="31">
        <v>0</v>
      </c>
      <c r="AH5">
        <v>273.14999999999998</v>
      </c>
      <c r="AI5">
        <v>423.15</v>
      </c>
    </row>
    <row r="6" spans="1:38" x14ac:dyDescent="0.35">
      <c r="A6" t="s">
        <v>576</v>
      </c>
      <c r="C6" t="s">
        <v>590</v>
      </c>
      <c r="D6" t="s">
        <v>591</v>
      </c>
      <c r="E6" t="s">
        <v>592</v>
      </c>
      <c r="F6" t="s">
        <v>590</v>
      </c>
      <c r="N6">
        <v>41.34</v>
      </c>
      <c r="P6" t="str">
        <f>Ref!$A$19</f>
        <v>2012LOT/SAO</v>
      </c>
      <c r="Q6">
        <v>43.86</v>
      </c>
      <c r="S6" t="str">
        <f>Ref!$A$19</f>
        <v>2012LOT/SAO</v>
      </c>
      <c r="T6">
        <v>12.4</v>
      </c>
      <c r="V6" t="str">
        <f>Ref!$A$19</f>
        <v>2012LOT/SAO</v>
      </c>
      <c r="X6">
        <v>46.94</v>
      </c>
      <c r="Z6" s="31">
        <v>3.4308999999999999E-2</v>
      </c>
      <c r="AB6" s="31">
        <v>-1129700</v>
      </c>
      <c r="AH6">
        <v>273.14999999999998</v>
      </c>
      <c r="AI6">
        <v>622.15</v>
      </c>
    </row>
    <row r="7" spans="1:38" x14ac:dyDescent="0.35">
      <c r="A7" t="s">
        <v>576</v>
      </c>
      <c r="C7" t="s">
        <v>593</v>
      </c>
      <c r="D7" t="s">
        <v>594</v>
      </c>
      <c r="E7" t="s">
        <v>595</v>
      </c>
      <c r="F7" t="s">
        <v>593</v>
      </c>
      <c r="N7">
        <v>41.34</v>
      </c>
      <c r="P7" t="str">
        <f>Ref!$A$19</f>
        <v>2012LOT/SAO</v>
      </c>
      <c r="Q7">
        <v>43.86</v>
      </c>
      <c r="S7" t="str">
        <f>Ref!$A$19</f>
        <v>2012LOT/SAO</v>
      </c>
      <c r="T7">
        <v>10.5</v>
      </c>
      <c r="V7" t="str">
        <f>Ref!$A$19</f>
        <v>2012LOT/SAO</v>
      </c>
      <c r="X7">
        <v>46.94</v>
      </c>
      <c r="Z7" s="31">
        <v>3.4308999999999999E-2</v>
      </c>
      <c r="AB7" s="31">
        <v>-1129700</v>
      </c>
      <c r="AH7">
        <v>273.14999999999998</v>
      </c>
      <c r="AI7">
        <v>622.15</v>
      </c>
    </row>
    <row r="8" spans="1:38" x14ac:dyDescent="0.35">
      <c r="A8" t="s">
        <v>576</v>
      </c>
      <c r="B8" t="s">
        <v>596</v>
      </c>
      <c r="C8" t="s">
        <v>587</v>
      </c>
      <c r="D8" t="s">
        <v>597</v>
      </c>
      <c r="E8" t="s">
        <v>598</v>
      </c>
      <c r="F8" t="s">
        <v>587</v>
      </c>
      <c r="N8">
        <v>152.80000000000001</v>
      </c>
      <c r="P8" t="str">
        <f>Ref!$A$18</f>
        <v>2011KUL</v>
      </c>
      <c r="Q8">
        <v>231.2</v>
      </c>
      <c r="S8" t="str">
        <f>Ref!$A$18</f>
        <v>2011KUL</v>
      </c>
      <c r="T8">
        <v>85</v>
      </c>
      <c r="V8" t="str">
        <f>Ref!$A$18</f>
        <v>2011KUL</v>
      </c>
      <c r="X8">
        <v>231.2</v>
      </c>
      <c r="AH8">
        <v>273.14999999999998</v>
      </c>
      <c r="AI8">
        <v>363.15</v>
      </c>
    </row>
    <row r="9" spans="1:38" x14ac:dyDescent="0.35">
      <c r="A9" t="s">
        <v>576</v>
      </c>
      <c r="C9" t="s">
        <v>599</v>
      </c>
      <c r="D9" t="s">
        <v>600</v>
      </c>
      <c r="E9" t="s">
        <v>601</v>
      </c>
      <c r="F9" t="s">
        <v>599</v>
      </c>
      <c r="N9">
        <v>154.5</v>
      </c>
      <c r="P9" t="str">
        <f>Ref!$A$20</f>
        <v>2014MYE/BER</v>
      </c>
      <c r="Q9">
        <v>180.88</v>
      </c>
      <c r="S9" t="str">
        <f>Ref!$A$20</f>
        <v>2014MYE/BER</v>
      </c>
      <c r="T9">
        <v>59.31</v>
      </c>
      <c r="V9" t="str">
        <f>Ref!$A$20</f>
        <v>2014MYE/BER</v>
      </c>
      <c r="X9">
        <v>180.88</v>
      </c>
      <c r="AH9">
        <v>273.14999999999998</v>
      </c>
      <c r="AI9">
        <v>373.15</v>
      </c>
    </row>
    <row r="10" spans="1:38" x14ac:dyDescent="0.35">
      <c r="A10" t="s">
        <v>576</v>
      </c>
      <c r="C10" t="s">
        <v>602</v>
      </c>
      <c r="D10" t="s">
        <v>603</v>
      </c>
      <c r="E10" t="s">
        <v>604</v>
      </c>
      <c r="F10" t="s">
        <v>602</v>
      </c>
      <c r="N10">
        <v>185.58</v>
      </c>
      <c r="P10" t="str">
        <f>Ref!$A$20</f>
        <v>2014MYE/BER</v>
      </c>
      <c r="Q10">
        <v>183.75</v>
      </c>
      <c r="S10" t="str">
        <f>Ref!$A$20</f>
        <v>2014MYE/BER</v>
      </c>
      <c r="T10">
        <v>71.069999999999993</v>
      </c>
      <c r="V10" t="str">
        <f>Ref!$A$20</f>
        <v>2014MYE/BER</v>
      </c>
      <c r="X10">
        <v>183.75</v>
      </c>
      <c r="AH10">
        <v>273.14999999999998</v>
      </c>
      <c r="AI10">
        <v>373.15</v>
      </c>
    </row>
    <row r="11" spans="1:38" x14ac:dyDescent="0.35">
      <c r="A11" t="s">
        <v>576</v>
      </c>
      <c r="C11" t="s">
        <v>605</v>
      </c>
      <c r="D11" t="s">
        <v>606</v>
      </c>
      <c r="E11" t="s">
        <v>607</v>
      </c>
      <c r="F11" t="s">
        <v>605</v>
      </c>
      <c r="N11">
        <v>198.39</v>
      </c>
      <c r="P11" t="str">
        <f>Ref!$A$20</f>
        <v>2014MYE/BER</v>
      </c>
      <c r="Q11">
        <v>179.67</v>
      </c>
      <c r="S11" t="str">
        <f>Ref!$A$20</f>
        <v>2014MYE/BER</v>
      </c>
      <c r="T11">
        <v>69.3</v>
      </c>
      <c r="V11" t="str">
        <f>Ref!$A$20</f>
        <v>2014MYE/BER</v>
      </c>
      <c r="X11">
        <v>179.67</v>
      </c>
      <c r="AH11">
        <v>273.14999999999998</v>
      </c>
      <c r="AI11">
        <v>373.15</v>
      </c>
    </row>
    <row r="12" spans="1:38" x14ac:dyDescent="0.35">
      <c r="A12" t="s">
        <v>576</v>
      </c>
      <c r="C12" t="s">
        <v>608</v>
      </c>
      <c r="D12" t="s">
        <v>609</v>
      </c>
      <c r="E12" t="s">
        <v>610</v>
      </c>
      <c r="F12" t="s">
        <v>608</v>
      </c>
      <c r="N12">
        <v>159.9</v>
      </c>
      <c r="P12" t="str">
        <f>Ref!$A$18</f>
        <v>2011KUL</v>
      </c>
      <c r="Q12">
        <v>234.1</v>
      </c>
      <c r="S12" t="str">
        <f>Ref!$A$18</f>
        <v>2011KUL</v>
      </c>
      <c r="T12">
        <v>79.3</v>
      </c>
      <c r="V12" t="str">
        <f>Ref!$A$18</f>
        <v>2011KUL</v>
      </c>
      <c r="X12">
        <v>234.1</v>
      </c>
      <c r="AH12">
        <v>273.14999999999998</v>
      </c>
      <c r="AI12">
        <v>363.15</v>
      </c>
    </row>
    <row r="13" spans="1:38" x14ac:dyDescent="0.35">
      <c r="A13" t="s">
        <v>576</v>
      </c>
      <c r="C13" t="s">
        <v>611</v>
      </c>
      <c r="D13" t="s">
        <v>612</v>
      </c>
      <c r="E13" t="s">
        <v>613</v>
      </c>
      <c r="F13" t="s">
        <v>611</v>
      </c>
      <c r="N13">
        <v>163.11000000000001</v>
      </c>
      <c r="P13" t="str">
        <f>Ref!$A$20</f>
        <v>2014MYE/BER</v>
      </c>
      <c r="Q13">
        <v>177.12</v>
      </c>
      <c r="S13" t="str">
        <f>Ref!$A$20</f>
        <v>2014MYE/BER</v>
      </c>
      <c r="T13">
        <v>57.3</v>
      </c>
      <c r="V13" t="str">
        <f>Ref!$A$20</f>
        <v>2014MYE/BER</v>
      </c>
      <c r="X13">
        <v>177.12</v>
      </c>
      <c r="AH13">
        <v>273.14999999999998</v>
      </c>
      <c r="AI13">
        <v>373.15</v>
      </c>
    </row>
    <row r="14" spans="1:38" x14ac:dyDescent="0.35">
      <c r="A14" t="s">
        <v>576</v>
      </c>
      <c r="C14" t="s">
        <v>614</v>
      </c>
      <c r="D14" t="s">
        <v>615</v>
      </c>
      <c r="E14" t="s">
        <v>616</v>
      </c>
      <c r="F14" t="s">
        <v>614</v>
      </c>
      <c r="N14">
        <v>195.03</v>
      </c>
      <c r="P14" t="str">
        <f>Ref!$A$20</f>
        <v>2014MYE/BER</v>
      </c>
      <c r="Q14">
        <v>176.24</v>
      </c>
      <c r="S14" t="str">
        <f>Ref!$A$20</f>
        <v>2014MYE/BER</v>
      </c>
      <c r="T14">
        <v>64.510000000000005</v>
      </c>
      <c r="V14" t="str">
        <f>Ref!$A$20</f>
        <v>2014MYE/BER</v>
      </c>
      <c r="X14">
        <v>176.24</v>
      </c>
      <c r="AH14">
        <v>273.14999999999998</v>
      </c>
      <c r="AI14">
        <v>373.15</v>
      </c>
    </row>
    <row r="15" spans="1:38" x14ac:dyDescent="0.35">
      <c r="A15" t="s">
        <v>576</v>
      </c>
      <c r="C15" t="s">
        <v>617</v>
      </c>
      <c r="D15" t="s">
        <v>618</v>
      </c>
      <c r="E15" t="s">
        <v>619</v>
      </c>
      <c r="F15" t="s">
        <v>617</v>
      </c>
      <c r="N15">
        <v>167</v>
      </c>
      <c r="P15" t="str">
        <f>Ref!$A$18</f>
        <v>2011KUL</v>
      </c>
      <c r="Q15">
        <v>237</v>
      </c>
      <c r="S15" t="str">
        <f>Ref!$A$18</f>
        <v>2011KUL</v>
      </c>
      <c r="T15">
        <v>80.599999999999994</v>
      </c>
      <c r="V15" t="str">
        <f>Ref!$A$18</f>
        <v>2011KUL</v>
      </c>
      <c r="X15">
        <v>237</v>
      </c>
      <c r="AH15">
        <v>273.14999999999998</v>
      </c>
      <c r="AI15">
        <v>363.15</v>
      </c>
    </row>
    <row r="16" spans="1:38" x14ac:dyDescent="0.35">
      <c r="A16" t="s">
        <v>620</v>
      </c>
      <c r="B16" t="s">
        <v>621</v>
      </c>
      <c r="C16" t="s">
        <v>622</v>
      </c>
      <c r="D16" t="s">
        <v>623</v>
      </c>
      <c r="E16" t="s">
        <v>624</v>
      </c>
      <c r="F16" t="s">
        <v>622</v>
      </c>
      <c r="N16">
        <v>270.26</v>
      </c>
      <c r="P16" t="str">
        <f>Ref!$A$21</f>
        <v>2016NIE/ENE</v>
      </c>
      <c r="Q16">
        <v>317.83</v>
      </c>
      <c r="S16" t="str">
        <f>Ref!$A$21</f>
        <v>2016NIE/ENE</v>
      </c>
      <c r="T16">
        <v>94.88</v>
      </c>
      <c r="V16" t="str">
        <f>Ref!$A$21</f>
        <v>2016NIE/ENE</v>
      </c>
    </row>
    <row r="17" spans="1:35" x14ac:dyDescent="0.35">
      <c r="A17" t="s">
        <v>620</v>
      </c>
      <c r="C17" t="s">
        <v>625</v>
      </c>
      <c r="D17" t="s">
        <v>626</v>
      </c>
      <c r="E17" t="s">
        <v>627</v>
      </c>
      <c r="F17" t="s">
        <v>625</v>
      </c>
      <c r="N17">
        <v>215.6</v>
      </c>
      <c r="P17" t="str">
        <f>Ref!$A$21</f>
        <v>2016NIE/ENE</v>
      </c>
      <c r="Q17">
        <v>250</v>
      </c>
      <c r="S17" t="str">
        <f>Ref!$A$21</f>
        <v>2016NIE/ENE</v>
      </c>
      <c r="T17">
        <v>74.319999999999993</v>
      </c>
      <c r="V17" t="str">
        <f>Ref!$A$21</f>
        <v>2016NIE/ENE</v>
      </c>
    </row>
    <row r="18" spans="1:35" x14ac:dyDescent="0.35">
      <c r="A18" t="s">
        <v>620</v>
      </c>
      <c r="B18" t="s">
        <v>628</v>
      </c>
      <c r="C18" t="s">
        <v>629</v>
      </c>
      <c r="D18" t="s">
        <v>630</v>
      </c>
      <c r="E18" t="s">
        <v>631</v>
      </c>
      <c r="F18" t="s">
        <v>629</v>
      </c>
      <c r="N18">
        <v>548.89</v>
      </c>
      <c r="P18" t="s">
        <v>632</v>
      </c>
      <c r="Q18">
        <v>647.55999999999995</v>
      </c>
      <c r="S18" t="s">
        <v>632</v>
      </c>
      <c r="T18">
        <v>219.1</v>
      </c>
      <c r="V18" t="s">
        <v>632</v>
      </c>
      <c r="X18">
        <v>647.55999999999995</v>
      </c>
      <c r="AH18">
        <v>273.14999999999998</v>
      </c>
      <c r="AI18">
        <v>373.15</v>
      </c>
    </row>
    <row r="19" spans="1:35" x14ac:dyDescent="0.35">
      <c r="A19" t="s">
        <v>620</v>
      </c>
      <c r="C19" t="s">
        <v>633</v>
      </c>
      <c r="D19" t="s">
        <v>634</v>
      </c>
      <c r="E19" t="s">
        <v>635</v>
      </c>
      <c r="F19" t="s">
        <v>633</v>
      </c>
      <c r="N19">
        <v>675.18</v>
      </c>
      <c r="P19" t="s">
        <v>632</v>
      </c>
      <c r="Q19">
        <v>803.12</v>
      </c>
      <c r="S19" t="s">
        <v>632</v>
      </c>
      <c r="T19">
        <v>305.44</v>
      </c>
      <c r="V19" t="s">
        <v>632</v>
      </c>
      <c r="X19">
        <v>803.12</v>
      </c>
      <c r="AH19">
        <v>273.14999999999998</v>
      </c>
      <c r="AI19">
        <v>373.15</v>
      </c>
    </row>
    <row r="20" spans="1:35" x14ac:dyDescent="0.35">
      <c r="A20" t="s">
        <v>620</v>
      </c>
      <c r="C20" t="s">
        <v>636</v>
      </c>
      <c r="D20" t="s">
        <v>637</v>
      </c>
      <c r="E20" t="s">
        <v>638</v>
      </c>
      <c r="F20" t="s">
        <v>636</v>
      </c>
      <c r="N20">
        <v>801.46</v>
      </c>
      <c r="P20" t="s">
        <v>632</v>
      </c>
      <c r="Q20">
        <v>957.67</v>
      </c>
      <c r="S20" t="s">
        <v>632</v>
      </c>
      <c r="T20">
        <v>392.36</v>
      </c>
      <c r="V20" t="s">
        <v>632</v>
      </c>
      <c r="X20">
        <v>957.67</v>
      </c>
      <c r="AH20">
        <v>273.14999999999998</v>
      </c>
      <c r="AI20">
        <v>373.15</v>
      </c>
    </row>
    <row r="21" spans="1:35" x14ac:dyDescent="0.35">
      <c r="A21" t="s">
        <v>620</v>
      </c>
      <c r="B21" t="s">
        <v>639</v>
      </c>
      <c r="C21" t="s">
        <v>640</v>
      </c>
      <c r="D21" t="s">
        <v>641</v>
      </c>
      <c r="E21" t="s">
        <v>642</v>
      </c>
      <c r="F21" t="s">
        <v>640</v>
      </c>
      <c r="N21">
        <v>313.36</v>
      </c>
      <c r="P21" t="s">
        <v>643</v>
      </c>
      <c r="Q21">
        <v>397.64</v>
      </c>
      <c r="S21" t="s">
        <v>643</v>
      </c>
      <c r="T21">
        <v>110.64</v>
      </c>
      <c r="V21" t="s">
        <v>643</v>
      </c>
      <c r="X21">
        <v>397.64</v>
      </c>
      <c r="AH21">
        <v>273.14999999999998</v>
      </c>
      <c r="AI21">
        <v>373.15</v>
      </c>
    </row>
    <row r="22" spans="1:35" x14ac:dyDescent="0.35">
      <c r="A22" t="s">
        <v>620</v>
      </c>
      <c r="C22" t="s">
        <v>644</v>
      </c>
      <c r="D22" t="s">
        <v>645</v>
      </c>
      <c r="E22" t="s">
        <v>646</v>
      </c>
      <c r="F22" t="s">
        <v>644</v>
      </c>
      <c r="N22">
        <v>324.41000000000003</v>
      </c>
      <c r="P22" t="s">
        <v>643</v>
      </c>
      <c r="Q22">
        <v>406.31</v>
      </c>
      <c r="S22" t="s">
        <v>643</v>
      </c>
      <c r="T22">
        <v>118.24</v>
      </c>
      <c r="V22" t="s">
        <v>643</v>
      </c>
      <c r="X22">
        <v>406.31</v>
      </c>
      <c r="AH22">
        <v>273.14999999999998</v>
      </c>
      <c r="AI22">
        <v>373.15</v>
      </c>
    </row>
    <row r="23" spans="1:35" x14ac:dyDescent="0.35">
      <c r="A23" t="s">
        <v>620</v>
      </c>
      <c r="C23" t="s">
        <v>647</v>
      </c>
      <c r="D23" t="s">
        <v>648</v>
      </c>
      <c r="E23" t="s">
        <v>649</v>
      </c>
      <c r="F23" t="s">
        <v>647</v>
      </c>
      <c r="N23">
        <v>411.46</v>
      </c>
      <c r="P23" t="s">
        <v>650</v>
      </c>
      <c r="Q23">
        <v>512.6</v>
      </c>
      <c r="S23" t="s">
        <v>650</v>
      </c>
      <c r="T23">
        <v>114.96</v>
      </c>
      <c r="V23" t="s">
        <v>650</v>
      </c>
      <c r="X23">
        <v>512.6</v>
      </c>
      <c r="AH23">
        <v>273.14999999999998</v>
      </c>
      <c r="AI23">
        <v>373.15</v>
      </c>
    </row>
    <row r="24" spans="1:35" x14ac:dyDescent="0.35">
      <c r="A24" t="s">
        <v>620</v>
      </c>
      <c r="C24" t="s">
        <v>651</v>
      </c>
      <c r="D24" t="s">
        <v>652</v>
      </c>
      <c r="E24" t="s">
        <v>653</v>
      </c>
      <c r="F24" t="s">
        <v>651</v>
      </c>
      <c r="N24">
        <v>422.51</v>
      </c>
      <c r="P24" t="s">
        <v>650</v>
      </c>
      <c r="Q24">
        <v>521.27</v>
      </c>
      <c r="S24" t="s">
        <v>650</v>
      </c>
      <c r="T24">
        <v>119.04</v>
      </c>
      <c r="V24" t="s">
        <v>650</v>
      </c>
      <c r="X24">
        <v>521.27</v>
      </c>
      <c r="AH24">
        <v>273.14999999999998</v>
      </c>
      <c r="AI24">
        <v>373.15</v>
      </c>
    </row>
    <row r="25" spans="1:35" x14ac:dyDescent="0.35">
      <c r="A25" t="s">
        <v>654</v>
      </c>
      <c r="B25" t="s">
        <v>655</v>
      </c>
      <c r="C25" t="s">
        <v>656</v>
      </c>
      <c r="D25" t="s">
        <v>657</v>
      </c>
      <c r="E25" t="s">
        <v>658</v>
      </c>
      <c r="F25" t="s">
        <v>656</v>
      </c>
      <c r="N25">
        <v>410.5</v>
      </c>
      <c r="O25" t="s">
        <v>659</v>
      </c>
      <c r="P25" t="str">
        <f>Ref!$A$22</f>
        <v>2022KUL/MIR</v>
      </c>
      <c r="Q25">
        <v>386.3</v>
      </c>
      <c r="R25">
        <v>116</v>
      </c>
      <c r="S25" t="str">
        <f>Ref!$A$22</f>
        <v>2022KUL/MIR</v>
      </c>
      <c r="T25">
        <v>154.30000305176</v>
      </c>
      <c r="U25">
        <v>6.2</v>
      </c>
      <c r="V25" t="str">
        <f>Ref!$A$22</f>
        <v>2022KUL/MIR</v>
      </c>
      <c r="X25">
        <v>386.3</v>
      </c>
      <c r="AH25">
        <v>273.14999999999998</v>
      </c>
      <c r="AI25">
        <v>373.15</v>
      </c>
    </row>
    <row r="26" spans="1:35" x14ac:dyDescent="0.35">
      <c r="A26" t="s">
        <v>654</v>
      </c>
      <c r="C26" t="s">
        <v>660</v>
      </c>
      <c r="D26" t="s">
        <v>661</v>
      </c>
      <c r="E26" t="s">
        <v>662</v>
      </c>
      <c r="F26" t="s">
        <v>660</v>
      </c>
      <c r="N26">
        <v>338.60000610352</v>
      </c>
      <c r="O26" t="s">
        <v>663</v>
      </c>
      <c r="P26" t="str">
        <f>Ref!$A$22</f>
        <v>2022KUL/MIR</v>
      </c>
      <c r="Q26">
        <v>319.60000000000002</v>
      </c>
      <c r="R26">
        <v>105</v>
      </c>
      <c r="S26" t="str">
        <f>Ref!$A$22</f>
        <v>2022KUL/MIR</v>
      </c>
      <c r="T26">
        <v>126.80000305176</v>
      </c>
      <c r="U26">
        <v>5</v>
      </c>
      <c r="V26" t="str">
        <f>Ref!$A$22</f>
        <v>2022KUL/MIR</v>
      </c>
      <c r="X26">
        <v>319.60000000000002</v>
      </c>
      <c r="AH26">
        <v>273.14999999999998</v>
      </c>
      <c r="AI26">
        <v>373.15</v>
      </c>
    </row>
    <row r="27" spans="1:35" x14ac:dyDescent="0.35">
      <c r="A27" t="s">
        <v>654</v>
      </c>
      <c r="C27" t="s">
        <v>664</v>
      </c>
      <c r="D27" t="s">
        <v>665</v>
      </c>
      <c r="E27" t="s">
        <v>666</v>
      </c>
      <c r="F27" t="s">
        <v>664</v>
      </c>
      <c r="N27">
        <v>414.39999389648</v>
      </c>
      <c r="O27" t="s">
        <v>667</v>
      </c>
      <c r="P27" t="str">
        <f>Ref!$A$22</f>
        <v>2022KUL/MIR</v>
      </c>
      <c r="Q27">
        <v>389.9</v>
      </c>
      <c r="R27">
        <v>117</v>
      </c>
      <c r="S27" t="str">
        <f>Ref!$A$22</f>
        <v>2022KUL/MIR</v>
      </c>
      <c r="T27">
        <v>155.79999923706001</v>
      </c>
      <c r="U27">
        <v>6</v>
      </c>
      <c r="V27" t="str">
        <f>Ref!$A$22</f>
        <v>2022KUL/MIR</v>
      </c>
      <c r="X27">
        <v>389.9</v>
      </c>
      <c r="AH27">
        <v>273.14999999999998</v>
      </c>
      <c r="AI27">
        <v>373.15</v>
      </c>
    </row>
    <row r="28" spans="1:35" x14ac:dyDescent="0.35">
      <c r="A28" t="s">
        <v>654</v>
      </c>
      <c r="C28" t="s">
        <v>668</v>
      </c>
      <c r="D28" t="s">
        <v>669</v>
      </c>
      <c r="E28" t="s">
        <v>670</v>
      </c>
      <c r="F28" t="s">
        <v>668</v>
      </c>
      <c r="N28">
        <v>369.39999389648</v>
      </c>
      <c r="O28" t="s">
        <v>671</v>
      </c>
      <c r="P28" t="str">
        <f>Ref!$A$22</f>
        <v>2022KUL/MIR</v>
      </c>
      <c r="Q28">
        <v>348.1</v>
      </c>
      <c r="R28">
        <v>104</v>
      </c>
      <c r="S28" t="str">
        <f>Ref!$A$22</f>
        <v>2022KUL/MIR</v>
      </c>
      <c r="T28">
        <v>138.59999656676999</v>
      </c>
      <c r="U28">
        <v>5</v>
      </c>
      <c r="V28" t="str">
        <f>Ref!$A$22</f>
        <v>2022KUL/MIR</v>
      </c>
      <c r="X28">
        <v>348.1</v>
      </c>
      <c r="AH28">
        <v>273.14999999999998</v>
      </c>
      <c r="AI28">
        <v>373.15</v>
      </c>
    </row>
    <row r="29" spans="1:35" x14ac:dyDescent="0.35">
      <c r="A29" t="s">
        <v>654</v>
      </c>
      <c r="C29" t="s">
        <v>672</v>
      </c>
      <c r="D29" t="s">
        <v>673</v>
      </c>
      <c r="E29" t="s">
        <v>674</v>
      </c>
      <c r="F29" t="s">
        <v>672</v>
      </c>
      <c r="N29">
        <v>356.10000610352</v>
      </c>
      <c r="O29" t="s">
        <v>675</v>
      </c>
      <c r="P29" t="str">
        <f>Ref!$A$22</f>
        <v>2022KUL/MIR</v>
      </c>
      <c r="Q29">
        <v>335.8</v>
      </c>
      <c r="R29">
        <v>101</v>
      </c>
      <c r="S29" t="str">
        <f>Ref!$A$22</f>
        <v>2022KUL/MIR</v>
      </c>
      <c r="T29">
        <v>133.50000381469999</v>
      </c>
      <c r="U29">
        <v>5.3</v>
      </c>
      <c r="V29" t="str">
        <f>Ref!$A$22</f>
        <v>2022KUL/MIR</v>
      </c>
      <c r="X29">
        <v>335.8</v>
      </c>
      <c r="AH29">
        <v>273.14999999999998</v>
      </c>
      <c r="AI29">
        <v>373.15</v>
      </c>
    </row>
    <row r="30" spans="1:35" x14ac:dyDescent="0.35">
      <c r="A30" t="s">
        <v>654</v>
      </c>
      <c r="C30" t="s">
        <v>676</v>
      </c>
      <c r="D30" t="s">
        <v>677</v>
      </c>
      <c r="E30" t="s">
        <v>678</v>
      </c>
      <c r="F30" t="s">
        <v>676</v>
      </c>
      <c r="N30">
        <v>284.10000610352</v>
      </c>
      <c r="O30" t="s">
        <v>659</v>
      </c>
      <c r="P30" t="str">
        <f>Ref!$A$22</f>
        <v>2022KUL/MIR</v>
      </c>
      <c r="Q30">
        <v>269</v>
      </c>
      <c r="R30">
        <v>80</v>
      </c>
      <c r="S30" t="str">
        <f>Ref!$A$22</f>
        <v>2022KUL/MIR</v>
      </c>
      <c r="T30">
        <v>106.09999656676899</v>
      </c>
      <c r="U30">
        <v>4.3</v>
      </c>
      <c r="V30" t="str">
        <f>Ref!$A$22</f>
        <v>2022KUL/MIR</v>
      </c>
      <c r="X30">
        <v>269</v>
      </c>
      <c r="AH30">
        <v>273.14999999999998</v>
      </c>
      <c r="AI30">
        <v>373.15</v>
      </c>
    </row>
    <row r="31" spans="1:35" x14ac:dyDescent="0.35">
      <c r="A31" t="s">
        <v>654</v>
      </c>
      <c r="C31" t="s">
        <v>679</v>
      </c>
      <c r="D31" t="s">
        <v>680</v>
      </c>
      <c r="E31" t="s">
        <v>681</v>
      </c>
      <c r="F31" t="s">
        <v>679</v>
      </c>
      <c r="N31">
        <v>431.79998779297</v>
      </c>
      <c r="O31" t="s">
        <v>682</v>
      </c>
      <c r="P31" t="str">
        <f>Ref!$A$23</f>
        <v>2022aMIR/KUL</v>
      </c>
      <c r="Q31">
        <v>406.1</v>
      </c>
      <c r="R31">
        <v>122</v>
      </c>
      <c r="S31" t="str">
        <f>Ref!$A$23</f>
        <v>2022aMIR/KUL</v>
      </c>
      <c r="T31">
        <v>162.39999771117999</v>
      </c>
      <c r="U31">
        <v>6.2</v>
      </c>
      <c r="V31" t="str">
        <f>Ref!$A$23</f>
        <v>2022aMIR/KUL</v>
      </c>
      <c r="X31">
        <v>406.1</v>
      </c>
      <c r="AH31">
        <v>273.14999999999998</v>
      </c>
      <c r="AI31">
        <v>373.15</v>
      </c>
    </row>
    <row r="32" spans="1:35" x14ac:dyDescent="0.35">
      <c r="A32" t="s">
        <v>654</v>
      </c>
      <c r="C32" t="s">
        <v>683</v>
      </c>
      <c r="D32" t="s">
        <v>684</v>
      </c>
      <c r="E32" t="s">
        <v>685</v>
      </c>
      <c r="F32" t="s">
        <v>683</v>
      </c>
      <c r="N32">
        <v>359.89999389648</v>
      </c>
      <c r="O32" t="s">
        <v>675</v>
      </c>
      <c r="P32" t="str">
        <f>Ref!$A$23</f>
        <v>2022aMIR/KUL</v>
      </c>
      <c r="Q32">
        <v>339.3</v>
      </c>
      <c r="R32">
        <v>102</v>
      </c>
      <c r="S32" t="str">
        <f>Ref!$A$23</f>
        <v>2022aMIR/KUL</v>
      </c>
      <c r="T32">
        <v>135</v>
      </c>
      <c r="U32">
        <v>5.6</v>
      </c>
      <c r="V32" t="str">
        <f>Ref!$A$23</f>
        <v>2022aMIR/KUL</v>
      </c>
      <c r="X32">
        <v>339.3</v>
      </c>
      <c r="AH32">
        <v>273.14999999999998</v>
      </c>
      <c r="AI32">
        <v>373.15</v>
      </c>
    </row>
    <row r="33" spans="1:35" x14ac:dyDescent="0.35">
      <c r="A33" t="s">
        <v>654</v>
      </c>
      <c r="C33" t="s">
        <v>686</v>
      </c>
      <c r="D33" t="s">
        <v>687</v>
      </c>
      <c r="E33" t="s">
        <v>688</v>
      </c>
      <c r="F33" t="s">
        <v>686</v>
      </c>
      <c r="N33">
        <v>414.29998779297</v>
      </c>
      <c r="O33" t="s">
        <v>682</v>
      </c>
      <c r="P33" t="str">
        <f>Ref!$A$23</f>
        <v>2022aMIR/KUL</v>
      </c>
      <c r="Q33">
        <v>389.9</v>
      </c>
      <c r="R33">
        <v>100</v>
      </c>
      <c r="S33" t="str">
        <f>Ref!$A$23</f>
        <v>2022aMIR/KUL</v>
      </c>
      <c r="T33">
        <v>155.69999694824</v>
      </c>
      <c r="U33">
        <v>0</v>
      </c>
      <c r="V33" t="str">
        <f>Ref!$A$23</f>
        <v>2022aMIR/KUL</v>
      </c>
      <c r="X33">
        <v>389.9</v>
      </c>
      <c r="AH33">
        <v>273.14999999999998</v>
      </c>
      <c r="AI33">
        <v>373.15</v>
      </c>
    </row>
    <row r="34" spans="1:35" x14ac:dyDescent="0.35">
      <c r="A34" t="s">
        <v>654</v>
      </c>
      <c r="C34" t="s">
        <v>689</v>
      </c>
      <c r="D34" t="s">
        <v>690</v>
      </c>
      <c r="E34" t="s">
        <v>691</v>
      </c>
      <c r="F34" t="s">
        <v>689</v>
      </c>
      <c r="N34">
        <v>398.70001220703</v>
      </c>
      <c r="O34" t="s">
        <v>682</v>
      </c>
      <c r="P34" t="str">
        <f>Ref!$A$23</f>
        <v>2022aMIR/KUL</v>
      </c>
      <c r="Q34">
        <v>375.3</v>
      </c>
      <c r="R34">
        <v>100</v>
      </c>
      <c r="S34" t="str">
        <f>Ref!$A$23</f>
        <v>2022aMIR/KUL</v>
      </c>
      <c r="T34">
        <v>149.79999542235899</v>
      </c>
      <c r="U34">
        <v>0</v>
      </c>
      <c r="V34" t="str">
        <f>Ref!$A$23</f>
        <v>2022aMIR/KUL</v>
      </c>
      <c r="X34">
        <v>375.3</v>
      </c>
      <c r="AH34">
        <v>273.14999999999998</v>
      </c>
      <c r="AI34">
        <v>373.15</v>
      </c>
    </row>
    <row r="35" spans="1:35" x14ac:dyDescent="0.35">
      <c r="A35" t="s">
        <v>654</v>
      </c>
      <c r="C35" t="s">
        <v>692</v>
      </c>
      <c r="D35" t="s">
        <v>693</v>
      </c>
      <c r="E35" t="s">
        <v>694</v>
      </c>
      <c r="F35" t="s">
        <v>692</v>
      </c>
      <c r="N35">
        <v>393</v>
      </c>
      <c r="O35" t="s">
        <v>695</v>
      </c>
      <c r="P35" t="str">
        <f>Ref!$A$23</f>
        <v>2022aMIR/KUL</v>
      </c>
      <c r="Q35">
        <v>370</v>
      </c>
      <c r="R35">
        <v>111</v>
      </c>
      <c r="S35" t="str">
        <f>Ref!$A$23</f>
        <v>2022aMIR/KUL</v>
      </c>
      <c r="T35">
        <v>148.00000190735</v>
      </c>
      <c r="U35">
        <v>6</v>
      </c>
      <c r="V35" t="str">
        <f>Ref!$A$23</f>
        <v>2022aMIR/KUL</v>
      </c>
      <c r="X35">
        <v>370</v>
      </c>
      <c r="AH35">
        <v>273.14999999999998</v>
      </c>
      <c r="AI35">
        <v>373.15</v>
      </c>
    </row>
    <row r="36" spans="1:35" x14ac:dyDescent="0.35">
      <c r="A36" t="s">
        <v>654</v>
      </c>
      <c r="C36" t="s">
        <v>696</v>
      </c>
      <c r="D36" t="s">
        <v>697</v>
      </c>
      <c r="E36" t="s">
        <v>698</v>
      </c>
      <c r="F36" t="s">
        <v>696</v>
      </c>
      <c r="N36">
        <v>428</v>
      </c>
      <c r="O36" t="s">
        <v>682</v>
      </c>
      <c r="P36" t="str">
        <f>Ref!$A$23</f>
        <v>2022aMIR/KUL</v>
      </c>
      <c r="Q36">
        <v>403</v>
      </c>
      <c r="R36">
        <v>121</v>
      </c>
      <c r="S36" t="str">
        <f>Ref!$A$23</f>
        <v>2022aMIR/KUL</v>
      </c>
      <c r="T36">
        <v>161.00000381469999</v>
      </c>
      <c r="U36">
        <v>6</v>
      </c>
      <c r="V36" t="str">
        <f>Ref!$A$23</f>
        <v>2022aMIR/KUL</v>
      </c>
      <c r="X36">
        <v>403</v>
      </c>
      <c r="AH36">
        <v>273.14999999999998</v>
      </c>
      <c r="AI36">
        <v>373.15</v>
      </c>
    </row>
    <row r="37" spans="1:35" x14ac:dyDescent="0.35">
      <c r="A37" t="s">
        <v>654</v>
      </c>
      <c r="C37" t="s">
        <v>699</v>
      </c>
      <c r="D37" t="s">
        <v>700</v>
      </c>
      <c r="E37" t="s">
        <v>701</v>
      </c>
      <c r="F37" t="s">
        <v>699</v>
      </c>
      <c r="N37">
        <v>339</v>
      </c>
      <c r="O37" t="s">
        <v>663</v>
      </c>
      <c r="P37" t="str">
        <f>Ref!$A$23</f>
        <v>2022aMIR/KUL</v>
      </c>
      <c r="Q37">
        <v>320</v>
      </c>
      <c r="R37">
        <v>96</v>
      </c>
      <c r="S37" t="str">
        <f>Ref!$A$23</f>
        <v>2022aMIR/KUL</v>
      </c>
      <c r="T37">
        <v>126.99999809265</v>
      </c>
      <c r="U37">
        <v>5.5</v>
      </c>
      <c r="V37" t="str">
        <f>Ref!$A$23</f>
        <v>2022aMIR/KUL</v>
      </c>
      <c r="X37">
        <v>320</v>
      </c>
      <c r="AH37">
        <v>273.14999999999998</v>
      </c>
      <c r="AI37">
        <v>373.15</v>
      </c>
    </row>
    <row r="38" spans="1:35" x14ac:dyDescent="0.35">
      <c r="A38" t="s">
        <v>654</v>
      </c>
      <c r="C38" t="s">
        <v>702</v>
      </c>
      <c r="D38" t="s">
        <v>703</v>
      </c>
      <c r="E38" t="s">
        <v>704</v>
      </c>
      <c r="F38" t="s">
        <v>702</v>
      </c>
      <c r="N38">
        <v>395</v>
      </c>
      <c r="O38" t="s">
        <v>705</v>
      </c>
      <c r="P38" t="str">
        <f>Ref!$A$23</f>
        <v>2022aMIR/KUL</v>
      </c>
      <c r="Q38">
        <v>372</v>
      </c>
      <c r="R38">
        <v>112</v>
      </c>
      <c r="S38" t="str">
        <f>Ref!$A$23</f>
        <v>2022aMIR/KUL</v>
      </c>
      <c r="T38">
        <v>148.00000190735</v>
      </c>
      <c r="U38">
        <v>7</v>
      </c>
      <c r="V38" t="str">
        <f>Ref!$A$23</f>
        <v>2022aMIR/KUL</v>
      </c>
      <c r="X38">
        <v>372</v>
      </c>
      <c r="AH38">
        <v>273.14999999999998</v>
      </c>
      <c r="AI38">
        <v>373.15</v>
      </c>
    </row>
    <row r="39" spans="1:35" x14ac:dyDescent="0.35">
      <c r="A39" t="s">
        <v>654</v>
      </c>
      <c r="C39" t="s">
        <v>706</v>
      </c>
      <c r="D39" t="s">
        <v>707</v>
      </c>
      <c r="E39" t="s">
        <v>708</v>
      </c>
      <c r="F39" t="s">
        <v>706</v>
      </c>
      <c r="N39">
        <v>431</v>
      </c>
      <c r="O39" t="s">
        <v>682</v>
      </c>
      <c r="P39" t="str">
        <f>Ref!$A$23</f>
        <v>2022aMIR/KUL</v>
      </c>
      <c r="Q39">
        <v>405</v>
      </c>
      <c r="R39">
        <v>121</v>
      </c>
      <c r="S39" t="str">
        <f>Ref!$A$23</f>
        <v>2022aMIR/KUL</v>
      </c>
      <c r="T39">
        <v>162.00000762938899</v>
      </c>
      <c r="U39">
        <v>6</v>
      </c>
      <c r="V39" t="str">
        <f>Ref!$A$23</f>
        <v>2022aMIR/KUL</v>
      </c>
      <c r="X39">
        <v>405</v>
      </c>
      <c r="AH39">
        <v>273.14999999999998</v>
      </c>
      <c r="AI39">
        <v>373.15</v>
      </c>
    </row>
    <row r="40" spans="1:35" x14ac:dyDescent="0.35">
      <c r="A40" t="s">
        <v>654</v>
      </c>
      <c r="C40" t="s">
        <v>709</v>
      </c>
      <c r="D40" t="s">
        <v>710</v>
      </c>
      <c r="E40" t="s">
        <v>711</v>
      </c>
      <c r="F40" t="s">
        <v>709</v>
      </c>
      <c r="N40">
        <v>341</v>
      </c>
      <c r="O40" t="s">
        <v>663</v>
      </c>
      <c r="P40" t="str">
        <f>Ref!$A$23</f>
        <v>2022aMIR/KUL</v>
      </c>
      <c r="Q40">
        <v>322</v>
      </c>
      <c r="R40">
        <v>96</v>
      </c>
      <c r="S40" t="str">
        <f>Ref!$A$23</f>
        <v>2022aMIR/KUL</v>
      </c>
      <c r="T40">
        <v>128.00000190735</v>
      </c>
      <c r="U40">
        <v>5</v>
      </c>
      <c r="V40" t="str">
        <f>Ref!$A$23</f>
        <v>2022aMIR/KUL</v>
      </c>
      <c r="X40">
        <v>322</v>
      </c>
      <c r="AH40">
        <v>273.14999999999998</v>
      </c>
      <c r="AI40">
        <v>373.15</v>
      </c>
    </row>
    <row r="41" spans="1:35" x14ac:dyDescent="0.35">
      <c r="A41" t="s">
        <v>654</v>
      </c>
      <c r="C41" t="s">
        <v>712</v>
      </c>
      <c r="D41" t="s">
        <v>713</v>
      </c>
      <c r="E41" t="s">
        <v>714</v>
      </c>
      <c r="F41" t="s">
        <v>712</v>
      </c>
      <c r="N41">
        <v>377</v>
      </c>
      <c r="O41" t="s">
        <v>715</v>
      </c>
      <c r="P41" t="str">
        <f>Ref!$A$23</f>
        <v>2022aMIR/KUL</v>
      </c>
      <c r="Q41">
        <v>356</v>
      </c>
      <c r="R41">
        <v>107</v>
      </c>
      <c r="S41" t="str">
        <f>Ref!$A$23</f>
        <v>2022aMIR/KUL</v>
      </c>
      <c r="T41">
        <v>141.99999809265</v>
      </c>
      <c r="U41">
        <v>5.7</v>
      </c>
      <c r="V41" t="str">
        <f>Ref!$A$23</f>
        <v>2022aMIR/KUL</v>
      </c>
      <c r="X41">
        <v>356</v>
      </c>
      <c r="AH41">
        <v>273.14999999999998</v>
      </c>
      <c r="AI41">
        <v>373.15</v>
      </c>
    </row>
    <row r="42" spans="1:35" x14ac:dyDescent="0.35">
      <c r="A42" t="s">
        <v>654</v>
      </c>
      <c r="C42" t="s">
        <v>716</v>
      </c>
      <c r="D42" t="s">
        <v>717</v>
      </c>
      <c r="E42" t="s">
        <v>718</v>
      </c>
      <c r="F42" t="s">
        <v>716</v>
      </c>
      <c r="N42">
        <v>411</v>
      </c>
      <c r="O42" t="s">
        <v>667</v>
      </c>
      <c r="P42" t="str">
        <f>Ref!$A$23</f>
        <v>2022aMIR/KUL</v>
      </c>
      <c r="Q42">
        <v>387</v>
      </c>
      <c r="R42">
        <v>116</v>
      </c>
      <c r="S42" t="str">
        <f>Ref!$A$23</f>
        <v>2022aMIR/KUL</v>
      </c>
      <c r="T42">
        <v>155</v>
      </c>
      <c r="U42">
        <v>6</v>
      </c>
      <c r="V42" t="str">
        <f>Ref!$A$23</f>
        <v>2022aMIR/KUL</v>
      </c>
      <c r="X42">
        <v>387</v>
      </c>
      <c r="AH42">
        <v>273.14999999999998</v>
      </c>
      <c r="AI42">
        <v>373.15</v>
      </c>
    </row>
    <row r="43" spans="1:35" x14ac:dyDescent="0.35">
      <c r="A43" t="s">
        <v>654</v>
      </c>
      <c r="C43" t="s">
        <v>719</v>
      </c>
      <c r="D43" t="s">
        <v>720</v>
      </c>
      <c r="E43" t="s">
        <v>721</v>
      </c>
      <c r="F43" t="s">
        <v>719</v>
      </c>
      <c r="N43">
        <v>323</v>
      </c>
      <c r="O43" t="s">
        <v>722</v>
      </c>
      <c r="P43" t="str">
        <f>Ref!$A$23</f>
        <v>2022aMIR/KUL</v>
      </c>
      <c r="Q43">
        <v>305</v>
      </c>
      <c r="R43">
        <v>92</v>
      </c>
      <c r="S43" t="str">
        <f>Ref!$A$23</f>
        <v>2022aMIR/KUL</v>
      </c>
      <c r="T43">
        <v>121.00000381469999</v>
      </c>
      <c r="U43">
        <v>4.5</v>
      </c>
      <c r="V43" t="str">
        <f>Ref!$A$23</f>
        <v>2022aMIR/KUL</v>
      </c>
      <c r="X43">
        <v>305</v>
      </c>
      <c r="AH43">
        <v>273.14999999999998</v>
      </c>
      <c r="AI43">
        <v>373.15</v>
      </c>
    </row>
  </sheetData>
  <conditionalFormatting sqref="C1">
    <cfRule type="expression" dxfId="1" priority="1">
      <formula>LEN(C1)&gt;16</formula>
    </cfRule>
  </conditionalFormatting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E3AE-A397-4C00-91B0-E50BFE4DEC24}">
  <sheetPr>
    <tabColor theme="5" tint="-0.249977111117893"/>
  </sheetPr>
  <dimension ref="A1:AB45"/>
  <sheetViews>
    <sheetView workbookViewId="0">
      <selection activeCell="J16" sqref="J16"/>
    </sheetView>
  </sheetViews>
  <sheetFormatPr defaultRowHeight="15.5" x14ac:dyDescent="0.35"/>
  <cols>
    <col min="3" max="3" width="12.5" bestFit="1" customWidth="1"/>
    <col min="5" max="5" width="53.08203125" bestFit="1" customWidth="1"/>
    <col min="8" max="8" width="11.5" bestFit="1" customWidth="1"/>
  </cols>
  <sheetData>
    <row r="1" spans="1:28" x14ac:dyDescent="0.35">
      <c r="A1" t="s">
        <v>325</v>
      </c>
      <c r="B1" s="11"/>
      <c r="C1" s="3" t="s">
        <v>59</v>
      </c>
      <c r="D1" s="3" t="s">
        <v>60</v>
      </c>
      <c r="E1" s="3" t="s">
        <v>61</v>
      </c>
      <c r="F1" s="3" t="s">
        <v>262</v>
      </c>
      <c r="G1" s="3" t="s">
        <v>75</v>
      </c>
      <c r="H1" s="3" t="s">
        <v>222</v>
      </c>
      <c r="I1" s="3" t="s">
        <v>223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231</v>
      </c>
      <c r="O1" s="3" t="s">
        <v>232</v>
      </c>
      <c r="P1" s="3" t="s">
        <v>233</v>
      </c>
      <c r="Q1" s="3" t="s">
        <v>234</v>
      </c>
      <c r="R1" s="3" t="s">
        <v>235</v>
      </c>
      <c r="S1" s="3" t="s">
        <v>236</v>
      </c>
      <c r="T1" s="3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244</v>
      </c>
      <c r="AB1" t="s">
        <v>245</v>
      </c>
    </row>
    <row r="2" spans="1:28" x14ac:dyDescent="0.35">
      <c r="A2" t="s">
        <v>576</v>
      </c>
      <c r="B2" t="s">
        <v>577</v>
      </c>
      <c r="C2" t="s">
        <v>578</v>
      </c>
      <c r="D2" t="s">
        <v>579</v>
      </c>
      <c r="E2" t="s">
        <v>580</v>
      </c>
      <c r="F2" t="s">
        <v>578</v>
      </c>
      <c r="H2">
        <v>28.73</v>
      </c>
      <c r="J2" t="str">
        <f>'solid solutions DComp'!P2</f>
        <v>2011KUL</v>
      </c>
      <c r="S2" t="s">
        <v>723</v>
      </c>
    </row>
    <row r="3" spans="1:28" x14ac:dyDescent="0.35">
      <c r="A3" t="s">
        <v>576</v>
      </c>
      <c r="C3" t="s">
        <v>581</v>
      </c>
      <c r="D3" t="s">
        <v>582</v>
      </c>
      <c r="E3" t="s">
        <v>583</v>
      </c>
      <c r="F3" t="s">
        <v>581</v>
      </c>
      <c r="H3">
        <v>22.18</v>
      </c>
      <c r="J3" t="str">
        <f>'solid solutions DComp'!P3</f>
        <v>2011KUL</v>
      </c>
      <c r="S3" t="s">
        <v>724</v>
      </c>
    </row>
    <row r="4" spans="1:28" x14ac:dyDescent="0.35">
      <c r="A4" t="s">
        <v>576</v>
      </c>
      <c r="C4" t="s">
        <v>584</v>
      </c>
      <c r="D4" t="s">
        <v>585</v>
      </c>
      <c r="E4" t="s">
        <v>586</v>
      </c>
      <c r="F4" t="s">
        <v>584</v>
      </c>
      <c r="H4">
        <v>13.66</v>
      </c>
      <c r="J4" t="str">
        <f>'solid solutions DComp'!P4</f>
        <v>2011KUL</v>
      </c>
      <c r="S4" t="s">
        <v>725</v>
      </c>
    </row>
    <row r="5" spans="1:28" x14ac:dyDescent="0.35">
      <c r="A5" t="s">
        <v>576</v>
      </c>
      <c r="C5" t="s">
        <v>587</v>
      </c>
      <c r="D5" t="s">
        <v>588</v>
      </c>
      <c r="E5" t="s">
        <v>589</v>
      </c>
      <c r="F5" t="s">
        <v>587</v>
      </c>
      <c r="H5">
        <v>8.2899999999999991</v>
      </c>
      <c r="J5" t="str">
        <f>'solid solutions DComp'!P5</f>
        <v>2011KUL</v>
      </c>
      <c r="S5" t="s">
        <v>726</v>
      </c>
    </row>
    <row r="6" spans="1:28" x14ac:dyDescent="0.35">
      <c r="A6" t="s">
        <v>576</v>
      </c>
      <c r="C6" t="s">
        <v>590</v>
      </c>
      <c r="D6" t="s">
        <v>591</v>
      </c>
      <c r="E6" t="s">
        <v>592</v>
      </c>
      <c r="F6" t="s">
        <v>590</v>
      </c>
      <c r="H6">
        <v>5.81</v>
      </c>
      <c r="J6" t="str">
        <f>'solid solutions DComp'!P6</f>
        <v>2012LOT/SAO</v>
      </c>
      <c r="S6" t="s">
        <v>727</v>
      </c>
    </row>
    <row r="7" spans="1:28" x14ac:dyDescent="0.35">
      <c r="A7" t="s">
        <v>576</v>
      </c>
      <c r="C7" t="s">
        <v>593</v>
      </c>
      <c r="D7" t="s">
        <v>594</v>
      </c>
      <c r="E7" t="s">
        <v>595</v>
      </c>
      <c r="F7" t="s">
        <v>593</v>
      </c>
      <c r="H7">
        <v>5.69</v>
      </c>
      <c r="J7" t="str">
        <f>'solid solutions DComp'!P7</f>
        <v>2012LOT/SAO</v>
      </c>
      <c r="S7" t="s">
        <v>728</v>
      </c>
    </row>
    <row r="8" spans="1:28" x14ac:dyDescent="0.35">
      <c r="A8" t="s">
        <v>576</v>
      </c>
      <c r="B8" t="s">
        <v>596</v>
      </c>
      <c r="C8" t="s">
        <v>587</v>
      </c>
      <c r="D8" t="s">
        <v>597</v>
      </c>
      <c r="E8" t="s">
        <v>598</v>
      </c>
      <c r="F8" t="s">
        <v>587</v>
      </c>
      <c r="H8">
        <v>12.8</v>
      </c>
      <c r="J8" t="str">
        <f>'solid solutions DComp'!P8</f>
        <v>2011KUL</v>
      </c>
      <c r="S8" t="s">
        <v>729</v>
      </c>
    </row>
    <row r="9" spans="1:28" x14ac:dyDescent="0.35">
      <c r="A9" t="s">
        <v>576</v>
      </c>
      <c r="C9" t="s">
        <v>599</v>
      </c>
      <c r="D9" t="s">
        <v>600</v>
      </c>
      <c r="E9" t="s">
        <v>601</v>
      </c>
      <c r="F9" t="s">
        <v>599</v>
      </c>
      <c r="H9">
        <v>8.9499999999999993</v>
      </c>
      <c r="J9" t="str">
        <f>'solid solutions DComp'!P9</f>
        <v>2014MYE/BER</v>
      </c>
      <c r="S9" t="s">
        <v>730</v>
      </c>
    </row>
    <row r="10" spans="1:28" x14ac:dyDescent="0.35">
      <c r="A10" t="s">
        <v>576</v>
      </c>
      <c r="C10" t="s">
        <v>602</v>
      </c>
      <c r="D10" t="s">
        <v>603</v>
      </c>
      <c r="E10" t="s">
        <v>604</v>
      </c>
      <c r="F10" t="s">
        <v>602</v>
      </c>
      <c r="H10">
        <v>18.760000000000002</v>
      </c>
      <c r="J10" t="str">
        <f>'solid solutions DComp'!P10</f>
        <v>2014MYE/BER</v>
      </c>
      <c r="S10" t="s">
        <v>731</v>
      </c>
    </row>
    <row r="11" spans="1:28" x14ac:dyDescent="0.35">
      <c r="A11" t="s">
        <v>576</v>
      </c>
      <c r="C11" t="s">
        <v>605</v>
      </c>
      <c r="D11" t="s">
        <v>606</v>
      </c>
      <c r="E11" t="s">
        <v>607</v>
      </c>
      <c r="F11" t="s">
        <v>605</v>
      </c>
      <c r="H11">
        <v>17.48</v>
      </c>
      <c r="J11" t="str">
        <f>'solid solutions DComp'!P11</f>
        <v>2014MYE/BER</v>
      </c>
      <c r="S11" t="s">
        <v>732</v>
      </c>
    </row>
    <row r="12" spans="1:28" x14ac:dyDescent="0.35">
      <c r="A12" t="s">
        <v>576</v>
      </c>
      <c r="C12" t="s">
        <v>608</v>
      </c>
      <c r="D12" t="s">
        <v>609</v>
      </c>
      <c r="E12" t="s">
        <v>610</v>
      </c>
      <c r="F12" t="s">
        <v>608</v>
      </c>
      <c r="H12">
        <v>18.45</v>
      </c>
      <c r="J12" t="str">
        <f>'solid solutions DComp'!P12</f>
        <v>2011KUL</v>
      </c>
      <c r="S12" t="s">
        <v>733</v>
      </c>
    </row>
    <row r="13" spans="1:28" x14ac:dyDescent="0.35">
      <c r="A13" t="s">
        <v>576</v>
      </c>
      <c r="C13" t="s">
        <v>611</v>
      </c>
      <c r="D13" t="s">
        <v>612</v>
      </c>
      <c r="E13" t="s">
        <v>613</v>
      </c>
      <c r="F13" t="s">
        <v>611</v>
      </c>
      <c r="H13">
        <v>15.89</v>
      </c>
      <c r="J13" t="str">
        <f>'solid solutions DComp'!P13</f>
        <v>2014MYE/BER</v>
      </c>
      <c r="S13" t="s">
        <v>734</v>
      </c>
    </row>
    <row r="14" spans="1:28" x14ac:dyDescent="0.35">
      <c r="A14" t="s">
        <v>576</v>
      </c>
      <c r="C14" t="s">
        <v>614</v>
      </c>
      <c r="D14" t="s">
        <v>615</v>
      </c>
      <c r="E14" t="s">
        <v>616</v>
      </c>
      <c r="F14" t="s">
        <v>614</v>
      </c>
      <c r="H14">
        <v>23.24</v>
      </c>
      <c r="J14" t="str">
        <f>'solid solutions DComp'!P14</f>
        <v>2014MYE/BER</v>
      </c>
      <c r="S14" t="s">
        <v>735</v>
      </c>
    </row>
    <row r="15" spans="1:28" x14ac:dyDescent="0.35">
      <c r="A15" t="s">
        <v>576</v>
      </c>
      <c r="C15" t="s">
        <v>617</v>
      </c>
      <c r="D15" t="s">
        <v>618</v>
      </c>
      <c r="E15" t="s">
        <v>619</v>
      </c>
      <c r="F15" t="s">
        <v>617</v>
      </c>
      <c r="H15">
        <v>25.57</v>
      </c>
      <c r="J15" t="str">
        <f>'solid solutions DComp'!P15</f>
        <v>2011KUL</v>
      </c>
      <c r="S15" t="s">
        <v>736</v>
      </c>
    </row>
    <row r="16" spans="1:28" x14ac:dyDescent="0.35">
      <c r="A16" t="s">
        <v>620</v>
      </c>
      <c r="B16" t="s">
        <v>621</v>
      </c>
      <c r="C16" t="s">
        <v>622</v>
      </c>
      <c r="D16" t="s">
        <v>623</v>
      </c>
      <c r="E16" t="s">
        <v>624</v>
      </c>
      <c r="F16" t="s">
        <v>622</v>
      </c>
      <c r="H16" s="44">
        <v>-28.8</v>
      </c>
      <c r="J16" t="str">
        <f>'solid solutions DComp'!P16</f>
        <v>2016NIE/ENE</v>
      </c>
      <c r="S16" t="s">
        <v>737</v>
      </c>
    </row>
    <row r="17" spans="1:19" x14ac:dyDescent="0.35">
      <c r="A17" t="s">
        <v>620</v>
      </c>
      <c r="C17" t="s">
        <v>625</v>
      </c>
      <c r="D17" t="s">
        <v>626</v>
      </c>
      <c r="E17" t="s">
        <v>627</v>
      </c>
      <c r="F17" t="s">
        <v>625</v>
      </c>
      <c r="H17" s="44">
        <v>-23.57</v>
      </c>
      <c r="J17" t="str">
        <f>'solid solutions DComp'!P17</f>
        <v>2016NIE/ENE</v>
      </c>
      <c r="S17" t="s">
        <v>738</v>
      </c>
    </row>
    <row r="18" spans="1:19" x14ac:dyDescent="0.35">
      <c r="A18" t="s">
        <v>620</v>
      </c>
      <c r="B18" t="s">
        <v>628</v>
      </c>
      <c r="C18" t="s">
        <v>629</v>
      </c>
      <c r="D18" t="s">
        <v>630</v>
      </c>
      <c r="E18" t="s">
        <v>631</v>
      </c>
      <c r="F18" t="s">
        <v>629</v>
      </c>
      <c r="H18">
        <v>-49.7</v>
      </c>
      <c r="J18" t="str">
        <f>'solid solutions DComp'!P18</f>
        <v>Lothenbach_ea:2016:pap:</v>
      </c>
      <c r="S18" t="s">
        <v>739</v>
      </c>
    </row>
    <row r="19" spans="1:19" x14ac:dyDescent="0.35">
      <c r="A19" t="s">
        <v>620</v>
      </c>
      <c r="B19" t="s">
        <v>740</v>
      </c>
      <c r="C19" t="s">
        <v>741</v>
      </c>
      <c r="D19" t="s">
        <v>630</v>
      </c>
      <c r="E19" t="s">
        <v>742</v>
      </c>
      <c r="F19" t="s">
        <v>741</v>
      </c>
      <c r="H19">
        <v>-56.02</v>
      </c>
      <c r="J19" t="str">
        <f>'solid solutions DComp'!P19</f>
        <v>Lothenbach_ea:2016:pap:</v>
      </c>
      <c r="S19" t="s">
        <v>743</v>
      </c>
    </row>
    <row r="20" spans="1:19" x14ac:dyDescent="0.35">
      <c r="A20" t="s">
        <v>620</v>
      </c>
      <c r="C20" t="s">
        <v>633</v>
      </c>
      <c r="D20" t="s">
        <v>634</v>
      </c>
      <c r="E20" t="s">
        <v>635</v>
      </c>
      <c r="F20" t="s">
        <v>633</v>
      </c>
      <c r="H20">
        <v>-72</v>
      </c>
      <c r="J20" t="str">
        <f>'solid solutions DComp'!P20</f>
        <v>Lothenbach_ea:2016:pap:</v>
      </c>
      <c r="S20" t="s">
        <v>744</v>
      </c>
    </row>
    <row r="21" spans="1:19" x14ac:dyDescent="0.35">
      <c r="A21" t="s">
        <v>620</v>
      </c>
      <c r="C21" t="s">
        <v>636</v>
      </c>
      <c r="D21" t="s">
        <v>637</v>
      </c>
      <c r="E21" t="s">
        <v>638</v>
      </c>
      <c r="F21" t="s">
        <v>636</v>
      </c>
      <c r="H21">
        <v>-94.3</v>
      </c>
      <c r="J21" t="str">
        <f>'solid solutions DComp'!P21</f>
        <v>Rozov:2010:book:</v>
      </c>
      <c r="S21" t="s">
        <v>745</v>
      </c>
    </row>
    <row r="22" spans="1:19" x14ac:dyDescent="0.35">
      <c r="A22" t="s">
        <v>620</v>
      </c>
      <c r="B22" t="s">
        <v>639</v>
      </c>
      <c r="C22" t="s">
        <v>640</v>
      </c>
      <c r="D22" t="s">
        <v>641</v>
      </c>
      <c r="E22" t="s">
        <v>642</v>
      </c>
      <c r="F22" t="s">
        <v>640</v>
      </c>
      <c r="H22">
        <v>5.91</v>
      </c>
      <c r="J22" t="str">
        <f>'solid solutions DComp'!P22</f>
        <v>Rozov:2010:book:</v>
      </c>
      <c r="S22" t="s">
        <v>746</v>
      </c>
    </row>
    <row r="23" spans="1:19" x14ac:dyDescent="0.35">
      <c r="A23" t="s">
        <v>620</v>
      </c>
      <c r="C23" t="s">
        <v>644</v>
      </c>
      <c r="D23" t="s">
        <v>645</v>
      </c>
      <c r="E23" t="s">
        <v>646</v>
      </c>
      <c r="F23" t="s">
        <v>644</v>
      </c>
      <c r="H23">
        <v>5.82</v>
      </c>
      <c r="J23" t="str">
        <f>'solid solutions DComp'!P23</f>
        <v>Rozov_ea:2011:pap:</v>
      </c>
      <c r="S23" t="s">
        <v>747</v>
      </c>
    </row>
    <row r="24" spans="1:19" x14ac:dyDescent="0.35">
      <c r="A24" t="s">
        <v>620</v>
      </c>
      <c r="C24" t="s">
        <v>647</v>
      </c>
      <c r="D24" t="s">
        <v>648</v>
      </c>
      <c r="E24" t="s">
        <v>649</v>
      </c>
      <c r="F24" t="s">
        <v>647</v>
      </c>
      <c r="H24">
        <v>22.71</v>
      </c>
      <c r="J24" t="str">
        <f>'solid solutions DComp'!P24</f>
        <v>Rozov_ea:2011:pap:</v>
      </c>
      <c r="S24" t="s">
        <v>748</v>
      </c>
    </row>
    <row r="25" spans="1:19" x14ac:dyDescent="0.35">
      <c r="A25" t="s">
        <v>620</v>
      </c>
      <c r="C25" t="s">
        <v>651</v>
      </c>
      <c r="D25" t="s">
        <v>652</v>
      </c>
      <c r="E25" t="s">
        <v>653</v>
      </c>
      <c r="F25" t="s">
        <v>651</v>
      </c>
      <c r="H25">
        <v>22.36</v>
      </c>
      <c r="J25" t="str">
        <f>'solid solutions DComp'!P25</f>
        <v>2022KUL/MIR</v>
      </c>
      <c r="S25" t="s">
        <v>749</v>
      </c>
    </row>
    <row r="26" spans="1:19" x14ac:dyDescent="0.35">
      <c r="A26" t="s">
        <v>654</v>
      </c>
      <c r="B26" t="s">
        <v>655</v>
      </c>
      <c r="C26" t="s">
        <v>656</v>
      </c>
      <c r="D26" t="s">
        <v>657</v>
      </c>
      <c r="E26" t="s">
        <v>658</v>
      </c>
      <c r="F26" t="s">
        <v>656</v>
      </c>
      <c r="H26" s="30">
        <v>-37.0397723795354</v>
      </c>
      <c r="I26" s="30">
        <v>0.35651455949163402</v>
      </c>
      <c r="J26" t="str">
        <f>Ref!$A$24</f>
        <v>2022bMIR/KUL</v>
      </c>
      <c r="S26" t="s">
        <v>750</v>
      </c>
    </row>
    <row r="27" spans="1:19" x14ac:dyDescent="0.35">
      <c r="A27" t="s">
        <v>654</v>
      </c>
      <c r="C27" t="s">
        <v>660</v>
      </c>
      <c r="D27" t="s">
        <v>661</v>
      </c>
      <c r="E27" t="s">
        <v>662</v>
      </c>
      <c r="F27" t="s">
        <v>660</v>
      </c>
      <c r="H27" s="30">
        <v>-31.917957089584899</v>
      </c>
      <c r="I27" s="30">
        <v>0.332688521140314</v>
      </c>
      <c r="J27" t="str">
        <f>Ref!$A$24</f>
        <v>2022bMIR/KUL</v>
      </c>
      <c r="S27" t="s">
        <v>751</v>
      </c>
    </row>
    <row r="28" spans="1:19" x14ac:dyDescent="0.35">
      <c r="A28" t="s">
        <v>654</v>
      </c>
      <c r="C28" t="s">
        <v>664</v>
      </c>
      <c r="D28" t="s">
        <v>665</v>
      </c>
      <c r="E28" t="s">
        <v>666</v>
      </c>
      <c r="F28" t="s">
        <v>664</v>
      </c>
      <c r="H28" s="30">
        <v>-38.990150491993198</v>
      </c>
      <c r="I28" s="30">
        <v>0.59565084269733104</v>
      </c>
      <c r="J28" t="str">
        <f>Ref!$A$24</f>
        <v>2022bMIR/KUL</v>
      </c>
      <c r="S28" t="s">
        <v>752</v>
      </c>
    </row>
    <row r="29" spans="1:19" x14ac:dyDescent="0.35">
      <c r="A29" t="s">
        <v>654</v>
      </c>
      <c r="C29" t="s">
        <v>668</v>
      </c>
      <c r="D29" t="s">
        <v>669</v>
      </c>
      <c r="E29" t="s">
        <v>670</v>
      </c>
      <c r="F29" t="s">
        <v>668</v>
      </c>
      <c r="H29" s="30">
        <v>-30.743100686102501</v>
      </c>
      <c r="I29" s="30">
        <v>0.13051763848214601</v>
      </c>
      <c r="J29" t="str">
        <f>Ref!$A$24</f>
        <v>2022bMIR/KUL</v>
      </c>
      <c r="S29" t="s">
        <v>753</v>
      </c>
    </row>
    <row r="30" spans="1:19" x14ac:dyDescent="0.35">
      <c r="A30" t="s">
        <v>654</v>
      </c>
      <c r="C30" t="s">
        <v>672</v>
      </c>
      <c r="D30" t="s">
        <v>673</v>
      </c>
      <c r="E30" t="s">
        <v>674</v>
      </c>
      <c r="F30" t="s">
        <v>672</v>
      </c>
      <c r="H30" s="30">
        <v>-31.286768203003501</v>
      </c>
      <c r="I30" s="30">
        <v>0.440781626512247</v>
      </c>
      <c r="J30" t="str">
        <f>Ref!$A$24</f>
        <v>2022bMIR/KUL</v>
      </c>
      <c r="S30" t="s">
        <v>754</v>
      </c>
    </row>
    <row r="31" spans="1:19" x14ac:dyDescent="0.35">
      <c r="A31" t="s">
        <v>654</v>
      </c>
      <c r="C31" t="s">
        <v>676</v>
      </c>
      <c r="D31" t="s">
        <v>677</v>
      </c>
      <c r="E31" t="s">
        <v>678</v>
      </c>
      <c r="F31" t="s">
        <v>676</v>
      </c>
      <c r="H31" s="30">
        <v>-24.251864341006399</v>
      </c>
      <c r="I31" s="30">
        <v>0.18219909403189499</v>
      </c>
      <c r="J31" t="str">
        <f>Ref!$A$24</f>
        <v>2022bMIR/KUL</v>
      </c>
      <c r="S31" t="s">
        <v>755</v>
      </c>
    </row>
    <row r="32" spans="1:19" x14ac:dyDescent="0.35">
      <c r="A32" t="s">
        <v>654</v>
      </c>
      <c r="C32" t="s">
        <v>679</v>
      </c>
      <c r="D32" t="s">
        <v>680</v>
      </c>
      <c r="E32" t="s">
        <v>681</v>
      </c>
      <c r="F32" t="s">
        <v>679</v>
      </c>
      <c r="H32" s="30">
        <v>-35.203247233592997</v>
      </c>
      <c r="I32" s="30">
        <v>0.52557427600841999</v>
      </c>
      <c r="J32" t="str">
        <f>Ref!$A$24</f>
        <v>2022bMIR/KUL</v>
      </c>
      <c r="S32" t="s">
        <v>756</v>
      </c>
    </row>
    <row r="33" spans="1:19" x14ac:dyDescent="0.35">
      <c r="A33" t="s">
        <v>654</v>
      </c>
      <c r="C33" t="s">
        <v>683</v>
      </c>
      <c r="D33" t="s">
        <v>684</v>
      </c>
      <c r="E33" t="s">
        <v>685</v>
      </c>
      <c r="F33" t="s">
        <v>683</v>
      </c>
      <c r="H33" s="30">
        <v>-27.120698670625501</v>
      </c>
      <c r="I33" s="30">
        <v>0.52557427394120204</v>
      </c>
      <c r="J33" t="str">
        <f>Ref!$A$24</f>
        <v>2022bMIR/KUL</v>
      </c>
      <c r="S33" t="s">
        <v>757</v>
      </c>
    </row>
    <row r="34" spans="1:19" x14ac:dyDescent="0.35">
      <c r="A34" t="s">
        <v>654</v>
      </c>
      <c r="C34" t="s">
        <v>686</v>
      </c>
      <c r="D34" t="s">
        <v>687</v>
      </c>
      <c r="E34" t="s">
        <v>688</v>
      </c>
      <c r="F34" t="s">
        <v>686</v>
      </c>
      <c r="H34" s="30">
        <v>-30.542124163693799</v>
      </c>
      <c r="I34" s="30">
        <v>0.52557426478471403</v>
      </c>
      <c r="J34" t="str">
        <f>Ref!$A$24</f>
        <v>2022bMIR/KUL</v>
      </c>
      <c r="S34" t="s">
        <v>758</v>
      </c>
    </row>
    <row r="35" spans="1:19" x14ac:dyDescent="0.35">
      <c r="A35" t="s">
        <v>654</v>
      </c>
      <c r="C35" t="s">
        <v>689</v>
      </c>
      <c r="D35" t="s">
        <v>690</v>
      </c>
      <c r="E35" t="s">
        <v>691</v>
      </c>
      <c r="F35" t="s">
        <v>689</v>
      </c>
      <c r="H35" s="30">
        <v>-30.542112210479299</v>
      </c>
      <c r="I35" s="30">
        <v>0.52557426478471403</v>
      </c>
      <c r="J35" t="str">
        <f>Ref!$A$24</f>
        <v>2022bMIR/KUL</v>
      </c>
      <c r="S35" t="s">
        <v>759</v>
      </c>
    </row>
    <row r="36" spans="1:19" x14ac:dyDescent="0.35">
      <c r="A36" t="s">
        <v>654</v>
      </c>
      <c r="C36" t="s">
        <v>692</v>
      </c>
      <c r="D36" t="s">
        <v>693</v>
      </c>
      <c r="E36" t="s">
        <v>694</v>
      </c>
      <c r="F36" t="s">
        <v>692</v>
      </c>
      <c r="H36" s="30">
        <v>-33.3089227658851</v>
      </c>
      <c r="I36" s="30">
        <v>0.350382858956722</v>
      </c>
      <c r="J36" t="str">
        <f>Ref!$A$24</f>
        <v>2022bMIR/KUL</v>
      </c>
      <c r="S36" t="s">
        <v>760</v>
      </c>
    </row>
    <row r="37" spans="1:19" x14ac:dyDescent="0.35">
      <c r="A37" t="s">
        <v>654</v>
      </c>
      <c r="C37" t="s">
        <v>696</v>
      </c>
      <c r="D37" t="s">
        <v>697</v>
      </c>
      <c r="E37" t="s">
        <v>698</v>
      </c>
      <c r="F37" t="s">
        <v>696</v>
      </c>
      <c r="H37" s="30">
        <v>-34.739183824426398</v>
      </c>
      <c r="I37" s="30">
        <v>0.350382858956723</v>
      </c>
      <c r="J37" t="str">
        <f>Ref!$A$24</f>
        <v>2022bMIR/KUL</v>
      </c>
      <c r="S37" t="s">
        <v>761</v>
      </c>
    </row>
    <row r="38" spans="1:19" x14ac:dyDescent="0.35">
      <c r="A38" t="s">
        <v>654</v>
      </c>
      <c r="C38" t="s">
        <v>699</v>
      </c>
      <c r="D38" t="s">
        <v>700</v>
      </c>
      <c r="E38" t="s">
        <v>701</v>
      </c>
      <c r="F38" t="s">
        <v>699</v>
      </c>
      <c r="H38" s="30">
        <v>-27.883523043862201</v>
      </c>
      <c r="I38" s="30">
        <v>0.35038285643839601</v>
      </c>
      <c r="J38" t="str">
        <f>Ref!$A$24</f>
        <v>2022bMIR/KUL</v>
      </c>
      <c r="S38" t="s">
        <v>762</v>
      </c>
    </row>
    <row r="39" spans="1:19" x14ac:dyDescent="0.35">
      <c r="A39" t="s">
        <v>654</v>
      </c>
      <c r="C39" t="s">
        <v>702</v>
      </c>
      <c r="D39" t="s">
        <v>703</v>
      </c>
      <c r="E39" t="s">
        <v>704</v>
      </c>
      <c r="F39" t="s">
        <v>702</v>
      </c>
      <c r="H39" s="30">
        <v>-36.825623222322797</v>
      </c>
      <c r="I39" s="30">
        <v>0.665727413355648</v>
      </c>
      <c r="J39" t="str">
        <f>Ref!$A$24</f>
        <v>2022bMIR/KUL</v>
      </c>
      <c r="S39" t="s">
        <v>763</v>
      </c>
    </row>
    <row r="40" spans="1:19" x14ac:dyDescent="0.35">
      <c r="A40" t="s">
        <v>654</v>
      </c>
      <c r="C40" t="s">
        <v>706</v>
      </c>
      <c r="D40" t="s">
        <v>707</v>
      </c>
      <c r="E40" t="s">
        <v>708</v>
      </c>
      <c r="F40" t="s">
        <v>706</v>
      </c>
      <c r="H40" s="30">
        <v>-38.662941548831498</v>
      </c>
      <c r="I40" s="30">
        <v>0.420459424966865</v>
      </c>
      <c r="J40" t="str">
        <f>Ref!$A$24</f>
        <v>2022bMIR/KUL</v>
      </c>
      <c r="S40" t="s">
        <v>764</v>
      </c>
    </row>
    <row r="41" spans="1:19" x14ac:dyDescent="0.35">
      <c r="A41" t="s">
        <v>654</v>
      </c>
      <c r="C41" t="s">
        <v>709</v>
      </c>
      <c r="D41" t="s">
        <v>710</v>
      </c>
      <c r="E41" t="s">
        <v>711</v>
      </c>
      <c r="F41" t="s">
        <v>709</v>
      </c>
      <c r="H41" s="30">
        <v>-27.789107841708802</v>
      </c>
      <c r="I41" s="30">
        <v>0.43797856274665697</v>
      </c>
      <c r="J41" t="str">
        <f>Ref!$A$24</f>
        <v>2022bMIR/KUL</v>
      </c>
      <c r="S41" t="s">
        <v>765</v>
      </c>
    </row>
    <row r="42" spans="1:19" x14ac:dyDescent="0.35">
      <c r="A42" t="s">
        <v>654</v>
      </c>
      <c r="C42" t="s">
        <v>712</v>
      </c>
      <c r="D42" t="s">
        <v>713</v>
      </c>
      <c r="E42" t="s">
        <v>714</v>
      </c>
      <c r="F42" t="s">
        <v>712</v>
      </c>
      <c r="H42" s="30">
        <v>-33.309171847866097</v>
      </c>
      <c r="I42" s="30">
        <v>0.35038285741944702</v>
      </c>
      <c r="J42" t="str">
        <f>Ref!$A$24</f>
        <v>2022bMIR/KUL</v>
      </c>
      <c r="S42" t="s">
        <v>766</v>
      </c>
    </row>
    <row r="43" spans="1:19" x14ac:dyDescent="0.35">
      <c r="A43" t="s">
        <v>654</v>
      </c>
      <c r="C43" t="s">
        <v>716</v>
      </c>
      <c r="D43" t="s">
        <v>717</v>
      </c>
      <c r="E43" t="s">
        <v>718</v>
      </c>
      <c r="F43" t="s">
        <v>716</v>
      </c>
      <c r="H43" s="30">
        <v>-34.362771349978402</v>
      </c>
      <c r="I43" s="30">
        <v>0.52557427529598999</v>
      </c>
      <c r="J43" t="str">
        <f>Ref!$A$24</f>
        <v>2022bMIR/KUL</v>
      </c>
      <c r="S43" t="s">
        <v>767</v>
      </c>
    </row>
    <row r="44" spans="1:19" x14ac:dyDescent="0.35">
      <c r="A44" t="s">
        <v>654</v>
      </c>
      <c r="C44" t="s">
        <v>719</v>
      </c>
      <c r="D44" t="s">
        <v>720</v>
      </c>
      <c r="E44" t="s">
        <v>721</v>
      </c>
      <c r="F44" t="s">
        <v>719</v>
      </c>
      <c r="H44" s="30">
        <v>-27.8837721260103</v>
      </c>
      <c r="I44" s="30">
        <v>0.35038285205869701</v>
      </c>
      <c r="J44" t="str">
        <f>Ref!$A$24</f>
        <v>2022bMIR/KUL</v>
      </c>
      <c r="S44" t="s">
        <v>768</v>
      </c>
    </row>
    <row r="45" spans="1:19" x14ac:dyDescent="0.35">
      <c r="I45" s="30"/>
    </row>
  </sheetData>
  <phoneticPr fontId="11" type="noConversion"/>
  <conditionalFormatting sqref="C1">
    <cfRule type="expression" dxfId="0" priority="1">
      <formula>LEN(C1)&gt;16</formula>
    </cfRule>
  </conditionalFormatting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7F10-46A1-42F6-BCB1-C208336EBAA1}">
  <sheetPr>
    <tabColor rgb="FF7030A0"/>
  </sheetPr>
  <dimension ref="A1:AK33"/>
  <sheetViews>
    <sheetView topLeftCell="G1" workbookViewId="0">
      <selection activeCell="M13" sqref="M13"/>
    </sheetView>
  </sheetViews>
  <sheetFormatPr defaultRowHeight="15.5" x14ac:dyDescent="0.35"/>
  <cols>
    <col min="1" max="1" width="10.58203125" bestFit="1" customWidth="1"/>
    <col min="3" max="3" width="19.1640625" bestFit="1" customWidth="1"/>
    <col min="4" max="4" width="18.5" bestFit="1" customWidth="1"/>
    <col min="5" max="5" width="24.33203125" bestFit="1" customWidth="1"/>
    <col min="6" max="6" width="11.58203125" bestFit="1" customWidth="1"/>
    <col min="7" max="7" width="12.6640625" bestFit="1" customWidth="1"/>
    <col min="8" max="8" width="18.1640625" bestFit="1" customWidth="1"/>
    <col min="9" max="9" width="9.1640625" bestFit="1" customWidth="1"/>
    <col min="10" max="10" width="12.6640625" bestFit="1" customWidth="1"/>
    <col min="11" max="11" width="18.1640625" bestFit="1" customWidth="1"/>
    <col min="12" max="12" width="9.1640625" bestFit="1" customWidth="1"/>
    <col min="13" max="13" width="12.33203125" bestFit="1" customWidth="1"/>
    <col min="15" max="15" width="13.58203125" bestFit="1" customWidth="1"/>
    <col min="16" max="16" width="13.6640625" bestFit="1" customWidth="1"/>
    <col min="19" max="19" width="12.6640625" bestFit="1" customWidth="1"/>
    <col min="22" max="22" width="11.6640625" bestFit="1" customWidth="1"/>
  </cols>
  <sheetData>
    <row r="1" spans="1:37" s="3" customFormat="1" x14ac:dyDescent="0.35">
      <c r="A1" s="3" t="s">
        <v>325</v>
      </c>
      <c r="B1" s="11" t="s">
        <v>316</v>
      </c>
      <c r="C1" s="3" t="s">
        <v>59</v>
      </c>
      <c r="D1" s="3" t="s">
        <v>60</v>
      </c>
      <c r="E1" s="3" t="s">
        <v>61</v>
      </c>
      <c r="F1" s="3" t="s">
        <v>262</v>
      </c>
      <c r="G1" s="3" t="s">
        <v>65</v>
      </c>
      <c r="H1" s="3" t="s">
        <v>66</v>
      </c>
      <c r="I1" s="3" t="s">
        <v>143</v>
      </c>
      <c r="J1" s="3" t="s">
        <v>67</v>
      </c>
      <c r="K1" s="3" t="s">
        <v>68</v>
      </c>
      <c r="L1" s="3" t="s">
        <v>144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145</v>
      </c>
      <c r="S1" s="3" t="s">
        <v>146</v>
      </c>
      <c r="T1" s="3" t="s">
        <v>147</v>
      </c>
      <c r="U1" s="3" t="s">
        <v>148</v>
      </c>
      <c r="V1" s="3" t="s">
        <v>263</v>
      </c>
      <c r="W1" s="3" t="s">
        <v>238</v>
      </c>
      <c r="X1" s="3" t="s">
        <v>239</v>
      </c>
      <c r="Y1" s="3" t="s">
        <v>240</v>
      </c>
      <c r="Z1" s="3" t="s">
        <v>241</v>
      </c>
      <c r="AA1" s="3" t="s">
        <v>264</v>
      </c>
      <c r="AB1" s="3" t="s">
        <v>243</v>
      </c>
      <c r="AC1" s="3" t="s">
        <v>265</v>
      </c>
      <c r="AD1" s="3" t="s">
        <v>245</v>
      </c>
      <c r="AE1" s="3" t="s">
        <v>266</v>
      </c>
      <c r="AF1" s="3" t="s">
        <v>267</v>
      </c>
      <c r="AG1" s="3" t="s">
        <v>268</v>
      </c>
      <c r="AH1" s="3" t="s">
        <v>269</v>
      </c>
      <c r="AI1" s="20" t="s">
        <v>6</v>
      </c>
      <c r="AJ1" s="20" t="s">
        <v>2</v>
      </c>
      <c r="AK1" s="21" t="s">
        <v>7</v>
      </c>
    </row>
    <row r="2" spans="1:37" x14ac:dyDescent="0.35">
      <c r="B2" t="s">
        <v>86</v>
      </c>
      <c r="C2" t="s">
        <v>769</v>
      </c>
      <c r="D2" t="s">
        <v>770</v>
      </c>
      <c r="E2" t="s">
        <v>771</v>
      </c>
      <c r="F2" t="s">
        <v>772</v>
      </c>
      <c r="M2" s="125">
        <v>390.4</v>
      </c>
      <c r="N2" s="125">
        <v>0.5</v>
      </c>
      <c r="O2" s="124" t="str">
        <f>Ref!$A$4</f>
        <v>2023HUM/THO</v>
      </c>
      <c r="P2" s="125">
        <v>385.1</v>
      </c>
      <c r="Q2" s="125">
        <v>0.5</v>
      </c>
      <c r="R2" s="124" t="str">
        <f>Ref!$A$4</f>
        <v>2023HUM/THO</v>
      </c>
      <c r="S2" s="125">
        <v>159.6</v>
      </c>
      <c r="T2" s="122"/>
    </row>
    <row r="3" spans="1:37" x14ac:dyDescent="0.35">
      <c r="C3" t="s">
        <v>773</v>
      </c>
      <c r="D3" t="s">
        <v>774</v>
      </c>
      <c r="E3" t="s">
        <v>775</v>
      </c>
      <c r="F3" t="s">
        <v>776</v>
      </c>
      <c r="M3" s="125">
        <v>388.1</v>
      </c>
      <c r="N3" s="125">
        <v>0.5</v>
      </c>
      <c r="O3" s="124" t="str">
        <f>Ref!$A$4</f>
        <v>2023HUM/THO</v>
      </c>
      <c r="P3" s="125">
        <v>376</v>
      </c>
      <c r="Q3" s="125">
        <v>0.5</v>
      </c>
      <c r="R3" s="124" t="str">
        <f>Ref!$A$4</f>
        <v>2023HUM/THO</v>
      </c>
      <c r="S3" s="124">
        <v>157.56</v>
      </c>
      <c r="T3" s="122"/>
    </row>
    <row r="4" spans="1:37" x14ac:dyDescent="0.35">
      <c r="C4" t="s">
        <v>777</v>
      </c>
      <c r="D4" t="s">
        <v>778</v>
      </c>
      <c r="E4" t="s">
        <v>779</v>
      </c>
      <c r="F4" t="s">
        <v>780</v>
      </c>
      <c r="M4" s="125">
        <v>397.9</v>
      </c>
      <c r="N4" s="125">
        <v>1</v>
      </c>
      <c r="O4" s="124" t="str">
        <f>Ref!$A$4</f>
        <v>2023HUM/THO</v>
      </c>
      <c r="P4" s="125">
        <v>379</v>
      </c>
      <c r="Q4" s="125">
        <v>1</v>
      </c>
      <c r="R4" s="124" t="str">
        <f>Ref!$A$4</f>
        <v>2023HUM/THO</v>
      </c>
      <c r="S4" s="124">
        <v>163.88</v>
      </c>
      <c r="T4" s="122"/>
    </row>
    <row r="5" spans="1:37" x14ac:dyDescent="0.35">
      <c r="C5" t="s">
        <v>781</v>
      </c>
      <c r="D5" t="s">
        <v>782</v>
      </c>
      <c r="E5" t="s">
        <v>783</v>
      </c>
      <c r="F5" t="s">
        <v>784</v>
      </c>
      <c r="M5" s="125">
        <v>236</v>
      </c>
      <c r="N5" s="125">
        <v>1.6</v>
      </c>
      <c r="O5" s="124" t="s">
        <v>1084</v>
      </c>
      <c r="P5" s="125">
        <v>228.48099999999999</v>
      </c>
      <c r="Q5" s="125">
        <v>1.6</v>
      </c>
      <c r="R5" s="124" t="s">
        <v>1084</v>
      </c>
      <c r="S5" s="124">
        <v>97.62</v>
      </c>
      <c r="T5" s="122"/>
    </row>
    <row r="6" spans="1:37" x14ac:dyDescent="0.35">
      <c r="C6" t="s">
        <v>785</v>
      </c>
      <c r="D6" t="s">
        <v>786</v>
      </c>
      <c r="E6" t="s">
        <v>787</v>
      </c>
      <c r="M6" s="124">
        <v>194.48</v>
      </c>
      <c r="N6" s="124"/>
      <c r="O6" s="124" t="str">
        <f>Ref!$A$4</f>
        <v>2023HUM/THO</v>
      </c>
      <c r="P6" s="124">
        <v>197.07</v>
      </c>
      <c r="Q6" s="124"/>
      <c r="R6" s="124" t="str">
        <f>Ref!$A$4</f>
        <v>2023HUM/THO</v>
      </c>
      <c r="S6" s="124">
        <v>73.92</v>
      </c>
      <c r="T6" s="122"/>
    </row>
    <row r="7" spans="1:37" x14ac:dyDescent="0.35">
      <c r="C7" t="s">
        <v>788</v>
      </c>
      <c r="D7" t="s">
        <v>789</v>
      </c>
      <c r="E7" t="s">
        <v>790</v>
      </c>
      <c r="M7" s="124">
        <v>104.69</v>
      </c>
      <c r="N7" s="124"/>
      <c r="O7" s="124" t="str">
        <f>Ref!$A$4</f>
        <v>2023HUM/THO</v>
      </c>
      <c r="P7" s="124">
        <v>110.04</v>
      </c>
      <c r="Q7" s="124"/>
      <c r="R7" s="124" t="str">
        <f>Ref!$A$4</f>
        <v>2023HUM/THO</v>
      </c>
      <c r="S7" s="124">
        <v>46.45</v>
      </c>
      <c r="T7" s="122"/>
    </row>
    <row r="8" spans="1:37" x14ac:dyDescent="0.35">
      <c r="C8" t="s">
        <v>791</v>
      </c>
      <c r="D8" s="23" t="s">
        <v>792</v>
      </c>
      <c r="E8" t="s">
        <v>793</v>
      </c>
      <c r="M8" s="127">
        <v>210.227</v>
      </c>
      <c r="N8" s="127"/>
      <c r="O8" s="127" t="s">
        <v>1087</v>
      </c>
      <c r="P8" s="127">
        <v>207.96100000000001</v>
      </c>
      <c r="Q8" s="127"/>
      <c r="R8" s="127" t="s">
        <v>1087</v>
      </c>
      <c r="S8" s="123">
        <v>182.63000000000002</v>
      </c>
      <c r="T8" s="122"/>
    </row>
    <row r="9" spans="1:37" x14ac:dyDescent="0.35">
      <c r="C9" t="s">
        <v>794</v>
      </c>
      <c r="D9" t="s">
        <v>794</v>
      </c>
      <c r="E9" t="s">
        <v>795</v>
      </c>
      <c r="M9" s="126">
        <v>335</v>
      </c>
      <c r="N9" s="126"/>
      <c r="O9" s="126" t="s">
        <v>1085</v>
      </c>
      <c r="P9" s="126">
        <v>276</v>
      </c>
      <c r="Q9" s="126"/>
      <c r="R9" s="127" t="s">
        <v>1085</v>
      </c>
      <c r="S9" s="124">
        <v>126.5</v>
      </c>
    </row>
    <row r="10" spans="1:37" x14ac:dyDescent="0.35">
      <c r="A10" t="s">
        <v>796</v>
      </c>
      <c r="B10" t="s">
        <v>112</v>
      </c>
      <c r="C10" t="s">
        <v>797</v>
      </c>
      <c r="D10" t="s">
        <v>798</v>
      </c>
      <c r="E10" t="s">
        <v>799</v>
      </c>
      <c r="M10">
        <v>213.47</v>
      </c>
      <c r="O10" s="124" t="s">
        <v>1090</v>
      </c>
      <c r="P10">
        <v>189.2</v>
      </c>
      <c r="R10" s="124" t="s">
        <v>1090</v>
      </c>
      <c r="S10" s="124">
        <v>95.2</v>
      </c>
      <c r="U10" s="124" t="s">
        <v>1090</v>
      </c>
    </row>
    <row r="11" spans="1:37" x14ac:dyDescent="0.35">
      <c r="A11" t="s">
        <v>796</v>
      </c>
      <c r="C11" t="s">
        <v>800</v>
      </c>
      <c r="D11" t="str">
        <f>'[1]Phosphate solids ReacDC'!$B$8</f>
        <v>Mg3(PO4)2w4(cr)</v>
      </c>
      <c r="E11" t="s">
        <v>801</v>
      </c>
      <c r="M11" s="23">
        <v>650</v>
      </c>
      <c r="O11" s="124" t="s">
        <v>1090</v>
      </c>
      <c r="P11" s="23">
        <v>373.6</v>
      </c>
      <c r="R11" s="124" t="s">
        <v>1090</v>
      </c>
      <c r="S11">
        <v>140.69999999999999</v>
      </c>
      <c r="U11" s="124" t="s">
        <v>1090</v>
      </c>
    </row>
    <row r="12" spans="1:37" x14ac:dyDescent="0.35">
      <c r="A12" t="s">
        <v>796</v>
      </c>
      <c r="C12" t="s">
        <v>802</v>
      </c>
      <c r="D12" t="s">
        <v>803</v>
      </c>
      <c r="E12" t="s">
        <v>804</v>
      </c>
      <c r="M12" s="23">
        <v>801.4</v>
      </c>
      <c r="O12" s="124" t="s">
        <v>1090</v>
      </c>
      <c r="P12" s="23">
        <v>533.79999999999995</v>
      </c>
      <c r="R12" s="124" t="s">
        <v>1090</v>
      </c>
      <c r="S12" s="124">
        <v>185.42</v>
      </c>
      <c r="U12" t="s">
        <v>1091</v>
      </c>
    </row>
    <row r="13" spans="1:37" x14ac:dyDescent="0.35">
      <c r="A13" t="s">
        <v>796</v>
      </c>
      <c r="C13" t="s">
        <v>805</v>
      </c>
      <c r="D13" t="s">
        <v>806</v>
      </c>
      <c r="E13" t="s">
        <v>807</v>
      </c>
    </row>
    <row r="14" spans="1:37" x14ac:dyDescent="0.35">
      <c r="A14" t="s">
        <v>796</v>
      </c>
      <c r="C14" t="s">
        <v>808</v>
      </c>
      <c r="D14" t="s">
        <v>809</v>
      </c>
      <c r="E14" t="s">
        <v>810</v>
      </c>
    </row>
    <row r="15" spans="1:37" x14ac:dyDescent="0.35">
      <c r="A15" t="s">
        <v>796</v>
      </c>
      <c r="C15" t="s">
        <v>811</v>
      </c>
      <c r="D15" t="s">
        <v>812</v>
      </c>
      <c r="E15" t="s">
        <v>813</v>
      </c>
    </row>
    <row r="16" spans="1:37" x14ac:dyDescent="0.35">
      <c r="A16" t="s">
        <v>796</v>
      </c>
      <c r="C16" t="s">
        <v>814</v>
      </c>
      <c r="D16" t="s">
        <v>815</v>
      </c>
      <c r="E16" t="s">
        <v>816</v>
      </c>
    </row>
    <row r="17" spans="1:5" x14ac:dyDescent="0.35">
      <c r="A17" t="s">
        <v>796</v>
      </c>
      <c r="C17" t="s">
        <v>817</v>
      </c>
      <c r="D17" t="s">
        <v>818</v>
      </c>
      <c r="E17" t="s">
        <v>819</v>
      </c>
    </row>
    <row r="18" spans="1:5" x14ac:dyDescent="0.35">
      <c r="A18" t="s">
        <v>796</v>
      </c>
      <c r="C18" t="s">
        <v>820</v>
      </c>
      <c r="D18" t="s">
        <v>820</v>
      </c>
      <c r="E18" t="s">
        <v>821</v>
      </c>
    </row>
    <row r="19" spans="1:5" x14ac:dyDescent="0.35">
      <c r="A19" t="s">
        <v>796</v>
      </c>
      <c r="B19" t="s">
        <v>76</v>
      </c>
      <c r="C19" t="s">
        <v>822</v>
      </c>
      <c r="D19" t="s">
        <v>823</v>
      </c>
      <c r="E19" t="s">
        <v>824</v>
      </c>
    </row>
    <row r="20" spans="1:5" x14ac:dyDescent="0.35">
      <c r="A20" t="s">
        <v>796</v>
      </c>
      <c r="C20" t="s">
        <v>825</v>
      </c>
      <c r="D20" t="s">
        <v>826</v>
      </c>
      <c r="E20" t="s">
        <v>827</v>
      </c>
    </row>
    <row r="21" spans="1:5" x14ac:dyDescent="0.35">
      <c r="A21" t="s">
        <v>796</v>
      </c>
      <c r="C21" t="s">
        <v>828</v>
      </c>
      <c r="D21" t="s">
        <v>829</v>
      </c>
      <c r="E21" t="s">
        <v>830</v>
      </c>
    </row>
    <row r="22" spans="1:5" x14ac:dyDescent="0.35">
      <c r="A22" t="s">
        <v>796</v>
      </c>
      <c r="C22" t="s">
        <v>831</v>
      </c>
      <c r="D22" t="s">
        <v>832</v>
      </c>
      <c r="E22" t="s">
        <v>833</v>
      </c>
    </row>
    <row r="23" spans="1:5" x14ac:dyDescent="0.35">
      <c r="A23" t="s">
        <v>796</v>
      </c>
      <c r="C23" t="s">
        <v>834</v>
      </c>
      <c r="D23" t="s">
        <v>835</v>
      </c>
      <c r="E23" t="s">
        <v>836</v>
      </c>
    </row>
    <row r="24" spans="1:5" x14ac:dyDescent="0.35">
      <c r="A24" t="s">
        <v>796</v>
      </c>
      <c r="C24" t="s">
        <v>837</v>
      </c>
      <c r="D24" t="s">
        <v>838</v>
      </c>
      <c r="E24" t="s">
        <v>839</v>
      </c>
    </row>
    <row r="25" spans="1:5" x14ac:dyDescent="0.35">
      <c r="A25" t="s">
        <v>796</v>
      </c>
      <c r="C25" t="s">
        <v>837</v>
      </c>
      <c r="D25" s="23" t="s">
        <v>840</v>
      </c>
      <c r="E25" t="s">
        <v>839</v>
      </c>
    </row>
    <row r="26" spans="1:5" x14ac:dyDescent="0.35">
      <c r="A26" t="s">
        <v>796</v>
      </c>
      <c r="C26" t="s">
        <v>841</v>
      </c>
      <c r="D26" t="s">
        <v>842</v>
      </c>
      <c r="E26" t="s">
        <v>843</v>
      </c>
    </row>
    <row r="27" spans="1:5" x14ac:dyDescent="0.35">
      <c r="A27" t="s">
        <v>796</v>
      </c>
      <c r="C27" t="s">
        <v>844</v>
      </c>
      <c r="D27" t="s">
        <v>845</v>
      </c>
      <c r="E27" t="s">
        <v>846</v>
      </c>
    </row>
    <row r="28" spans="1:5" x14ac:dyDescent="0.35">
      <c r="A28" t="s">
        <v>796</v>
      </c>
      <c r="C28" t="s">
        <v>847</v>
      </c>
      <c r="D28" t="s">
        <v>848</v>
      </c>
      <c r="E28" t="s">
        <v>849</v>
      </c>
    </row>
    <row r="29" spans="1:5" x14ac:dyDescent="0.35">
      <c r="A29" t="s">
        <v>796</v>
      </c>
      <c r="C29" t="s">
        <v>850</v>
      </c>
      <c r="D29" t="s">
        <v>850</v>
      </c>
      <c r="E29" t="s">
        <v>851</v>
      </c>
    </row>
    <row r="30" spans="1:5" x14ac:dyDescent="0.35">
      <c r="A30" t="s">
        <v>796</v>
      </c>
      <c r="C30" t="s">
        <v>852</v>
      </c>
      <c r="D30" t="s">
        <v>853</v>
      </c>
      <c r="E30" t="s">
        <v>854</v>
      </c>
    </row>
    <row r="31" spans="1:5" x14ac:dyDescent="0.35">
      <c r="A31" t="s">
        <v>796</v>
      </c>
      <c r="C31" t="s">
        <v>855</v>
      </c>
      <c r="D31" t="s">
        <v>856</v>
      </c>
      <c r="E31" t="s">
        <v>857</v>
      </c>
    </row>
    <row r="32" spans="1:5" x14ac:dyDescent="0.35">
      <c r="A32" t="s">
        <v>796</v>
      </c>
      <c r="B32" t="s">
        <v>858</v>
      </c>
      <c r="C32" t="s">
        <v>859</v>
      </c>
      <c r="D32" s="23" t="s">
        <v>1075</v>
      </c>
      <c r="E32" t="s">
        <v>860</v>
      </c>
    </row>
    <row r="33" spans="1:5" x14ac:dyDescent="0.35">
      <c r="A33" t="s">
        <v>796</v>
      </c>
      <c r="C33" t="s">
        <v>861</v>
      </c>
      <c r="D33" t="s">
        <v>862</v>
      </c>
      <c r="E33" t="s">
        <v>863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394D-3BD9-4BF1-8806-0F0FE9A8B164}">
  <sheetPr>
    <tabColor rgb="FF7030A0"/>
  </sheetPr>
  <dimension ref="A1:AMM23"/>
  <sheetViews>
    <sheetView workbookViewId="0">
      <selection activeCell="H2" sqref="H2"/>
    </sheetView>
  </sheetViews>
  <sheetFormatPr defaultRowHeight="15.5" x14ac:dyDescent="0.35"/>
  <cols>
    <col min="8" max="8" width="23.5" bestFit="1" customWidth="1"/>
  </cols>
  <sheetData>
    <row r="1" spans="1:1027" x14ac:dyDescent="0.35">
      <c r="A1" s="3"/>
      <c r="B1" s="3" t="s">
        <v>59</v>
      </c>
      <c r="C1" s="3" t="s">
        <v>60</v>
      </c>
      <c r="D1" s="3" t="s">
        <v>61</v>
      </c>
      <c r="E1" s="3" t="s">
        <v>75</v>
      </c>
      <c r="F1" s="3" t="s">
        <v>222</v>
      </c>
      <c r="G1" s="3" t="s">
        <v>223</v>
      </c>
      <c r="H1" s="3" t="s">
        <v>224</v>
      </c>
      <c r="I1" s="3" t="s">
        <v>957</v>
      </c>
      <c r="J1" s="3" t="s">
        <v>958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229</v>
      </c>
      <c r="P1" s="3" t="s">
        <v>230</v>
      </c>
      <c r="Q1" s="3" t="s">
        <v>231</v>
      </c>
      <c r="R1" s="3" t="s">
        <v>232</v>
      </c>
      <c r="S1" s="3" t="s">
        <v>233</v>
      </c>
      <c r="T1" s="3" t="s">
        <v>234</v>
      </c>
      <c r="U1" s="3" t="s">
        <v>235</v>
      </c>
      <c r="V1" s="3" t="s">
        <v>236</v>
      </c>
      <c r="W1" s="3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s="3" t="s">
        <v>938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</row>
    <row r="2" spans="1:1027" x14ac:dyDescent="0.35">
      <c r="B2" s="25" t="s">
        <v>1092</v>
      </c>
      <c r="C2" s="25" t="s">
        <v>1092</v>
      </c>
      <c r="D2" s="25" t="s">
        <v>1092</v>
      </c>
      <c r="F2">
        <v>-2.34</v>
      </c>
      <c r="H2" t="s">
        <v>1093</v>
      </c>
      <c r="N2">
        <v>0</v>
      </c>
      <c r="P2" t="s">
        <v>1093</v>
      </c>
      <c r="Q2">
        <v>0</v>
      </c>
      <c r="S2" t="s">
        <v>1093</v>
      </c>
      <c r="V2" t="s">
        <v>1094</v>
      </c>
    </row>
    <row r="3" spans="1:1027" x14ac:dyDescent="0.35">
      <c r="B3" s="25" t="s">
        <v>1095</v>
      </c>
      <c r="C3" s="25" t="s">
        <v>1095</v>
      </c>
      <c r="D3" s="25" t="s">
        <v>1095</v>
      </c>
      <c r="F3">
        <v>4.1150000000000002</v>
      </c>
      <c r="H3" t="s">
        <v>1093</v>
      </c>
      <c r="N3">
        <v>0</v>
      </c>
      <c r="P3" t="s">
        <v>1093</v>
      </c>
      <c r="Q3">
        <v>0</v>
      </c>
      <c r="S3" t="s">
        <v>1093</v>
      </c>
      <c r="V3" t="s">
        <v>1113</v>
      </c>
    </row>
    <row r="4" spans="1:1027" x14ac:dyDescent="0.35">
      <c r="B4" s="25" t="s">
        <v>1096</v>
      </c>
      <c r="C4" s="25" t="s">
        <v>1096</v>
      </c>
      <c r="D4" s="25" t="s">
        <v>1096</v>
      </c>
      <c r="F4">
        <v>8.1980000000000004</v>
      </c>
      <c r="H4" t="s">
        <v>1093</v>
      </c>
      <c r="N4">
        <v>0</v>
      </c>
      <c r="P4" t="s">
        <v>1093</v>
      </c>
      <c r="Q4">
        <v>0</v>
      </c>
      <c r="S4" t="s">
        <v>1093</v>
      </c>
      <c r="V4" t="s">
        <v>1112</v>
      </c>
    </row>
    <row r="5" spans="1:1027" x14ac:dyDescent="0.35">
      <c r="B5" s="25" t="s">
        <v>1097</v>
      </c>
      <c r="C5" s="25" t="s">
        <v>1097</v>
      </c>
      <c r="D5" s="25" t="s">
        <v>1097</v>
      </c>
      <c r="F5">
        <v>4.0279999999999996</v>
      </c>
      <c r="H5" t="s">
        <v>1093</v>
      </c>
      <c r="N5">
        <v>0</v>
      </c>
      <c r="P5" t="s">
        <v>1093</v>
      </c>
      <c r="Q5">
        <v>0</v>
      </c>
      <c r="S5" t="s">
        <v>1093</v>
      </c>
      <c r="V5" t="s">
        <v>1111</v>
      </c>
    </row>
    <row r="6" spans="1:1027" x14ac:dyDescent="0.35">
      <c r="B6" s="25" t="s">
        <v>1098</v>
      </c>
      <c r="C6" s="25" t="s">
        <v>1098</v>
      </c>
      <c r="D6" s="25" t="s">
        <v>1098</v>
      </c>
      <c r="F6">
        <v>1.708</v>
      </c>
      <c r="H6" t="s">
        <v>1093</v>
      </c>
      <c r="N6">
        <v>0</v>
      </c>
      <c r="P6" t="s">
        <v>1093</v>
      </c>
      <c r="Q6">
        <v>0</v>
      </c>
      <c r="S6" t="s">
        <v>1093</v>
      </c>
      <c r="V6" t="s">
        <v>1110</v>
      </c>
    </row>
    <row r="7" spans="1:1027" x14ac:dyDescent="0.35">
      <c r="B7" s="25" t="s">
        <v>1099</v>
      </c>
      <c r="C7" s="25" t="s">
        <v>1099</v>
      </c>
      <c r="D7" s="25" t="s">
        <v>1099</v>
      </c>
      <c r="F7">
        <v>-1.9450000000000001</v>
      </c>
      <c r="H7" t="s">
        <v>1093</v>
      </c>
      <c r="N7">
        <v>0</v>
      </c>
      <c r="P7" t="s">
        <v>1093</v>
      </c>
      <c r="Q7">
        <v>0</v>
      </c>
      <c r="S7" t="s">
        <v>1093</v>
      </c>
      <c r="V7" t="s">
        <v>1109</v>
      </c>
    </row>
    <row r="8" spans="1:1027" x14ac:dyDescent="0.35">
      <c r="B8" s="25" t="s">
        <v>1100</v>
      </c>
      <c r="C8" s="25" t="s">
        <v>1100</v>
      </c>
      <c r="D8" s="25" t="s">
        <v>1100</v>
      </c>
      <c r="F8">
        <v>20.5</v>
      </c>
      <c r="G8">
        <v>1</v>
      </c>
      <c r="H8" t="s">
        <v>1104</v>
      </c>
      <c r="V8" t="s">
        <v>1108</v>
      </c>
    </row>
    <row r="9" spans="1:1027" x14ac:dyDescent="0.35">
      <c r="B9" s="25" t="s">
        <v>1101</v>
      </c>
      <c r="C9" s="25" t="s">
        <v>1101</v>
      </c>
      <c r="D9" s="25" t="s">
        <v>1101</v>
      </c>
      <c r="F9">
        <v>21.6</v>
      </c>
      <c r="G9">
        <v>1</v>
      </c>
      <c r="H9" t="s">
        <v>1104</v>
      </c>
      <c r="V9" t="s">
        <v>1105</v>
      </c>
    </row>
    <row r="10" spans="1:1027" x14ac:dyDescent="0.35">
      <c r="B10" s="25" t="s">
        <v>1102</v>
      </c>
      <c r="C10" s="25" t="s">
        <v>1102</v>
      </c>
      <c r="D10" s="25" t="s">
        <v>1102</v>
      </c>
      <c r="F10">
        <v>45.5</v>
      </c>
      <c r="G10">
        <v>1</v>
      </c>
      <c r="H10" t="s">
        <v>1104</v>
      </c>
      <c r="V10" t="s">
        <v>1106</v>
      </c>
    </row>
    <row r="11" spans="1:1027" x14ac:dyDescent="0.35">
      <c r="B11" s="25" t="s">
        <v>1103</v>
      </c>
      <c r="C11" s="25" t="s">
        <v>1103</v>
      </c>
      <c r="D11" s="25" t="s">
        <v>1103</v>
      </c>
      <c r="F11">
        <v>22.2</v>
      </c>
      <c r="G11">
        <v>1</v>
      </c>
      <c r="H11" t="s">
        <v>1104</v>
      </c>
      <c r="V11" t="s">
        <v>1107</v>
      </c>
    </row>
    <row r="12" spans="1:1027" x14ac:dyDescent="0.35">
      <c r="B12" s="25"/>
      <c r="C12" s="25"/>
      <c r="D12" s="25"/>
    </row>
    <row r="13" spans="1:1027" x14ac:dyDescent="0.35">
      <c r="B13" s="25"/>
      <c r="C13" s="25"/>
      <c r="D13" s="25"/>
    </row>
    <row r="14" spans="1:1027" x14ac:dyDescent="0.35">
      <c r="B14" s="25"/>
      <c r="C14" s="25"/>
      <c r="D14" s="25"/>
    </row>
    <row r="15" spans="1:1027" x14ac:dyDescent="0.35">
      <c r="B15" s="25"/>
      <c r="C15" s="25"/>
      <c r="D15" s="25"/>
    </row>
    <row r="16" spans="1:1027" x14ac:dyDescent="0.35">
      <c r="B16" s="25"/>
      <c r="C16" s="25"/>
      <c r="D16" s="25"/>
    </row>
    <row r="17" spans="2:4" x14ac:dyDescent="0.35">
      <c r="B17" s="25"/>
      <c r="C17" s="25"/>
      <c r="D17" s="25"/>
    </row>
    <row r="18" spans="2:4" x14ac:dyDescent="0.35">
      <c r="B18" s="25"/>
      <c r="C18" s="25"/>
      <c r="D18" s="25"/>
    </row>
    <row r="19" spans="2:4" x14ac:dyDescent="0.35">
      <c r="B19" s="25"/>
      <c r="C19" s="25"/>
      <c r="D19" s="25"/>
    </row>
    <row r="20" spans="2:4" x14ac:dyDescent="0.35">
      <c r="B20" s="25"/>
      <c r="C20" s="25"/>
      <c r="D20" s="25"/>
    </row>
    <row r="21" spans="2:4" x14ac:dyDescent="0.35">
      <c r="B21" s="25"/>
      <c r="C21" s="25"/>
      <c r="D21" s="25"/>
    </row>
    <row r="22" spans="2:4" x14ac:dyDescent="0.35">
      <c r="B22" s="25"/>
      <c r="C22" s="25"/>
      <c r="D22" s="25"/>
    </row>
    <row r="23" spans="2:4" x14ac:dyDescent="0.35">
      <c r="B23" s="25"/>
      <c r="C23" s="25"/>
      <c r="D23" s="25"/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587A-AC78-449E-AB2E-A9DEC2CBCF96}">
  <sheetPr>
    <tabColor rgb="FF7030A0"/>
  </sheetPr>
  <dimension ref="A1:AD35"/>
  <sheetViews>
    <sheetView workbookViewId="0">
      <selection activeCell="E14" sqref="E14"/>
    </sheetView>
  </sheetViews>
  <sheetFormatPr defaultRowHeight="15.5" x14ac:dyDescent="0.35"/>
  <cols>
    <col min="1" max="1" width="15.75" customWidth="1"/>
    <col min="2" max="2" width="23.6640625" bestFit="1" customWidth="1"/>
    <col min="3" max="3" width="19.1640625" bestFit="1" customWidth="1"/>
    <col min="4" max="4" width="24.33203125" bestFit="1" customWidth="1"/>
    <col min="8" max="8" width="12.6640625" bestFit="1" customWidth="1"/>
    <col min="10" max="10" width="9.1640625" bestFit="1" customWidth="1"/>
    <col min="11" max="11" width="15.6640625" bestFit="1" customWidth="1"/>
    <col min="13" max="13" width="10.1640625" bestFit="1" customWidth="1"/>
  </cols>
  <sheetData>
    <row r="1" spans="1:30" x14ac:dyDescent="0.35">
      <c r="A1" s="11" t="s">
        <v>316</v>
      </c>
      <c r="B1" s="3" t="s">
        <v>59</v>
      </c>
      <c r="C1" s="3" t="s">
        <v>60</v>
      </c>
      <c r="D1" s="3" t="s">
        <v>61</v>
      </c>
      <c r="E1" s="3" t="s">
        <v>222</v>
      </c>
      <c r="F1" s="3" t="s">
        <v>223</v>
      </c>
      <c r="G1" s="3" t="s">
        <v>224</v>
      </c>
      <c r="H1" s="3" t="s">
        <v>225</v>
      </c>
      <c r="I1" s="3" t="s">
        <v>226</v>
      </c>
      <c r="J1" s="3" t="s">
        <v>227</v>
      </c>
      <c r="K1" s="3" t="s">
        <v>231</v>
      </c>
      <c r="L1" s="3" t="s">
        <v>232</v>
      </c>
      <c r="M1" s="3" t="s">
        <v>233</v>
      </c>
      <c r="N1" s="3" t="s">
        <v>234</v>
      </c>
      <c r="O1" s="3" t="s">
        <v>235</v>
      </c>
      <c r="P1" s="3" t="s">
        <v>236</v>
      </c>
      <c r="Q1" s="3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AA1" t="s">
        <v>1083</v>
      </c>
      <c r="AB1" t="s">
        <v>1088</v>
      </c>
      <c r="AC1" t="s">
        <v>10</v>
      </c>
      <c r="AD1">
        <v>8.3145100000000003</v>
      </c>
    </row>
    <row r="2" spans="1:30" ht="16.5" x14ac:dyDescent="0.45">
      <c r="A2" t="str">
        <f>'phosphates DComp'!B2</f>
        <v>Ca</v>
      </c>
      <c r="B2" t="str">
        <f>'phosphates DComp'!C2</f>
        <v>Ca5(PO4)3OH(cr)</v>
      </c>
      <c r="C2" t="str">
        <f>'phosphates DComp'!D2</f>
        <v>Apatite-OH</v>
      </c>
      <c r="D2" t="str">
        <f>'phosphates DComp'!E2</f>
        <v>Ca5(PO4)3OH</v>
      </c>
      <c r="E2">
        <v>-58.29</v>
      </c>
      <c r="F2">
        <v>0.15</v>
      </c>
      <c r="G2" t="str">
        <f>Ref!$A$4</f>
        <v>2023HUM/THO</v>
      </c>
      <c r="H2" s="29">
        <f>(AA2+298.15*AB2/1000)</f>
        <v>-68.352591517725102</v>
      </c>
      <c r="I2" s="128"/>
      <c r="J2" s="128"/>
      <c r="K2" s="29"/>
      <c r="L2" s="29"/>
      <c r="M2" s="29"/>
      <c r="P2" t="s">
        <v>864</v>
      </c>
      <c r="AA2" s="29">
        <f t="shared" ref="AA2:AA33" si="0">-E2*(LN(10)*$AD$1*(298.15))/1000</f>
        <v>332.72176998227491</v>
      </c>
      <c r="AB2">
        <f>('aqueous DComp'!K12+3*'aqueous DComp'!K21+5*'aqueous DComp'!K7)-'phosphates DComp'!M2</f>
        <v>-1345.21</v>
      </c>
    </row>
    <row r="3" spans="1:30" ht="16.5" x14ac:dyDescent="0.45">
      <c r="B3" t="str">
        <f>'phosphates DComp'!C3</f>
        <v>Ca5(PO4)3F(cr)</v>
      </c>
      <c r="C3" t="str">
        <f>'phosphates DComp'!D3</f>
        <v>Apatite-F</v>
      </c>
      <c r="D3" t="str">
        <f>'phosphates DComp'!E3</f>
        <v>Ca5(PO4)3F</v>
      </c>
      <c r="E3">
        <v>-59.63</v>
      </c>
      <c r="F3">
        <v>0.2</v>
      </c>
      <c r="G3" t="str">
        <f>Ref!$A$4</f>
        <v>2023HUM/THO</v>
      </c>
      <c r="H3" s="29">
        <f>(AA3+298.15*AB3/1000)</f>
        <v>-60.882705196293443</v>
      </c>
      <c r="I3" s="128"/>
      <c r="J3" s="128"/>
      <c r="K3" s="29"/>
      <c r="L3" s="29"/>
      <c r="M3" s="29"/>
      <c r="P3" t="s">
        <v>865</v>
      </c>
      <c r="AA3" s="29">
        <f t="shared" si="0"/>
        <v>340.37054630370653</v>
      </c>
      <c r="AB3">
        <f>('aqueous DComp'!K13+3*'aqueous DComp'!K21+5*'aqueous DComp'!K7)-'phosphates DComp'!M3</f>
        <v>-1345.81</v>
      </c>
    </row>
    <row r="4" spans="1:30" ht="16.5" x14ac:dyDescent="0.45">
      <c r="B4" t="str">
        <f>'phosphates DComp'!C4</f>
        <v>Ca5(PO4)3Cl(cr)</v>
      </c>
      <c r="C4" t="str">
        <f>'phosphates DComp'!D4</f>
        <v>Apatite-Cl</v>
      </c>
      <c r="D4" t="str">
        <f>'phosphates DComp'!E4</f>
        <v>Ca5(PO4)3Cl</v>
      </c>
      <c r="E4">
        <v>-46</v>
      </c>
      <c r="F4">
        <v>5</v>
      </c>
      <c r="G4" t="str">
        <f>Ref!$A$4</f>
        <v>2023HUM/THO</v>
      </c>
      <c r="H4" s="29">
        <f>(AA4+298.15*AB4/1000)</f>
        <v>-120.61542807772099</v>
      </c>
      <c r="I4" s="128"/>
      <c r="J4" s="128"/>
      <c r="K4" s="29"/>
      <c r="L4" s="29"/>
      <c r="M4" s="29"/>
      <c r="P4" t="s">
        <v>866</v>
      </c>
      <c r="AA4" s="29">
        <f t="shared" si="0"/>
        <v>262.56993342227901</v>
      </c>
      <c r="AB4">
        <f>('aqueous DComp'!K4+3*'aqueous DComp'!K21+5*'aqueous DComp'!K7)-'phosphates DComp'!M4</f>
        <v>-1285.21</v>
      </c>
    </row>
    <row r="5" spans="1:30" ht="16.5" x14ac:dyDescent="0.45">
      <c r="B5" t="str">
        <f>'phosphates DComp'!C5</f>
        <v>Ca3(PO4)2(cr)</v>
      </c>
      <c r="C5" t="str">
        <f>'phosphates DComp'!D5</f>
        <v>Tuite</v>
      </c>
      <c r="D5" t="str">
        <f>'phosphates DComp'!E5</f>
        <v>Ca3(PO4)2</v>
      </c>
      <c r="E5">
        <v>-28.9</v>
      </c>
      <c r="F5">
        <v>0.1</v>
      </c>
      <c r="G5" t="str">
        <f>Ref!$A$4</f>
        <v>2023HUM/THO</v>
      </c>
      <c r="H5" s="29"/>
      <c r="I5" s="128"/>
      <c r="J5" s="128"/>
      <c r="K5" s="29"/>
      <c r="L5" s="29"/>
      <c r="M5" s="29"/>
      <c r="P5" t="s">
        <v>867</v>
      </c>
      <c r="AA5" s="29">
        <f t="shared" si="0"/>
        <v>164.96241469356227</v>
      </c>
    </row>
    <row r="6" spans="1:30" ht="16.5" x14ac:dyDescent="0.45">
      <c r="B6" t="str">
        <f>'phosphates DComp'!C6</f>
        <v>CaH(PO4)w2(cr)</v>
      </c>
      <c r="C6" t="str">
        <f>'phosphates DComp'!D6</f>
        <v>Brushite</v>
      </c>
      <c r="D6" t="str">
        <f>'phosphates DComp'!E6</f>
        <v>CaH(PO4)(H2O)2</v>
      </c>
      <c r="E6">
        <v>-6.59</v>
      </c>
      <c r="F6">
        <v>0.02</v>
      </c>
      <c r="G6" t="str">
        <f>Ref!$A$4</f>
        <v>2023HUM/THO</v>
      </c>
      <c r="H6" s="29"/>
      <c r="I6" s="128"/>
      <c r="J6" s="128"/>
      <c r="K6" s="29"/>
      <c r="L6" s="29"/>
      <c r="M6" s="29"/>
      <c r="P6" t="s">
        <v>868</v>
      </c>
      <c r="Z6" t="s">
        <v>869</v>
      </c>
      <c r="AA6" s="29">
        <f t="shared" si="0"/>
        <v>37.615996983756929</v>
      </c>
    </row>
    <row r="7" spans="1:30" ht="16.5" x14ac:dyDescent="0.45">
      <c r="B7" t="str">
        <f>'phosphates DComp'!C7</f>
        <v>CaHPO4(cr)</v>
      </c>
      <c r="C7" t="str">
        <f>'phosphates DComp'!D7</f>
        <v>Monetite</v>
      </c>
      <c r="D7" t="str">
        <f>'phosphates DComp'!E7</f>
        <v>CaHPO4</v>
      </c>
      <c r="E7">
        <v>-6.86</v>
      </c>
      <c r="F7">
        <v>0.02</v>
      </c>
      <c r="G7" t="str">
        <f>Ref!$A$4</f>
        <v>2023HUM/THO</v>
      </c>
      <c r="H7" s="29"/>
      <c r="I7" s="128"/>
      <c r="J7" s="128"/>
      <c r="K7" s="29"/>
      <c r="L7" s="29"/>
      <c r="M7" s="29"/>
      <c r="P7" t="s">
        <v>870</v>
      </c>
      <c r="Z7" t="s">
        <v>871</v>
      </c>
      <c r="AA7" s="29">
        <f t="shared" si="0"/>
        <v>39.157168332105094</v>
      </c>
    </row>
    <row r="8" spans="1:30" ht="16.5" x14ac:dyDescent="0.45">
      <c r="A8" t="s">
        <v>872</v>
      </c>
      <c r="B8" t="str">
        <f>'phosphates DComp'!C8</f>
        <v>Ca4H(PO4)3w2.5(s)</v>
      </c>
      <c r="C8" t="str">
        <f>'phosphates DComp'!D8</f>
        <v>OCP</v>
      </c>
      <c r="D8" t="str">
        <f>'phosphates DComp'!E8</f>
        <v>Ca4H(PO4)3(H2O)2.5</v>
      </c>
      <c r="E8">
        <v>-48.48</v>
      </c>
      <c r="F8">
        <v>0.16</v>
      </c>
      <c r="G8" t="str">
        <f>Ref!$A$4</f>
        <v>2023HUM/THO</v>
      </c>
      <c r="H8" s="29"/>
      <c r="I8" s="128"/>
      <c r="J8" s="128"/>
      <c r="K8" s="29"/>
      <c r="L8" s="29"/>
      <c r="M8" s="29"/>
      <c r="P8" t="s">
        <v>873</v>
      </c>
      <c r="AA8" s="29">
        <f t="shared" si="0"/>
        <v>276.72587765895844</v>
      </c>
    </row>
    <row r="9" spans="1:30" ht="16.5" x14ac:dyDescent="0.45">
      <c r="B9" t="str">
        <f>'phosphates DComp'!C9</f>
        <v>CaHK3(PO4)2(cr)</v>
      </c>
      <c r="C9" t="str">
        <f>'phosphates DComp'!D9</f>
        <v>CaHK3(PO4)2(cr)</v>
      </c>
      <c r="D9" t="str">
        <f>'phosphates DComp'!E9</f>
        <v>CaHK3(PO4)2</v>
      </c>
      <c r="E9">
        <v>-22.4</v>
      </c>
      <c r="F9">
        <v>0.8</v>
      </c>
      <c r="G9" t="s">
        <v>1086</v>
      </c>
      <c r="H9" s="29"/>
      <c r="I9" s="128"/>
      <c r="J9" s="128"/>
      <c r="K9" s="29"/>
      <c r="L9" s="29"/>
      <c r="M9" s="29"/>
      <c r="P9" t="s">
        <v>874</v>
      </c>
      <c r="AA9" s="29">
        <f t="shared" si="0"/>
        <v>127.86014149258804</v>
      </c>
    </row>
    <row r="10" spans="1:30" x14ac:dyDescent="0.35">
      <c r="A10" t="str">
        <f>'phosphates DComp'!B10</f>
        <v>Mg</v>
      </c>
      <c r="B10" t="str">
        <f>'phosphates DComp'!C10</f>
        <v>Mg3(PO4)2(cr)</v>
      </c>
      <c r="C10" t="str">
        <f>'phosphates DComp'!D10</f>
        <v>Farringtonite</v>
      </c>
      <c r="D10" t="str">
        <f>'phosphates DComp'!E10</f>
        <v>Mg3(PO4)2</v>
      </c>
      <c r="E10">
        <v>-22.41</v>
      </c>
      <c r="F10">
        <v>0.3</v>
      </c>
      <c r="G10" t="s">
        <v>1089</v>
      </c>
      <c r="I10">
        <f>-'[1]Phosphate solids ReacDC'!$F$7</f>
        <v>-22.41</v>
      </c>
      <c r="J10">
        <f>'[1]Phosphate solids ReacDC'!$G$7</f>
        <v>0.3</v>
      </c>
      <c r="P10" t="s">
        <v>875</v>
      </c>
      <c r="AA10" s="29">
        <f t="shared" si="0"/>
        <v>127.91722191289725</v>
      </c>
    </row>
    <row r="11" spans="1:30" x14ac:dyDescent="0.35">
      <c r="B11" t="str">
        <f>'phosphates DComp'!C11</f>
        <v>Mg3(PO4)2w4(cr)</v>
      </c>
      <c r="C11" t="str">
        <f>'phosphates DComp'!D11</f>
        <v>Mg3(PO4)2w4(cr)</v>
      </c>
      <c r="D11" t="str">
        <f>'phosphates DComp'!E11</f>
        <v>Mg3(PO4)2(H2O)4</v>
      </c>
      <c r="E11">
        <v>-23.5</v>
      </c>
      <c r="F11">
        <v>1.8</v>
      </c>
      <c r="G11" t="s">
        <v>1089</v>
      </c>
      <c r="I11">
        <f>-'[1]Phosphate solids ReacDC'!$F$8</f>
        <v>-23.5</v>
      </c>
      <c r="J11">
        <v>1.8</v>
      </c>
      <c r="P11" t="s">
        <v>876</v>
      </c>
      <c r="AA11" s="29">
        <f t="shared" si="0"/>
        <v>134.13898772659905</v>
      </c>
    </row>
    <row r="12" spans="1:30" ht="16.5" x14ac:dyDescent="0.45">
      <c r="B12" t="str">
        <f>'phosphates DComp'!C12</f>
        <v>Mg3(PO4)2w8(cr)</v>
      </c>
      <c r="C12" t="str">
        <f>'phosphates DComp'!D12</f>
        <v xml:space="preserve">Bobierrite </v>
      </c>
      <c r="D12" t="str">
        <f>'phosphates DComp'!E12</f>
        <v>Mg3(PO4)2(H2O)8</v>
      </c>
      <c r="E12">
        <f>-'[1]Phosphate solids ReacDC'!$F$9</f>
        <v>-25.3</v>
      </c>
      <c r="F12">
        <v>1</v>
      </c>
      <c r="G12" t="s">
        <v>1089</v>
      </c>
      <c r="I12" s="121">
        <f>-'[1]Phosphate solids ReacDC'!$F$9</f>
        <v>-25.3</v>
      </c>
      <c r="J12" s="121">
        <v>1</v>
      </c>
      <c r="P12" t="s">
        <v>877</v>
      </c>
      <c r="AA12" s="29">
        <f t="shared" si="0"/>
        <v>144.41346338225347</v>
      </c>
    </row>
    <row r="13" spans="1:30" x14ac:dyDescent="0.35">
      <c r="B13" t="str">
        <f>'phosphates DComp'!C13</f>
        <v>Mg3(PO4)2w22(cr)</v>
      </c>
      <c r="C13" t="str">
        <f>'phosphates DComp'!D13</f>
        <v>Cattite</v>
      </c>
      <c r="D13" t="str">
        <f>'phosphates DComp'!E13</f>
        <v>Mg3(PO4)2(H2O)22</v>
      </c>
      <c r="E13">
        <v>-23.03</v>
      </c>
      <c r="F13">
        <v>0.56000000000000005</v>
      </c>
      <c r="G13" t="s">
        <v>1089</v>
      </c>
      <c r="I13">
        <f>-'[1]Phosphate solids ReacDC'!$F$10</f>
        <v>-23.03</v>
      </c>
      <c r="J13">
        <v>0.56000000000000005</v>
      </c>
      <c r="P13" t="s">
        <v>878</v>
      </c>
      <c r="AA13" s="29">
        <f t="shared" si="0"/>
        <v>131.45620797206709</v>
      </c>
    </row>
    <row r="14" spans="1:30" x14ac:dyDescent="0.35">
      <c r="B14" t="str">
        <f>'phosphates DComp'!C14</f>
        <v>MgKPO4w6(cr)</v>
      </c>
      <c r="C14" t="str">
        <f>'phosphates DComp'!D14</f>
        <v>K-struvite</v>
      </c>
      <c r="D14" t="str">
        <f>'phosphates DComp'!E14</f>
        <v>MgKPO4(H2O)6</v>
      </c>
      <c r="P14" t="s">
        <v>879</v>
      </c>
      <c r="AA14" s="29">
        <f t="shared" si="0"/>
        <v>0</v>
      </c>
    </row>
    <row r="15" spans="1:30" x14ac:dyDescent="0.35">
      <c r="B15" t="str">
        <f>'phosphates DComp'!C15</f>
        <v>MgKPO4w1(cr)</v>
      </c>
      <c r="C15" t="str">
        <f>'phosphates DComp'!D15</f>
        <v>K-struvite-de-watered</v>
      </c>
      <c r="D15" t="str">
        <f>'phosphates DComp'!E15</f>
        <v>MgKPO4(H2O)1</v>
      </c>
      <c r="P15" t="s">
        <v>880</v>
      </c>
      <c r="AA15" s="29">
        <f t="shared" si="0"/>
        <v>0</v>
      </c>
    </row>
    <row r="16" spans="1:30" x14ac:dyDescent="0.35">
      <c r="B16" t="str">
        <f>'phosphates DComp'!C16</f>
        <v>MgHPO4w3(cr)</v>
      </c>
      <c r="C16" t="str">
        <f>'phosphates DComp'!D16</f>
        <v>Newberyite</v>
      </c>
      <c r="D16" t="str">
        <f>'phosphates DComp'!E16</f>
        <v>MgHPO4(H2O)3</v>
      </c>
      <c r="P16" t="s">
        <v>881</v>
      </c>
      <c r="Z16" t="s">
        <v>882</v>
      </c>
      <c r="AA16" s="29">
        <f t="shared" si="0"/>
        <v>0</v>
      </c>
    </row>
    <row r="17" spans="1:27" x14ac:dyDescent="0.35">
      <c r="B17" t="str">
        <f>'phosphates DComp'!C17</f>
        <v>MgHPO4w7(cr)</v>
      </c>
      <c r="C17" t="str">
        <f>'phosphates DComp'!D17</f>
        <v>Phosphorrösslerite</v>
      </c>
      <c r="D17" t="str">
        <f>'phosphates DComp'!E17</f>
        <v>MgHPO4(H2O)7</v>
      </c>
      <c r="P17" t="s">
        <v>883</v>
      </c>
      <c r="Z17" t="s">
        <v>884</v>
      </c>
      <c r="AA17" s="29">
        <f t="shared" si="0"/>
        <v>0</v>
      </c>
    </row>
    <row r="18" spans="1:27" x14ac:dyDescent="0.35">
      <c r="B18" t="str">
        <f>'phosphates DComp'!C18</f>
        <v>Mg2KH(PO4)2w15(cr)</v>
      </c>
      <c r="C18" t="str">
        <f>'phosphates DComp'!D18</f>
        <v>Mg2KH(PO4)2w15(cr)</v>
      </c>
      <c r="D18" t="str">
        <f>'phosphates DComp'!E18</f>
        <v>Mg2KH(PO4)2(H2O)15</v>
      </c>
      <c r="P18" t="s">
        <v>885</v>
      </c>
      <c r="AA18" s="29">
        <f t="shared" si="0"/>
        <v>0</v>
      </c>
    </row>
    <row r="19" spans="1:27" x14ac:dyDescent="0.35">
      <c r="A19" t="str">
        <f>'phosphates DComp'!B19</f>
        <v>Al</v>
      </c>
      <c r="B19" t="str">
        <f>'phosphates DComp'!C19</f>
        <v>Al2PO4(OH)3(cr)</v>
      </c>
      <c r="C19" t="str">
        <f>'phosphates DComp'!D19</f>
        <v>Augellite</v>
      </c>
      <c r="D19" t="str">
        <f>'phosphates DComp'!E19</f>
        <v>Al2PO4(OH)3</v>
      </c>
      <c r="P19" t="s">
        <v>886</v>
      </c>
      <c r="AA19" s="29">
        <f t="shared" si="0"/>
        <v>0</v>
      </c>
    </row>
    <row r="20" spans="1:27" x14ac:dyDescent="0.35">
      <c r="B20" t="str">
        <f>'phosphates DComp'!C20</f>
        <v>AlPO4(cr)</v>
      </c>
      <c r="C20" t="str">
        <f>'phosphates DComp'!D20</f>
        <v>Berlinite</v>
      </c>
      <c r="D20" t="str">
        <f>'phosphates DComp'!E20</f>
        <v>AlPO4</v>
      </c>
      <c r="P20" t="s">
        <v>887</v>
      </c>
      <c r="AA20" s="29">
        <f t="shared" si="0"/>
        <v>0</v>
      </c>
    </row>
    <row r="21" spans="1:27" x14ac:dyDescent="0.35">
      <c r="B21" t="str">
        <f>'phosphates DComp'!C21</f>
        <v>Al4(PO4)3(OH)3(cr)</v>
      </c>
      <c r="C21" t="str">
        <f>'phosphates DComp'!D21</f>
        <v>Trolleite</v>
      </c>
      <c r="D21" t="str">
        <f>'phosphates DComp'!E21</f>
        <v>Al4(PO4)3(OH)3</v>
      </c>
      <c r="P21" t="s">
        <v>888</v>
      </c>
      <c r="AA21" s="29">
        <f t="shared" si="0"/>
        <v>0</v>
      </c>
    </row>
    <row r="22" spans="1:27" x14ac:dyDescent="0.35">
      <c r="B22" t="str">
        <f>'phosphates DComp'!C22</f>
        <v>Al3(PO4)2(OH)3w5(cr)</v>
      </c>
      <c r="C22" t="str">
        <f>'phosphates DComp'!D22</f>
        <v>Wavellite</v>
      </c>
      <c r="D22" t="str">
        <f>'phosphates DComp'!E22</f>
        <v>Al3(PO4)2(OH)3(H2O)5</v>
      </c>
      <c r="P22" t="s">
        <v>889</v>
      </c>
      <c r="AA22" s="29">
        <f t="shared" si="0"/>
        <v>0</v>
      </c>
    </row>
    <row r="23" spans="1:27" x14ac:dyDescent="0.35">
      <c r="B23" t="str">
        <f>'phosphates DComp'!C23</f>
        <v>Al2(PO4)(OH)3w(cr)</v>
      </c>
      <c r="C23" t="str">
        <f>'phosphates DComp'!D23</f>
        <v>Senegalite</v>
      </c>
      <c r="D23" t="str">
        <f>'phosphates DComp'!E23</f>
        <v>Al2(PO4)(OH)3H2O</v>
      </c>
      <c r="P23" t="s">
        <v>890</v>
      </c>
      <c r="AA23" s="29">
        <f t="shared" si="0"/>
        <v>0</v>
      </c>
    </row>
    <row r="24" spans="1:27" x14ac:dyDescent="0.35">
      <c r="B24" t="str">
        <f>'phosphates DComp'!C24</f>
        <v>AlPO4w2(cr)</v>
      </c>
      <c r="C24" t="str">
        <f>'phosphates DComp'!D24</f>
        <v>Variscite</v>
      </c>
      <c r="D24" t="str">
        <f>'phosphates DComp'!E24</f>
        <v>AlPO4(H2O)2</v>
      </c>
      <c r="P24" t="s">
        <v>891</v>
      </c>
      <c r="AA24" s="29">
        <f t="shared" si="0"/>
        <v>0</v>
      </c>
    </row>
    <row r="25" spans="1:27" x14ac:dyDescent="0.35">
      <c r="B25" t="str">
        <f>'phosphates DComp'!C25</f>
        <v>AlPO4w2(cr)</v>
      </c>
      <c r="C25" t="str">
        <f>'phosphates DComp'!D25</f>
        <v>AP(am)</v>
      </c>
      <c r="D25" t="str">
        <f>'phosphates DComp'!E25</f>
        <v>AlPO4(H2O)2</v>
      </c>
      <c r="P25" t="s">
        <v>891</v>
      </c>
      <c r="AA25" s="29">
        <f t="shared" si="0"/>
        <v>0</v>
      </c>
    </row>
    <row r="26" spans="1:27" x14ac:dyDescent="0.35">
      <c r="B26" t="str">
        <f>'phosphates DComp'!C26</f>
        <v>Ca2Al(PO4)2OH(cr)</v>
      </c>
      <c r="C26" t="str">
        <f>'phosphates DComp'!D26</f>
        <v>Bearthite</v>
      </c>
      <c r="D26" t="str">
        <f>'phosphates DComp'!E26</f>
        <v>Ca2Al(PO4)2OH</v>
      </c>
      <c r="P26" t="s">
        <v>892</v>
      </c>
      <c r="AA26" s="29">
        <f t="shared" si="0"/>
        <v>0</v>
      </c>
    </row>
    <row r="27" spans="1:27" x14ac:dyDescent="0.35">
      <c r="B27" t="str">
        <f>'phosphates DComp'!C27</f>
        <v>KCaAl6(PO4)4(OH)9w3</v>
      </c>
      <c r="C27" t="str">
        <f>'phosphates DComp'!D27</f>
        <v>Millisite</v>
      </c>
      <c r="D27" t="str">
        <f>'phosphates DComp'!E27</f>
        <v>KCaAl6(PO4)4(OH)9(H2O)3</v>
      </c>
      <c r="P27" t="s">
        <v>893</v>
      </c>
      <c r="AA27" s="29">
        <f t="shared" si="0"/>
        <v>0</v>
      </c>
    </row>
    <row r="28" spans="1:27" x14ac:dyDescent="0.35">
      <c r="B28" t="str">
        <f>'phosphates DComp'!C28</f>
        <v>Ca1.5Al6(PO4)4(OH)9w3(cr)</v>
      </c>
      <c r="C28" t="str">
        <f>'phosphates DComp'!D28</f>
        <v>Ca-Millisite</v>
      </c>
      <c r="D28" t="str">
        <f>'phosphates DComp'!E28</f>
        <v>Ca1.5Al6(PO4)4(OH)9(H2O)3</v>
      </c>
      <c r="P28" t="s">
        <v>894</v>
      </c>
      <c r="AA28" s="29">
        <f t="shared" si="0"/>
        <v>0</v>
      </c>
    </row>
    <row r="29" spans="1:27" x14ac:dyDescent="0.35">
      <c r="B29" t="str">
        <f>'phosphates DComp'!C29</f>
        <v>CaAlH(PO4)2w6(cr)</v>
      </c>
      <c r="C29" t="str">
        <f>'phosphates DComp'!D29</f>
        <v>CaAlH(PO4)2w6(cr)</v>
      </c>
      <c r="D29" t="str">
        <f>'phosphates DComp'!E29</f>
        <v>CaAlH(PO4)2(H2O)6</v>
      </c>
      <c r="P29" t="s">
        <v>895</v>
      </c>
      <c r="AA29" s="29">
        <f t="shared" si="0"/>
        <v>0</v>
      </c>
    </row>
    <row r="30" spans="1:27" x14ac:dyDescent="0.35">
      <c r="B30" t="str">
        <f>'phosphates DComp'!C30</f>
        <v>CaAl3(PO4)2(OH)5w(cr)</v>
      </c>
      <c r="C30" t="str">
        <f>'phosphates DComp'!D30</f>
        <v>Crandallite</v>
      </c>
      <c r="D30" t="str">
        <f>'phosphates DComp'!E30</f>
        <v>CaAl3(PO4)2(OH)5H2O</v>
      </c>
      <c r="P30" t="s">
        <v>896</v>
      </c>
      <c r="AA30" s="29">
        <f t="shared" si="0"/>
        <v>0</v>
      </c>
    </row>
    <row r="31" spans="1:27" x14ac:dyDescent="0.35">
      <c r="B31" t="str">
        <f>'phosphates DComp'!C31</f>
        <v>Ca2Al2(PO4)3(OH)w7(cr)</v>
      </c>
      <c r="C31" t="str">
        <f>'phosphates DComp'!D31</f>
        <v>Montgomeryite</v>
      </c>
      <c r="D31" t="str">
        <f>'phosphates DComp'!E31</f>
        <v>Ca2Al2(PO4)3(OH)(H2O)7</v>
      </c>
      <c r="P31" t="s">
        <v>897</v>
      </c>
      <c r="AA31" s="29">
        <f t="shared" si="0"/>
        <v>0</v>
      </c>
    </row>
    <row r="32" spans="1:27" x14ac:dyDescent="0.35">
      <c r="A32" t="str">
        <f>'phosphates DComp'!B32</f>
        <v>Basic potassium aluminate phosphate (minyulite type)</v>
      </c>
      <c r="B32" t="str">
        <f>'phosphates DComp'!C32</f>
        <v>KAl2(PO4)2OHw2(cr)</v>
      </c>
      <c r="C32" t="str">
        <f>'phosphates DComp'!D32</f>
        <v>K-apatite</v>
      </c>
      <c r="D32" t="str">
        <f>'phosphates DComp'!E32</f>
        <v>KAl2(PO4)2OH(H2O)2</v>
      </c>
      <c r="P32" t="s">
        <v>898</v>
      </c>
      <c r="AA32" s="29">
        <f t="shared" si="0"/>
        <v>0</v>
      </c>
    </row>
    <row r="33" spans="2:27" x14ac:dyDescent="0.35">
      <c r="B33" t="str">
        <f>'phosphates DComp'!C33</f>
        <v>H6K3Al5(PO4)8w18(cr)</v>
      </c>
      <c r="C33" t="str">
        <f>'phosphates DComp'!D33</f>
        <v>Taranakite</v>
      </c>
      <c r="D33" t="str">
        <f>'phosphates DComp'!E33</f>
        <v>H6K3Al5(PO4)8(H2O)18</v>
      </c>
      <c r="P33" t="s">
        <v>899</v>
      </c>
      <c r="AA33" s="29">
        <f t="shared" si="0"/>
        <v>0</v>
      </c>
    </row>
    <row r="35" spans="2:27" ht="14.5" customHeight="1" x14ac:dyDescent="0.35"/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63ED-7D50-4516-ABC1-8E8DE6BA3697}">
  <dimension ref="A2:C7"/>
  <sheetViews>
    <sheetView workbookViewId="0"/>
  </sheetViews>
  <sheetFormatPr defaultRowHeight="15.5" x14ac:dyDescent="0.35"/>
  <cols>
    <col min="1" max="1" width="11.83203125" bestFit="1" customWidth="1"/>
  </cols>
  <sheetData>
    <row r="2" spans="1:3" x14ac:dyDescent="0.35">
      <c r="A2" t="s">
        <v>912</v>
      </c>
      <c r="C2" t="s">
        <v>654</v>
      </c>
    </row>
    <row r="3" spans="1:3" x14ac:dyDescent="0.35">
      <c r="A3" t="s">
        <v>913</v>
      </c>
      <c r="C3" t="s">
        <v>917</v>
      </c>
    </row>
    <row r="4" spans="1:3" x14ac:dyDescent="0.35">
      <c r="A4" t="s">
        <v>914</v>
      </c>
      <c r="C4" t="s">
        <v>576</v>
      </c>
    </row>
    <row r="5" spans="1:3" x14ac:dyDescent="0.35">
      <c r="A5" t="s">
        <v>915</v>
      </c>
      <c r="C5" t="s">
        <v>576</v>
      </c>
    </row>
    <row r="6" spans="1:3" x14ac:dyDescent="0.35">
      <c r="A6" t="s">
        <v>916</v>
      </c>
      <c r="C6" t="s">
        <v>576</v>
      </c>
    </row>
    <row r="7" spans="1:3" x14ac:dyDescent="0.35">
      <c r="A7" t="s">
        <v>447</v>
      </c>
      <c r="C7" t="s"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topLeftCell="A16" zoomScaleNormal="100" workbookViewId="0">
      <selection activeCell="B18" sqref="B18"/>
    </sheetView>
  </sheetViews>
  <sheetFormatPr defaultColWidth="8.5" defaultRowHeight="15.5" x14ac:dyDescent="0.35"/>
  <cols>
    <col min="1" max="1" width="14.5" customWidth="1"/>
    <col min="2" max="2" width="23.33203125" bestFit="1" customWidth="1"/>
    <col min="3" max="3" width="237.6640625" customWidth="1"/>
  </cols>
  <sheetData>
    <row r="1" spans="1:3" x14ac:dyDescent="0.35">
      <c r="A1" s="4" t="s">
        <v>15</v>
      </c>
      <c r="B1" s="4" t="s">
        <v>1114</v>
      </c>
      <c r="C1" s="4" t="s">
        <v>16</v>
      </c>
    </row>
    <row r="2" spans="1:3" x14ac:dyDescent="0.35">
      <c r="A2" t="s">
        <v>17</v>
      </c>
      <c r="B2" t="s">
        <v>1116</v>
      </c>
      <c r="C2" t="s">
        <v>18</v>
      </c>
    </row>
    <row r="3" spans="1:3" x14ac:dyDescent="0.35">
      <c r="A3" t="s">
        <v>19</v>
      </c>
      <c r="B3" t="s">
        <v>1117</v>
      </c>
      <c r="C3" t="s">
        <v>20</v>
      </c>
    </row>
    <row r="4" spans="1:3" x14ac:dyDescent="0.35">
      <c r="A4" t="s">
        <v>21</v>
      </c>
      <c r="B4" t="s">
        <v>1118</v>
      </c>
      <c r="C4" t="s">
        <v>22</v>
      </c>
    </row>
    <row r="5" spans="1:3" x14ac:dyDescent="0.35">
      <c r="A5" t="s">
        <v>23</v>
      </c>
      <c r="B5" t="s">
        <v>1151</v>
      </c>
      <c r="C5" t="s">
        <v>24</v>
      </c>
    </row>
    <row r="6" spans="1:3" x14ac:dyDescent="0.35">
      <c r="A6" t="s">
        <v>25</v>
      </c>
      <c r="B6" t="s">
        <v>1152</v>
      </c>
      <c r="C6" t="s">
        <v>26</v>
      </c>
    </row>
    <row r="7" spans="1:3" x14ac:dyDescent="0.35">
      <c r="A7" t="s">
        <v>27</v>
      </c>
      <c r="B7" t="s">
        <v>1153</v>
      </c>
      <c r="C7" t="s">
        <v>28</v>
      </c>
    </row>
    <row r="8" spans="1:3" x14ac:dyDescent="0.35">
      <c r="A8" t="s">
        <v>29</v>
      </c>
      <c r="B8" t="s">
        <v>1124</v>
      </c>
      <c r="C8" t="s">
        <v>1140</v>
      </c>
    </row>
    <row r="9" spans="1:3" x14ac:dyDescent="0.35">
      <c r="A9" t="s">
        <v>30</v>
      </c>
      <c r="B9" t="s">
        <v>1125</v>
      </c>
      <c r="C9" t="s">
        <v>31</v>
      </c>
    </row>
    <row r="10" spans="1:3" x14ac:dyDescent="0.35">
      <c r="A10" t="s">
        <v>32</v>
      </c>
      <c r="B10" t="s">
        <v>1142</v>
      </c>
      <c r="C10" t="s">
        <v>33</v>
      </c>
    </row>
    <row r="11" spans="1:3" x14ac:dyDescent="0.35">
      <c r="A11" t="s">
        <v>34</v>
      </c>
      <c r="B11" t="s">
        <v>1115</v>
      </c>
      <c r="C11" t="s">
        <v>35</v>
      </c>
    </row>
    <row r="12" spans="1:3" x14ac:dyDescent="0.35">
      <c r="A12" t="s">
        <v>36</v>
      </c>
      <c r="B12" t="s">
        <v>1126</v>
      </c>
      <c r="C12" t="s">
        <v>37</v>
      </c>
    </row>
    <row r="13" spans="1:3" x14ac:dyDescent="0.35">
      <c r="A13" t="s">
        <v>38</v>
      </c>
      <c r="B13" t="s">
        <v>1119</v>
      </c>
      <c r="C13" t="s">
        <v>39</v>
      </c>
    </row>
    <row r="14" spans="1:3" x14ac:dyDescent="0.35">
      <c r="A14" t="s">
        <v>40</v>
      </c>
      <c r="B14" t="s">
        <v>1127</v>
      </c>
      <c r="C14" t="s">
        <v>41</v>
      </c>
    </row>
    <row r="15" spans="1:3" x14ac:dyDescent="0.35">
      <c r="A15" t="s">
        <v>42</v>
      </c>
      <c r="B15" t="s">
        <v>1120</v>
      </c>
      <c r="C15" t="s">
        <v>43</v>
      </c>
    </row>
    <row r="16" spans="1:3" x14ac:dyDescent="0.35">
      <c r="A16" t="s">
        <v>44</v>
      </c>
      <c r="B16" t="s">
        <v>1128</v>
      </c>
      <c r="C16" t="s">
        <v>45</v>
      </c>
    </row>
    <row r="17" spans="1:3" x14ac:dyDescent="0.35">
      <c r="A17" t="s">
        <v>46</v>
      </c>
      <c r="B17" t="s">
        <v>1121</v>
      </c>
      <c r="C17" t="s">
        <v>47</v>
      </c>
    </row>
    <row r="18" spans="1:3" x14ac:dyDescent="0.35">
      <c r="A18" t="s">
        <v>48</v>
      </c>
      <c r="B18" t="s">
        <v>1134</v>
      </c>
      <c r="C18" t="s">
        <v>49</v>
      </c>
    </row>
    <row r="19" spans="1:3" x14ac:dyDescent="0.35">
      <c r="A19" t="s">
        <v>50</v>
      </c>
      <c r="B19" t="s">
        <v>1129</v>
      </c>
      <c r="C19" t="s">
        <v>1137</v>
      </c>
    </row>
    <row r="20" spans="1:3" x14ac:dyDescent="0.35">
      <c r="A20" t="s">
        <v>51</v>
      </c>
      <c r="B20" t="s">
        <v>1130</v>
      </c>
      <c r="C20" t="s">
        <v>1138</v>
      </c>
    </row>
    <row r="21" spans="1:3" x14ac:dyDescent="0.35">
      <c r="A21" t="s">
        <v>52</v>
      </c>
      <c r="B21" t="s">
        <v>1143</v>
      </c>
      <c r="C21" t="s">
        <v>1139</v>
      </c>
    </row>
    <row r="22" spans="1:3" x14ac:dyDescent="0.35">
      <c r="A22" t="s">
        <v>53</v>
      </c>
      <c r="B22" t="s">
        <v>1144</v>
      </c>
      <c r="C22" t="s">
        <v>54</v>
      </c>
    </row>
    <row r="23" spans="1:3" x14ac:dyDescent="0.35">
      <c r="A23" t="s">
        <v>55</v>
      </c>
      <c r="B23" t="s">
        <v>1122</v>
      </c>
      <c r="C23" t="s">
        <v>56</v>
      </c>
    </row>
    <row r="24" spans="1:3" x14ac:dyDescent="0.35">
      <c r="A24" t="s">
        <v>57</v>
      </c>
      <c r="B24" t="s">
        <v>1131</v>
      </c>
      <c r="C24" t="s">
        <v>58</v>
      </c>
    </row>
    <row r="25" spans="1:3" x14ac:dyDescent="0.35">
      <c r="A25" t="s">
        <v>320</v>
      </c>
      <c r="B25" t="s">
        <v>1123</v>
      </c>
      <c r="C25" t="s">
        <v>955</v>
      </c>
    </row>
    <row r="26" spans="1:3" x14ac:dyDescent="0.35">
      <c r="A26" t="s">
        <v>959</v>
      </c>
      <c r="B26" t="s">
        <v>1133</v>
      </c>
      <c r="C26" t="s">
        <v>1145</v>
      </c>
    </row>
    <row r="27" spans="1:3" x14ac:dyDescent="0.35">
      <c r="A27" t="s">
        <v>968</v>
      </c>
      <c r="B27" t="s">
        <v>1132</v>
      </c>
      <c r="C27" t="s">
        <v>969</v>
      </c>
    </row>
    <row r="28" spans="1:3" x14ac:dyDescent="0.35">
      <c r="A28" t="s">
        <v>973</v>
      </c>
      <c r="B28" t="s">
        <v>1135</v>
      </c>
      <c r="C28" t="s">
        <v>974</v>
      </c>
    </row>
    <row r="29" spans="1:3" x14ac:dyDescent="0.35">
      <c r="A29" t="s">
        <v>992</v>
      </c>
      <c r="B29" t="s">
        <v>1136</v>
      </c>
      <c r="C29" t="s">
        <v>1141</v>
      </c>
    </row>
    <row r="30" spans="1:3" x14ac:dyDescent="0.35">
      <c r="A30" s="113" t="s">
        <v>1017</v>
      </c>
      <c r="B30" t="s">
        <v>1147</v>
      </c>
      <c r="C30" t="s">
        <v>1146</v>
      </c>
    </row>
    <row r="31" spans="1:3" x14ac:dyDescent="0.35">
      <c r="A31" s="113" t="s">
        <v>1018</v>
      </c>
      <c r="B31" t="s">
        <v>1149</v>
      </c>
      <c r="C31" t="s">
        <v>1148</v>
      </c>
    </row>
    <row r="32" spans="1:3" x14ac:dyDescent="0.35">
      <c r="A32" s="113" t="s">
        <v>1016</v>
      </c>
      <c r="B32" t="s">
        <v>1154</v>
      </c>
      <c r="C32" t="s">
        <v>1150</v>
      </c>
    </row>
    <row r="34" spans="2:2" x14ac:dyDescent="0.35">
      <c r="B34" t="s">
        <v>632</v>
      </c>
    </row>
    <row r="35" spans="2:2" x14ac:dyDescent="0.35">
      <c r="B35" t="s">
        <v>643</v>
      </c>
    </row>
    <row r="36" spans="2:2" x14ac:dyDescent="0.35">
      <c r="B36" t="s">
        <v>650</v>
      </c>
    </row>
    <row r="37" spans="2:2" x14ac:dyDescent="0.35">
      <c r="B37" t="s">
        <v>1093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9"/>
  <sheetViews>
    <sheetView zoomScaleNormal="100" workbookViewId="0">
      <pane xSplit="1" topLeftCell="B1" activePane="topRight" state="frozen"/>
      <selection pane="topRight" sqref="A1:M1"/>
    </sheetView>
  </sheetViews>
  <sheetFormatPr defaultColWidth="10.6640625" defaultRowHeight="15.5" x14ac:dyDescent="0.35"/>
  <cols>
    <col min="2" max="2" width="12.33203125" customWidth="1"/>
    <col min="5" max="5" width="18.6640625" bestFit="1" customWidth="1"/>
    <col min="7" max="7" width="12.33203125" customWidth="1"/>
    <col min="8" max="8" width="17.6640625" customWidth="1"/>
    <col min="9" max="9" width="12.6640625" customWidth="1"/>
    <col min="10" max="10" width="17.6640625" customWidth="1"/>
    <col min="11" max="11" width="12.6640625" customWidth="1"/>
    <col min="12" max="12" width="22.1640625" customWidth="1"/>
    <col min="13" max="13" width="19.1640625" customWidth="1"/>
    <col min="16" max="16" width="13.5" customWidth="1"/>
  </cols>
  <sheetData>
    <row r="1" spans="1:17" s="24" customFormat="1" x14ac:dyDescent="0.35">
      <c r="A1" s="24" t="s">
        <v>59</v>
      </c>
      <c r="B1" s="24" t="s">
        <v>60</v>
      </c>
      <c r="C1" s="24" t="s">
        <v>61</v>
      </c>
      <c r="D1" s="24" t="s">
        <v>62</v>
      </c>
      <c r="E1" s="24" t="s">
        <v>63</v>
      </c>
      <c r="F1" s="24" t="s">
        <v>64</v>
      </c>
      <c r="G1" s="24" t="s">
        <v>65</v>
      </c>
      <c r="H1" s="24" t="s">
        <v>66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  <c r="N1" s="24" t="s">
        <v>72</v>
      </c>
      <c r="O1" s="24" t="s">
        <v>73</v>
      </c>
      <c r="P1" s="24" t="s">
        <v>74</v>
      </c>
      <c r="Q1" s="24" t="s">
        <v>75</v>
      </c>
    </row>
    <row r="2" spans="1:17" s="5" customFormat="1" x14ac:dyDescent="0.35">
      <c r="A2" s="5" t="s">
        <v>76</v>
      </c>
      <c r="B2" s="5" t="s">
        <v>77</v>
      </c>
      <c r="C2" s="5" t="s">
        <v>76</v>
      </c>
      <c r="D2" s="5">
        <v>3</v>
      </c>
      <c r="E2">
        <v>26.9815</v>
      </c>
      <c r="F2" s="5">
        <v>13</v>
      </c>
      <c r="G2" s="5">
        <v>0</v>
      </c>
      <c r="I2" s="5">
        <v>0</v>
      </c>
      <c r="K2" s="26" t="s">
        <v>78</v>
      </c>
      <c r="L2" s="27" t="s">
        <v>79</v>
      </c>
      <c r="M2" t="s">
        <v>17</v>
      </c>
      <c r="N2" s="26">
        <v>24.2</v>
      </c>
      <c r="O2" s="27" t="s">
        <v>80</v>
      </c>
      <c r="P2" t="s">
        <v>17</v>
      </c>
      <c r="Q2" s="5" t="s">
        <v>81</v>
      </c>
    </row>
    <row r="3" spans="1:17" s="5" customFormat="1" x14ac:dyDescent="0.35">
      <c r="A3" s="5" t="s">
        <v>82</v>
      </c>
      <c r="B3" s="5" t="s">
        <v>83</v>
      </c>
      <c r="C3" s="5" t="s">
        <v>82</v>
      </c>
      <c r="D3" s="5">
        <v>4</v>
      </c>
      <c r="E3">
        <v>12.011200000000001</v>
      </c>
      <c r="F3" s="5">
        <v>6</v>
      </c>
      <c r="G3" s="5">
        <v>0</v>
      </c>
      <c r="I3" s="5">
        <v>0</v>
      </c>
      <c r="K3" s="28" t="s">
        <v>84</v>
      </c>
      <c r="L3" s="27" t="s">
        <v>79</v>
      </c>
      <c r="M3" t="s">
        <v>17</v>
      </c>
      <c r="N3" s="26">
        <v>8.5169999999999995</v>
      </c>
      <c r="O3" s="27" t="s">
        <v>85</v>
      </c>
      <c r="P3" t="s">
        <v>17</v>
      </c>
      <c r="Q3" s="5" t="s">
        <v>81</v>
      </c>
    </row>
    <row r="4" spans="1:17" s="5" customFormat="1" x14ac:dyDescent="0.35">
      <c r="A4" s="5" t="s">
        <v>86</v>
      </c>
      <c r="B4" s="5" t="s">
        <v>87</v>
      </c>
      <c r="C4" s="5" t="s">
        <v>86</v>
      </c>
      <c r="D4" s="5">
        <v>2</v>
      </c>
      <c r="E4">
        <v>40.078000000000003</v>
      </c>
      <c r="F4" s="5">
        <v>20</v>
      </c>
      <c r="G4" s="5">
        <v>0</v>
      </c>
      <c r="I4" s="5">
        <v>0</v>
      </c>
      <c r="K4" s="28" t="s">
        <v>88</v>
      </c>
      <c r="L4" s="27" t="s">
        <v>89</v>
      </c>
      <c r="M4" t="s">
        <v>17</v>
      </c>
      <c r="N4" s="26">
        <v>25.928999999999998</v>
      </c>
      <c r="O4" s="27" t="s">
        <v>90</v>
      </c>
      <c r="P4" t="s">
        <v>17</v>
      </c>
      <c r="Q4" s="5" t="s">
        <v>81</v>
      </c>
    </row>
    <row r="5" spans="1:17" s="5" customFormat="1" x14ac:dyDescent="0.35">
      <c r="A5" s="5" t="s">
        <v>91</v>
      </c>
      <c r="B5" s="5" t="s">
        <v>92</v>
      </c>
      <c r="C5" s="5" t="s">
        <v>91</v>
      </c>
      <c r="D5" s="5">
        <v>-1</v>
      </c>
      <c r="E5">
        <v>35.453000000000003</v>
      </c>
      <c r="F5" s="5">
        <v>17</v>
      </c>
      <c r="G5" s="5">
        <v>0</v>
      </c>
      <c r="I5" s="5">
        <v>0</v>
      </c>
      <c r="K5" s="28" t="s">
        <v>93</v>
      </c>
      <c r="L5" s="27" t="s">
        <v>94</v>
      </c>
      <c r="M5" t="s">
        <v>17</v>
      </c>
      <c r="N5" s="26">
        <v>16.974</v>
      </c>
      <c r="O5" s="27" t="s">
        <v>95</v>
      </c>
      <c r="P5" t="s">
        <v>17</v>
      </c>
      <c r="Q5" s="5" t="s">
        <v>81</v>
      </c>
    </row>
    <row r="6" spans="1:17" s="5" customFormat="1" x14ac:dyDescent="0.35">
      <c r="A6" s="5" t="s">
        <v>96</v>
      </c>
      <c r="B6" s="5" t="s">
        <v>97</v>
      </c>
      <c r="C6" s="5" t="s">
        <v>96</v>
      </c>
      <c r="D6" s="5">
        <v>-1</v>
      </c>
      <c r="E6">
        <v>18.9984</v>
      </c>
      <c r="F6" s="5">
        <v>9</v>
      </c>
      <c r="G6" s="5">
        <v>0</v>
      </c>
      <c r="I6" s="5">
        <v>0</v>
      </c>
      <c r="K6" s="28" t="s">
        <v>98</v>
      </c>
      <c r="L6" s="27" t="s">
        <v>99</v>
      </c>
      <c r="M6" t="s">
        <v>17</v>
      </c>
      <c r="N6" s="26">
        <v>15.651999999999999</v>
      </c>
      <c r="O6" s="27" t="s">
        <v>95</v>
      </c>
      <c r="P6" t="s">
        <v>17</v>
      </c>
      <c r="Q6" s="5" t="s">
        <v>81</v>
      </c>
    </row>
    <row r="7" spans="1:17" s="5" customFormat="1" x14ac:dyDescent="0.35">
      <c r="A7" s="5" t="s">
        <v>100</v>
      </c>
      <c r="B7" s="5" t="s">
        <v>101</v>
      </c>
      <c r="C7" s="5" t="s">
        <v>100</v>
      </c>
      <c r="D7" s="5">
        <v>2</v>
      </c>
      <c r="E7">
        <v>55.844999999999999</v>
      </c>
      <c r="F7" s="5">
        <v>26</v>
      </c>
      <c r="G7" s="5">
        <v>0</v>
      </c>
      <c r="I7" s="5">
        <v>0</v>
      </c>
      <c r="K7" s="28" t="s">
        <v>102</v>
      </c>
      <c r="L7" s="27" t="s">
        <v>103</v>
      </c>
      <c r="M7" t="s">
        <v>17</v>
      </c>
      <c r="N7" s="26">
        <v>25.084</v>
      </c>
      <c r="O7" s="27" t="s">
        <v>104</v>
      </c>
      <c r="P7" t="s">
        <v>17</v>
      </c>
      <c r="Q7" s="5" t="s">
        <v>81</v>
      </c>
    </row>
    <row r="8" spans="1:17" s="5" customFormat="1" x14ac:dyDescent="0.35">
      <c r="A8" s="5" t="s">
        <v>105</v>
      </c>
      <c r="B8" s="5" t="s">
        <v>106</v>
      </c>
      <c r="C8" s="5" t="s">
        <v>105</v>
      </c>
      <c r="D8" s="5">
        <v>1</v>
      </c>
      <c r="E8">
        <v>1.0079</v>
      </c>
      <c r="F8" s="5">
        <v>1</v>
      </c>
      <c r="G8" s="5">
        <v>0</v>
      </c>
      <c r="I8" s="5">
        <v>0</v>
      </c>
      <c r="K8" s="28" t="s">
        <v>107</v>
      </c>
      <c r="L8" s="27" t="s">
        <v>108</v>
      </c>
      <c r="M8" t="s">
        <v>17</v>
      </c>
      <c r="N8" s="26">
        <v>14.417999999999999</v>
      </c>
      <c r="O8" s="27" t="s">
        <v>95</v>
      </c>
      <c r="P8" t="s">
        <v>17</v>
      </c>
      <c r="Q8" s="5" t="s">
        <v>81</v>
      </c>
    </row>
    <row r="9" spans="1:17" s="5" customFormat="1" x14ac:dyDescent="0.35">
      <c r="A9" s="5" t="s">
        <v>12</v>
      </c>
      <c r="B9" s="5" t="s">
        <v>109</v>
      </c>
      <c r="C9" s="5" t="s">
        <v>12</v>
      </c>
      <c r="D9" s="5">
        <v>1</v>
      </c>
      <c r="E9">
        <v>39.098300000000002</v>
      </c>
      <c r="F9" s="5">
        <v>19</v>
      </c>
      <c r="G9" s="5">
        <v>0</v>
      </c>
      <c r="I9" s="5">
        <v>0</v>
      </c>
      <c r="K9" s="28" t="s">
        <v>110</v>
      </c>
      <c r="L9" s="27" t="s">
        <v>111</v>
      </c>
      <c r="M9" t="s">
        <v>17</v>
      </c>
      <c r="N9" s="26">
        <v>29.6</v>
      </c>
      <c r="O9" s="27" t="s">
        <v>79</v>
      </c>
      <c r="P9" t="s">
        <v>17</v>
      </c>
      <c r="Q9" s="5" t="s">
        <v>81</v>
      </c>
    </row>
    <row r="10" spans="1:17" s="5" customFormat="1" x14ac:dyDescent="0.35">
      <c r="A10" s="5" t="s">
        <v>112</v>
      </c>
      <c r="B10" s="5" t="s">
        <v>113</v>
      </c>
      <c r="C10" s="5" t="s">
        <v>112</v>
      </c>
      <c r="D10" s="5">
        <v>2</v>
      </c>
      <c r="E10">
        <v>24.305</v>
      </c>
      <c r="F10" s="5">
        <v>12</v>
      </c>
      <c r="G10" s="5">
        <v>0</v>
      </c>
      <c r="I10" s="5">
        <v>0</v>
      </c>
      <c r="K10" s="28" t="s">
        <v>114</v>
      </c>
      <c r="L10" s="27" t="s">
        <v>79</v>
      </c>
      <c r="M10" t="s">
        <v>17</v>
      </c>
      <c r="N10" s="26">
        <v>24.869</v>
      </c>
      <c r="O10" s="27" t="s">
        <v>115</v>
      </c>
      <c r="P10" t="s">
        <v>17</v>
      </c>
      <c r="Q10" s="5" t="s">
        <v>81</v>
      </c>
    </row>
    <row r="11" spans="1:17" s="5" customFormat="1" x14ac:dyDescent="0.35">
      <c r="A11" s="5" t="s">
        <v>116</v>
      </c>
      <c r="B11" s="5" t="s">
        <v>117</v>
      </c>
      <c r="C11" s="5" t="s">
        <v>116</v>
      </c>
      <c r="D11" s="5">
        <v>5</v>
      </c>
      <c r="E11">
        <v>14.007</v>
      </c>
      <c r="F11" s="5">
        <v>7</v>
      </c>
      <c r="G11" s="5">
        <v>0</v>
      </c>
      <c r="I11" s="5">
        <v>0</v>
      </c>
      <c r="K11" s="28" t="s">
        <v>118</v>
      </c>
      <c r="L11" s="27" t="s">
        <v>119</v>
      </c>
      <c r="M11" t="s">
        <v>17</v>
      </c>
      <c r="N11" s="26" t="s">
        <v>120</v>
      </c>
      <c r="O11" s="27" t="s">
        <v>121</v>
      </c>
      <c r="P11" t="s">
        <v>17</v>
      </c>
      <c r="Q11" s="5" t="s">
        <v>81</v>
      </c>
    </row>
    <row r="12" spans="1:17" s="5" customFormat="1" x14ac:dyDescent="0.35">
      <c r="A12" s="5" t="s">
        <v>122</v>
      </c>
      <c r="B12" s="5" t="s">
        <v>123</v>
      </c>
      <c r="C12" s="5" t="s">
        <v>122</v>
      </c>
      <c r="D12" s="5">
        <v>1</v>
      </c>
      <c r="E12">
        <v>22.989799999999999</v>
      </c>
      <c r="F12" s="5">
        <v>11</v>
      </c>
      <c r="G12" s="5">
        <v>0</v>
      </c>
      <c r="I12" s="5">
        <v>0</v>
      </c>
      <c r="K12" s="28" t="s">
        <v>124</v>
      </c>
      <c r="L12" s="27" t="s">
        <v>111</v>
      </c>
      <c r="M12" t="s">
        <v>17</v>
      </c>
      <c r="N12" s="26">
        <v>28.23</v>
      </c>
      <c r="O12" s="27" t="s">
        <v>111</v>
      </c>
      <c r="P12" t="s">
        <v>17</v>
      </c>
      <c r="Q12" s="5" t="s">
        <v>81</v>
      </c>
    </row>
    <row r="13" spans="1:17" s="5" customFormat="1" x14ac:dyDescent="0.35">
      <c r="A13" s="5" t="s">
        <v>125</v>
      </c>
      <c r="B13" t="s">
        <v>126</v>
      </c>
      <c r="C13" s="5" t="s">
        <v>125</v>
      </c>
      <c r="D13" s="5">
        <v>-2</v>
      </c>
      <c r="E13">
        <v>15.999000000000001</v>
      </c>
      <c r="F13" s="5">
        <v>28</v>
      </c>
      <c r="G13" s="5">
        <v>0</v>
      </c>
      <c r="I13" s="5">
        <v>0</v>
      </c>
      <c r="K13" s="28" t="s">
        <v>127</v>
      </c>
      <c r="L13" s="27" t="s">
        <v>99</v>
      </c>
      <c r="M13" t="s">
        <v>17</v>
      </c>
      <c r="N13" s="26" t="s">
        <v>128</v>
      </c>
      <c r="O13" s="27" t="s">
        <v>108</v>
      </c>
      <c r="P13" t="s">
        <v>17</v>
      </c>
      <c r="Q13" s="5" t="s">
        <v>81</v>
      </c>
    </row>
    <row r="14" spans="1:17" s="5" customFormat="1" x14ac:dyDescent="0.35">
      <c r="A14" s="5" t="s">
        <v>129</v>
      </c>
      <c r="B14" s="5" t="s">
        <v>130</v>
      </c>
      <c r="C14" s="5" t="s">
        <v>129</v>
      </c>
      <c r="D14" s="5">
        <v>5</v>
      </c>
      <c r="E14">
        <v>30.973800000000001</v>
      </c>
      <c r="F14" s="5">
        <v>15</v>
      </c>
      <c r="G14" s="5">
        <v>0</v>
      </c>
      <c r="I14" s="5">
        <v>0</v>
      </c>
      <c r="K14" s="28" t="s">
        <v>131</v>
      </c>
      <c r="L14" s="27" t="s">
        <v>132</v>
      </c>
      <c r="M14" t="s">
        <v>17</v>
      </c>
      <c r="N14" s="26" t="s">
        <v>133</v>
      </c>
      <c r="O14" s="27" t="s">
        <v>111</v>
      </c>
      <c r="P14" t="s">
        <v>17</v>
      </c>
      <c r="Q14" s="5" t="s">
        <v>81</v>
      </c>
    </row>
    <row r="15" spans="1:17" s="5" customFormat="1" x14ac:dyDescent="0.35">
      <c r="A15" s="5" t="s">
        <v>134</v>
      </c>
      <c r="B15" s="5" t="s">
        <v>135</v>
      </c>
      <c r="C15" s="5" t="s">
        <v>134</v>
      </c>
      <c r="D15" s="5">
        <v>6</v>
      </c>
      <c r="E15">
        <v>32.064</v>
      </c>
      <c r="F15" s="5">
        <v>16</v>
      </c>
      <c r="G15" s="5">
        <v>0</v>
      </c>
      <c r="I15" s="5">
        <v>0</v>
      </c>
      <c r="K15" s="28" t="s">
        <v>136</v>
      </c>
      <c r="L15" s="27" t="s">
        <v>137</v>
      </c>
      <c r="M15" t="s">
        <v>17</v>
      </c>
      <c r="N15" s="26">
        <v>22.75</v>
      </c>
      <c r="O15" s="27" t="s">
        <v>137</v>
      </c>
      <c r="P15" t="s">
        <v>17</v>
      </c>
      <c r="Q15" s="5" t="s">
        <v>81</v>
      </c>
    </row>
    <row r="16" spans="1:17" s="5" customFormat="1" x14ac:dyDescent="0.35">
      <c r="A16" s="5" t="s">
        <v>138</v>
      </c>
      <c r="B16" s="5" t="s">
        <v>139</v>
      </c>
      <c r="C16" s="5" t="s">
        <v>138</v>
      </c>
      <c r="D16" s="5">
        <v>4</v>
      </c>
      <c r="E16">
        <v>28.085999999999999</v>
      </c>
      <c r="F16" s="5">
        <v>14</v>
      </c>
      <c r="G16" s="5">
        <v>0</v>
      </c>
      <c r="I16" s="5">
        <v>0</v>
      </c>
      <c r="K16" s="28" t="s">
        <v>140</v>
      </c>
      <c r="L16" s="27" t="s">
        <v>85</v>
      </c>
      <c r="M16" t="s">
        <v>17</v>
      </c>
      <c r="N16" s="26" t="s">
        <v>141</v>
      </c>
      <c r="O16" s="27" t="s">
        <v>142</v>
      </c>
      <c r="P16" t="s">
        <v>17</v>
      </c>
      <c r="Q16" s="5" t="s">
        <v>81</v>
      </c>
    </row>
    <row r="17" spans="3:15" s="5" customFormat="1" x14ac:dyDescent="0.35">
      <c r="E17"/>
    </row>
    <row r="18" spans="3:15" s="5" customFormat="1" x14ac:dyDescent="0.35">
      <c r="E18"/>
    </row>
    <row r="19" spans="3:15" x14ac:dyDescent="0.35">
      <c r="C19" s="6"/>
      <c r="D19" s="6"/>
      <c r="E19" s="6"/>
      <c r="F19" s="6"/>
      <c r="G19" s="6"/>
      <c r="I19" s="6"/>
      <c r="K19" s="7"/>
      <c r="L19" s="4"/>
      <c r="N19" s="8"/>
      <c r="O19" s="4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EFB7-E1BB-4AFB-AFA0-37784370821B}">
  <dimension ref="C1:AW9"/>
  <sheetViews>
    <sheetView workbookViewId="0">
      <selection activeCell="S6" sqref="S6"/>
    </sheetView>
  </sheetViews>
  <sheetFormatPr defaultRowHeight="15.5" x14ac:dyDescent="0.35"/>
  <cols>
    <col min="10" max="10" width="13.5" bestFit="1" customWidth="1"/>
    <col min="13" max="13" width="13.5" bestFit="1" customWidth="1"/>
    <col min="16" max="16" width="13.1640625" bestFit="1" customWidth="1"/>
    <col min="19" max="19" width="12.25" bestFit="1" customWidth="1"/>
    <col min="24" max="24" width="11.5" bestFit="1" customWidth="1"/>
    <col min="26" max="26" width="11.4140625" bestFit="1" customWidth="1"/>
    <col min="28" max="28" width="11.83203125" bestFit="1" customWidth="1"/>
    <col min="32" max="32" width="11.4140625" bestFit="1" customWidth="1"/>
    <col min="34" max="34" width="11.4140625" bestFit="1" customWidth="1"/>
    <col min="35" max="35" width="12.1640625" customWidth="1"/>
    <col min="36" max="36" width="11.83203125" bestFit="1" customWidth="1"/>
  </cols>
  <sheetData>
    <row r="1" spans="3:49" s="61" customFormat="1" x14ac:dyDescent="0.35">
      <c r="C1" s="61" t="s">
        <v>59</v>
      </c>
      <c r="D1" s="61" t="s">
        <v>60</v>
      </c>
      <c r="E1" s="61" t="s">
        <v>61</v>
      </c>
      <c r="F1" s="61" t="s">
        <v>996</v>
      </c>
      <c r="G1" s="61" t="s">
        <v>75</v>
      </c>
      <c r="H1" s="61" t="s">
        <v>65</v>
      </c>
      <c r="I1" s="61" t="s">
        <v>66</v>
      </c>
      <c r="J1" s="61" t="s">
        <v>143</v>
      </c>
      <c r="K1" s="61" t="s">
        <v>67</v>
      </c>
      <c r="L1" s="61" t="s">
        <v>68</v>
      </c>
      <c r="M1" s="61" t="s">
        <v>144</v>
      </c>
      <c r="N1" s="61" t="s">
        <v>69</v>
      </c>
      <c r="O1" s="61" t="s">
        <v>70</v>
      </c>
      <c r="P1" s="61" t="s">
        <v>71</v>
      </c>
      <c r="Q1" s="61" t="s">
        <v>72</v>
      </c>
      <c r="R1" s="61" t="s">
        <v>73</v>
      </c>
      <c r="S1" s="61" t="s">
        <v>145</v>
      </c>
      <c r="T1" s="61" t="s">
        <v>146</v>
      </c>
      <c r="U1" s="61" t="s">
        <v>147</v>
      </c>
      <c r="V1" s="61" t="s">
        <v>148</v>
      </c>
      <c r="W1" s="61" t="s">
        <v>263</v>
      </c>
      <c r="X1" s="61" t="s">
        <v>238</v>
      </c>
      <c r="Y1" s="61" t="s">
        <v>239</v>
      </c>
      <c r="Z1" s="61" t="s">
        <v>240</v>
      </c>
      <c r="AA1" s="61" t="s">
        <v>241</v>
      </c>
      <c r="AB1" s="61" t="s">
        <v>264</v>
      </c>
      <c r="AC1" s="61" t="s">
        <v>243</v>
      </c>
      <c r="AD1" s="61" t="s">
        <v>265</v>
      </c>
      <c r="AE1" s="61" t="s">
        <v>245</v>
      </c>
      <c r="AF1" s="61" t="s">
        <v>266</v>
      </c>
      <c r="AG1" s="61" t="s">
        <v>267</v>
      </c>
      <c r="AH1" s="61" t="s">
        <v>1014</v>
      </c>
      <c r="AI1" s="61" t="s">
        <v>1015</v>
      </c>
      <c r="AJ1" s="61" t="s">
        <v>993</v>
      </c>
      <c r="AK1" s="61" t="s">
        <v>268</v>
      </c>
      <c r="AL1" s="61" t="s">
        <v>269</v>
      </c>
      <c r="AN1" s="54" t="s">
        <v>6</v>
      </c>
      <c r="AO1" s="54" t="s">
        <v>2</v>
      </c>
      <c r="AP1" s="55" t="s">
        <v>952</v>
      </c>
      <c r="AQ1" s="55"/>
      <c r="AR1" s="55"/>
      <c r="AS1" s="55"/>
      <c r="AT1" s="55"/>
      <c r="AU1" s="55"/>
      <c r="AV1" s="55"/>
      <c r="AW1" s="55"/>
    </row>
    <row r="2" spans="3:49" x14ac:dyDescent="0.35">
      <c r="C2" t="s">
        <v>998</v>
      </c>
      <c r="D2" t="s">
        <v>998</v>
      </c>
      <c r="E2" t="s">
        <v>1006</v>
      </c>
      <c r="F2" t="s">
        <v>997</v>
      </c>
      <c r="H2">
        <v>-50.53</v>
      </c>
      <c r="I2">
        <v>0.2</v>
      </c>
      <c r="J2" s="3" t="str">
        <f>Ref!$A$30</f>
        <v>1991GUR/VEY</v>
      </c>
      <c r="K2">
        <v>-74.599999999999994</v>
      </c>
      <c r="L2">
        <v>0.2</v>
      </c>
      <c r="M2" s="3" t="str">
        <f>Ref!$A$30</f>
        <v>1991GUR/VEY</v>
      </c>
      <c r="N2">
        <v>186.37100000000001</v>
      </c>
      <c r="O2">
        <v>0.1</v>
      </c>
      <c r="P2" s="3" t="str">
        <f>Ref!$A$27</f>
        <v>1998CHA</v>
      </c>
      <c r="Q2">
        <v>35.69</v>
      </c>
      <c r="R2">
        <v>0</v>
      </c>
      <c r="S2" s="3" t="str">
        <f>Ref!$A$27</f>
        <v>1998CHA</v>
      </c>
      <c r="X2" s="112">
        <v>-0.70302900000000002</v>
      </c>
      <c r="Y2" s="112"/>
      <c r="Z2" s="112">
        <v>0.1084773</v>
      </c>
      <c r="AA2" s="112"/>
      <c r="AB2" s="112">
        <v>678565</v>
      </c>
      <c r="AC2" s="112"/>
      <c r="AD2" s="112"/>
      <c r="AE2" s="112"/>
      <c r="AF2" s="112">
        <v>-4.2521569999999994E-5</v>
      </c>
      <c r="AG2" s="112"/>
      <c r="AH2" s="112">
        <v>5.8627880000000004E-9</v>
      </c>
      <c r="AI2" s="112"/>
      <c r="AJ2" s="112"/>
      <c r="AK2">
        <v>298</v>
      </c>
      <c r="AL2">
        <v>1300</v>
      </c>
      <c r="AM2" s="56">
        <f t="shared" ref="AM2:AM9" si="0">X2+Z2*Tref+AB2*(Tref^(-2))+AD2*(Tref^(-0.5))+AF2*(Tref^2)+AH2*Tref^3+AI2*Tref^4+AJ2*(Tref^(-1))</f>
        <v>35.648441862084965</v>
      </c>
    </row>
    <row r="3" spans="3:49" x14ac:dyDescent="0.35">
      <c r="C3" t="s">
        <v>999</v>
      </c>
      <c r="D3" t="s">
        <v>999</v>
      </c>
      <c r="E3" t="s">
        <v>1007</v>
      </c>
      <c r="F3" t="s">
        <v>997</v>
      </c>
      <c r="H3">
        <v>-394.37299999999999</v>
      </c>
      <c r="I3">
        <v>0.13300000000000001</v>
      </c>
      <c r="J3" s="3" t="str">
        <f>Ref!$A$2</f>
        <v>1989COX/WAG</v>
      </c>
      <c r="K3">
        <v>-393.51</v>
      </c>
      <c r="L3">
        <v>0.13</v>
      </c>
      <c r="M3" s="3" t="str">
        <f>Ref!$A$2</f>
        <v>1989COX/WAG</v>
      </c>
      <c r="N3">
        <v>213.785</v>
      </c>
      <c r="O3">
        <v>0.01</v>
      </c>
      <c r="P3" s="3" t="str">
        <f>Ref!$A$2</f>
        <v>1989COX/WAG</v>
      </c>
      <c r="Q3">
        <v>37.134999999999998</v>
      </c>
      <c r="R3">
        <v>2E-3</v>
      </c>
      <c r="S3" s="3" t="str">
        <f>Ref!$A$27</f>
        <v>1998CHA</v>
      </c>
      <c r="X3" s="112">
        <v>24.997350000000001</v>
      </c>
      <c r="Y3" s="112"/>
      <c r="Z3" s="112">
        <v>5.518696E-2</v>
      </c>
      <c r="AA3" s="112"/>
      <c r="AB3" s="112">
        <v>-136638</v>
      </c>
      <c r="AC3" s="112"/>
      <c r="AD3" s="112"/>
      <c r="AE3" s="112"/>
      <c r="AF3" s="112">
        <v>-3.3691369999999999E-5</v>
      </c>
      <c r="AG3" s="112"/>
      <c r="AH3" s="112">
        <v>7.9483870000000004E-9</v>
      </c>
      <c r="AI3" s="112"/>
      <c r="AJ3" s="112"/>
      <c r="AK3">
        <v>298</v>
      </c>
      <c r="AL3">
        <v>1200</v>
      </c>
      <c r="AM3" s="56">
        <f t="shared" si="0"/>
        <v>37.129962495230224</v>
      </c>
    </row>
    <row r="4" spans="3:49" x14ac:dyDescent="0.35">
      <c r="C4" t="s">
        <v>1000</v>
      </c>
      <c r="D4" t="s">
        <v>1000</v>
      </c>
      <c r="E4" t="s">
        <v>1008</v>
      </c>
      <c r="F4" t="s">
        <v>997</v>
      </c>
      <c r="H4">
        <v>0</v>
      </c>
      <c r="I4">
        <v>0</v>
      </c>
      <c r="J4" s="3" t="str">
        <f>Ref!$A$2</f>
        <v>1989COX/WAG</v>
      </c>
      <c r="K4">
        <v>0</v>
      </c>
      <c r="L4">
        <v>0</v>
      </c>
      <c r="M4" s="3" t="str">
        <f>Ref!$A$2</f>
        <v>1989COX/WAG</v>
      </c>
      <c r="N4">
        <v>130.68</v>
      </c>
      <c r="O4">
        <v>3.0000000000000001E-3</v>
      </c>
      <c r="P4" s="3" t="str">
        <f>Ref!$A$2</f>
        <v>1989COX/WAG</v>
      </c>
      <c r="Q4">
        <v>28.835999999999999</v>
      </c>
      <c r="R4">
        <v>2E-3</v>
      </c>
      <c r="S4" s="3" t="str">
        <f>Ref!$A$27</f>
        <v>1998CHA</v>
      </c>
      <c r="X4" s="112">
        <v>33.066180000000003</v>
      </c>
      <c r="Y4" s="112"/>
      <c r="Z4" s="112">
        <v>-1.1363419999999999E-2</v>
      </c>
      <c r="AA4" s="112"/>
      <c r="AB4" s="112">
        <v>-158558</v>
      </c>
      <c r="AC4" s="112"/>
      <c r="AD4" s="112"/>
      <c r="AE4" s="112"/>
      <c r="AF4" s="112">
        <v>1.143282E-5</v>
      </c>
      <c r="AG4" s="112"/>
      <c r="AH4" s="112">
        <v>-2.7728739999999998E-9</v>
      </c>
      <c r="AI4" s="112"/>
      <c r="AJ4" s="112"/>
      <c r="AK4">
        <v>298</v>
      </c>
      <c r="AL4">
        <v>1000</v>
      </c>
      <c r="AM4" s="56">
        <f t="shared" si="0"/>
        <v>28.837301228187979</v>
      </c>
    </row>
    <row r="5" spans="3:49" x14ac:dyDescent="0.35">
      <c r="C5" t="s">
        <v>1001</v>
      </c>
      <c r="D5" t="s">
        <v>1001</v>
      </c>
      <c r="E5" t="s">
        <v>1009</v>
      </c>
      <c r="F5" t="s">
        <v>997</v>
      </c>
      <c r="H5">
        <v>-33.442999999999998</v>
      </c>
      <c r="I5">
        <v>0.5</v>
      </c>
      <c r="J5" s="3" t="str">
        <f>Ref!$A$2</f>
        <v>1989COX/WAG</v>
      </c>
      <c r="K5">
        <v>-20.6</v>
      </c>
      <c r="L5">
        <v>0.5</v>
      </c>
      <c r="M5" s="3" t="str">
        <f>Ref!$A$2</f>
        <v>1989COX/WAG</v>
      </c>
      <c r="N5">
        <v>205.81</v>
      </c>
      <c r="O5">
        <v>0.05</v>
      </c>
      <c r="P5" s="3" t="str">
        <f>Ref!$A$2</f>
        <v>1989COX/WAG</v>
      </c>
      <c r="Q5">
        <v>34.247999999999998</v>
      </c>
      <c r="R5">
        <v>0.01</v>
      </c>
      <c r="S5" s="3" t="str">
        <f>Ref!$A$27</f>
        <v>1998CHA</v>
      </c>
      <c r="X5" s="112">
        <v>26.884119999999999</v>
      </c>
      <c r="Y5" s="112"/>
      <c r="Z5" s="112">
        <v>1.8678090000000001E-2</v>
      </c>
      <c r="AA5" s="112"/>
      <c r="AB5" s="112">
        <v>135882</v>
      </c>
      <c r="AC5" s="112"/>
      <c r="AD5" s="112"/>
      <c r="AE5" s="112"/>
      <c r="AF5" s="112">
        <v>3.434203E-6</v>
      </c>
      <c r="AG5" s="112"/>
      <c r="AH5" s="112">
        <v>-3.3787020000000001E-9</v>
      </c>
      <c r="AI5" s="112"/>
      <c r="AJ5" s="112"/>
      <c r="AK5">
        <v>298</v>
      </c>
      <c r="AL5">
        <v>1400</v>
      </c>
      <c r="AM5" s="56">
        <f t="shared" si="0"/>
        <v>34.197317450426361</v>
      </c>
    </row>
    <row r="6" spans="3:49" x14ac:dyDescent="0.35">
      <c r="C6" t="s">
        <v>1002</v>
      </c>
      <c r="D6" t="s">
        <v>1002</v>
      </c>
      <c r="E6" t="s">
        <v>1010</v>
      </c>
      <c r="F6" t="s">
        <v>997</v>
      </c>
      <c r="H6">
        <v>15.217000000000001</v>
      </c>
      <c r="I6">
        <v>2</v>
      </c>
      <c r="J6" t="str">
        <f>Ref!$A$32</f>
        <v>2004OLI/NOL</v>
      </c>
      <c r="K6">
        <v>29</v>
      </c>
      <c r="L6">
        <v>2</v>
      </c>
      <c r="M6" t="str">
        <f>Ref!$A$32</f>
        <v>2004OLI/NOL</v>
      </c>
      <c r="N6">
        <v>219</v>
      </c>
      <c r="O6">
        <v>0.1</v>
      </c>
      <c r="P6" t="str">
        <f>Ref!$A$32</f>
        <v>2004OLI/NOL</v>
      </c>
      <c r="Q6">
        <v>34.700000000000003</v>
      </c>
      <c r="R6">
        <v>0.1</v>
      </c>
      <c r="S6" t="str">
        <f>Ref!$A$32</f>
        <v>2004OLI/NOL</v>
      </c>
      <c r="X6" s="112">
        <v>23.202999999999999</v>
      </c>
      <c r="Y6" s="112"/>
      <c r="Z6" s="112">
        <v>3.23156E-2</v>
      </c>
      <c r="AA6" s="112"/>
      <c r="AB6" s="112">
        <v>146472</v>
      </c>
      <c r="AC6" s="112"/>
      <c r="AD6" s="112"/>
      <c r="AE6" s="112"/>
      <c r="AF6" s="112">
        <v>-8.8921999999999993E-6</v>
      </c>
      <c r="AG6" s="112"/>
      <c r="AH6" s="112">
        <v>0</v>
      </c>
      <c r="AI6" s="112"/>
      <c r="AJ6" s="112">
        <v>305.5</v>
      </c>
      <c r="AK6">
        <v>298</v>
      </c>
      <c r="AL6">
        <v>1500</v>
      </c>
      <c r="AM6" s="56">
        <f t="shared" si="0"/>
        <v>34.719816030067257</v>
      </c>
    </row>
    <row r="7" spans="3:49" x14ac:dyDescent="0.35">
      <c r="C7" t="s">
        <v>1003</v>
      </c>
      <c r="D7" t="s">
        <v>1003</v>
      </c>
      <c r="E7" t="s">
        <v>1011</v>
      </c>
      <c r="F7" t="s">
        <v>997</v>
      </c>
      <c r="H7">
        <v>31.841999999999999</v>
      </c>
      <c r="I7">
        <v>5.3999999999999999E-2</v>
      </c>
      <c r="J7" s="3" t="str">
        <f>Ref!$A$2</f>
        <v>1989COX/WAG</v>
      </c>
      <c r="K7">
        <v>61.38</v>
      </c>
      <c r="L7">
        <v>0.04</v>
      </c>
      <c r="M7" s="3" t="str">
        <f>Ref!$A$2</f>
        <v>1989COX/WAG</v>
      </c>
      <c r="N7">
        <v>174.971</v>
      </c>
      <c r="O7">
        <v>5.0000000000000001E-3</v>
      </c>
      <c r="P7" s="3" t="str">
        <f>Ref!$A$2</f>
        <v>1989COX/WAG</v>
      </c>
      <c r="Q7">
        <v>20.786000000000001</v>
      </c>
      <c r="R7">
        <v>1E-3</v>
      </c>
      <c r="S7" s="3" t="str">
        <f>Ref!$A$27</f>
        <v>1998CHA</v>
      </c>
      <c r="X7" s="112">
        <v>20.672429999999999</v>
      </c>
      <c r="Y7" s="112"/>
      <c r="Z7" s="112">
        <v>1.7935300000000002E-4</v>
      </c>
      <c r="AA7" s="112"/>
      <c r="AB7" s="112">
        <v>7013</v>
      </c>
      <c r="AC7" s="112"/>
      <c r="AD7" s="112"/>
      <c r="AE7" s="112"/>
      <c r="AF7" s="112">
        <v>-8.0119999999999992E-8</v>
      </c>
      <c r="AG7" s="112"/>
      <c r="AH7" s="112">
        <v>1.0547E-11</v>
      </c>
      <c r="AI7" s="112"/>
      <c r="AJ7" s="112">
        <v>0</v>
      </c>
      <c r="AK7">
        <v>630</v>
      </c>
      <c r="AL7">
        <v>6000</v>
      </c>
      <c r="AM7" s="56">
        <f t="shared" si="0"/>
        <v>20.79795371538334</v>
      </c>
    </row>
    <row r="8" spans="3:49" x14ac:dyDescent="0.35">
      <c r="C8" t="s">
        <v>1004</v>
      </c>
      <c r="D8" t="s">
        <v>1004</v>
      </c>
      <c r="E8" t="s">
        <v>1012</v>
      </c>
      <c r="F8" t="s">
        <v>997</v>
      </c>
      <c r="H8">
        <v>0</v>
      </c>
      <c r="I8">
        <v>0</v>
      </c>
      <c r="J8" s="3" t="str">
        <f>Ref!$A$2</f>
        <v>1989COX/WAG</v>
      </c>
      <c r="K8">
        <v>0</v>
      </c>
      <c r="L8">
        <v>0</v>
      </c>
      <c r="M8" s="3" t="str">
        <f>Ref!$A$2</f>
        <v>1989COX/WAG</v>
      </c>
      <c r="N8">
        <v>191.60900000000001</v>
      </c>
      <c r="O8">
        <v>4.0000000000000001E-3</v>
      </c>
      <c r="P8" s="3" t="str">
        <f>Ref!$A$2</f>
        <v>1989COX/WAG</v>
      </c>
      <c r="Q8">
        <v>29.123999999999999</v>
      </c>
      <c r="R8">
        <v>1E-3</v>
      </c>
      <c r="S8" s="3" t="str">
        <f>Ref!$A$31</f>
        <v>1989GUR/VEY</v>
      </c>
      <c r="X8" s="112">
        <v>50.574988921603598</v>
      </c>
      <c r="Y8" s="112"/>
      <c r="Z8" s="112">
        <v>-7.0930373171089106E-2</v>
      </c>
      <c r="AA8" s="112"/>
      <c r="AB8" s="112">
        <v>183781.55915521472</v>
      </c>
      <c r="AC8" s="112"/>
      <c r="AD8" s="112"/>
      <c r="AE8" s="112"/>
      <c r="AF8" s="112">
        <v>1.1512654584902391E-4</v>
      </c>
      <c r="AG8" s="112"/>
      <c r="AH8" s="112">
        <v>-8.0033757311426201E-8</v>
      </c>
      <c r="AI8" s="112">
        <v>2.0950119145988593E-11</v>
      </c>
      <c r="AJ8" s="112">
        <v>-3174.8638987008203</v>
      </c>
      <c r="AK8">
        <v>200</v>
      </c>
      <c r="AL8">
        <v>1000</v>
      </c>
      <c r="AM8" s="56">
        <f t="shared" si="0"/>
        <v>29.124350330832034</v>
      </c>
    </row>
    <row r="9" spans="3:49" x14ac:dyDescent="0.35">
      <c r="C9" t="s">
        <v>1005</v>
      </c>
      <c r="D9" t="s">
        <v>1005</v>
      </c>
      <c r="E9" t="s">
        <v>1013</v>
      </c>
      <c r="F9" t="s">
        <v>997</v>
      </c>
      <c r="H9">
        <v>0</v>
      </c>
      <c r="I9">
        <v>0</v>
      </c>
      <c r="J9" s="3" t="str">
        <f>Ref!$A$2</f>
        <v>1989COX/WAG</v>
      </c>
      <c r="K9">
        <v>0</v>
      </c>
      <c r="L9">
        <v>0</v>
      </c>
      <c r="M9" s="3" t="str">
        <f>Ref!$A$2</f>
        <v>1989COX/WAG</v>
      </c>
      <c r="N9">
        <v>205.15199999999999</v>
      </c>
      <c r="O9">
        <v>5.0000000000000001E-3</v>
      </c>
      <c r="P9" s="3" t="str">
        <f>Ref!$A$2</f>
        <v>1989COX/WAG</v>
      </c>
      <c r="Q9">
        <v>29.378</v>
      </c>
      <c r="R9">
        <v>3.0000000000000001E-3</v>
      </c>
      <c r="S9" s="3" t="str">
        <f>Ref!$A$27</f>
        <v>1998CHA</v>
      </c>
      <c r="X9" s="112">
        <v>31.322340000000001</v>
      </c>
      <c r="Y9" s="112"/>
      <c r="Z9" s="112">
        <v>-2.0235309999999999E-2</v>
      </c>
      <c r="AA9" s="112"/>
      <c r="AB9" s="112">
        <v>-7374</v>
      </c>
      <c r="AC9" s="112"/>
      <c r="AD9" s="112"/>
      <c r="AE9" s="112"/>
      <c r="AF9" s="112">
        <v>5.7866439999999995E-5</v>
      </c>
      <c r="AG9" s="112"/>
      <c r="AH9" s="112">
        <v>-3.650624E-8</v>
      </c>
      <c r="AI9" s="112">
        <v>0</v>
      </c>
      <c r="AJ9" s="112">
        <v>0</v>
      </c>
      <c r="AK9">
        <v>100</v>
      </c>
      <c r="AL9">
        <v>700</v>
      </c>
      <c r="AM9" s="56">
        <f t="shared" si="0"/>
        <v>29.382629123544913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F25"/>
  <sheetViews>
    <sheetView zoomScaleNormal="100" workbookViewId="0">
      <pane xSplit="1" topLeftCell="B1" activePane="topRight" state="frozen"/>
      <selection pane="topRight" activeCell="H11" sqref="H11"/>
    </sheetView>
  </sheetViews>
  <sheetFormatPr defaultColWidth="10.6640625" defaultRowHeight="15.5" x14ac:dyDescent="0.35"/>
  <cols>
    <col min="1" max="1" width="14.6640625" style="3" bestFit="1" customWidth="1"/>
    <col min="2" max="2" width="18.6640625" style="3" bestFit="1" customWidth="1"/>
    <col min="3" max="3" width="13.1640625" style="3" bestFit="1" customWidth="1"/>
    <col min="4" max="4" width="12.83203125" style="3" bestFit="1" customWidth="1"/>
    <col min="5" max="5" width="13.1640625" style="3" customWidth="1"/>
    <col min="6" max="7" width="19" style="3" customWidth="1"/>
    <col min="8" max="8" width="13.1640625" style="3" customWidth="1"/>
    <col min="9" max="10" width="18.6640625" style="3" customWidth="1"/>
    <col min="11" max="11" width="13.1640625" style="3" customWidth="1"/>
    <col min="12" max="13" width="18.6640625" style="3" customWidth="1"/>
    <col min="14" max="14" width="14.1640625" style="3" customWidth="1"/>
    <col min="15" max="15" width="19.6640625" style="3" customWidth="1"/>
    <col min="16" max="16" width="13.1640625" style="3" customWidth="1"/>
    <col min="17" max="17" width="10.6640625" style="3"/>
    <col min="18" max="18" width="18.1640625" style="3" bestFit="1" customWidth="1"/>
    <col min="19" max="1020" width="10.6640625" style="3"/>
  </cols>
  <sheetData>
    <row r="1" spans="1:36" x14ac:dyDescent="0.35">
      <c r="A1" s="3" t="s">
        <v>59</v>
      </c>
      <c r="B1" s="3" t="s">
        <v>60</v>
      </c>
      <c r="C1" s="3" t="s">
        <v>61</v>
      </c>
      <c r="D1" s="3" t="s">
        <v>75</v>
      </c>
      <c r="E1" s="3" t="s">
        <v>65</v>
      </c>
      <c r="F1" s="3" t="s">
        <v>66</v>
      </c>
      <c r="G1" s="3" t="s">
        <v>143</v>
      </c>
      <c r="H1" s="3" t="s">
        <v>67</v>
      </c>
      <c r="I1" s="3" t="s">
        <v>68</v>
      </c>
      <c r="J1" s="3" t="s">
        <v>144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3" t="s">
        <v>150</v>
      </c>
      <c r="V1" s="3" t="s">
        <v>151</v>
      </c>
      <c r="W1" s="3" t="s">
        <v>152</v>
      </c>
      <c r="X1" s="3" t="s">
        <v>153</v>
      </c>
      <c r="Y1" s="3" t="s">
        <v>154</v>
      </c>
      <c r="Z1" s="3" t="s">
        <v>155</v>
      </c>
      <c r="AA1" s="3" t="s">
        <v>156</v>
      </c>
      <c r="AD1" s="3" t="s">
        <v>985</v>
      </c>
      <c r="AE1" s="3" t="s">
        <v>986</v>
      </c>
      <c r="AF1" s="3" t="s">
        <v>987</v>
      </c>
      <c r="AG1" s="3" t="s">
        <v>988</v>
      </c>
      <c r="AH1" s="3" t="s">
        <v>989</v>
      </c>
      <c r="AI1" s="3" t="s">
        <v>990</v>
      </c>
      <c r="AJ1" s="3" t="s">
        <v>991</v>
      </c>
    </row>
    <row r="2" spans="1:36" x14ac:dyDescent="0.35">
      <c r="A2" s="3" t="s">
        <v>965</v>
      </c>
      <c r="B2" s="3" t="s">
        <v>970</v>
      </c>
      <c r="C2" s="3" t="s">
        <v>967</v>
      </c>
      <c r="E2" s="3">
        <v>0</v>
      </c>
      <c r="F2" s="3">
        <v>0</v>
      </c>
      <c r="G2" t="s">
        <v>17</v>
      </c>
      <c r="H2" s="3">
        <v>0</v>
      </c>
      <c r="I2" s="3">
        <v>0</v>
      </c>
      <c r="J2" s="3" t="str">
        <f>Ref!$A$2</f>
        <v>1989COX/WAG</v>
      </c>
      <c r="K2" s="3">
        <f>130.68/2</f>
        <v>65.34</v>
      </c>
      <c r="L2" s="3">
        <v>2E-3</v>
      </c>
      <c r="M2" s="3" t="str">
        <f>Ref!$A$2</f>
        <v>1989COX/WAG</v>
      </c>
      <c r="N2" s="3">
        <f>28.836/2</f>
        <v>14.417999999999999</v>
      </c>
      <c r="O2" s="3">
        <v>2E-3</v>
      </c>
      <c r="P2" s="3" t="str">
        <f>Ref!A27</f>
        <v>1998CHA</v>
      </c>
      <c r="Q2" s="3">
        <v>0</v>
      </c>
    </row>
    <row r="3" spans="1:36" x14ac:dyDescent="0.35">
      <c r="A3" s="3" t="s">
        <v>157</v>
      </c>
      <c r="B3" s="15" t="s">
        <v>158</v>
      </c>
      <c r="C3" t="s">
        <v>159</v>
      </c>
      <c r="D3" t="s">
        <v>81</v>
      </c>
      <c r="E3" s="17">
        <v>-237.14</v>
      </c>
      <c r="F3" s="17" t="s">
        <v>160</v>
      </c>
      <c r="G3" t="s">
        <v>17</v>
      </c>
      <c r="H3" s="17">
        <v>-285.83</v>
      </c>
      <c r="I3" s="17" t="s">
        <v>161</v>
      </c>
      <c r="J3" s="3" t="str">
        <f>Ref!$A$2</f>
        <v>1989COX/WAG</v>
      </c>
      <c r="K3" s="17">
        <v>69.95</v>
      </c>
      <c r="L3" s="17">
        <v>0.03</v>
      </c>
      <c r="M3" t="s">
        <v>17</v>
      </c>
      <c r="N3" s="17">
        <v>75.350999999999999</v>
      </c>
      <c r="P3" t="s">
        <v>17</v>
      </c>
      <c r="Q3" s="17">
        <v>18.0684</v>
      </c>
      <c r="S3" t="s">
        <v>17</v>
      </c>
    </row>
    <row r="4" spans="1:36" x14ac:dyDescent="0.35">
      <c r="A4" s="3" t="s">
        <v>162</v>
      </c>
      <c r="B4" s="15" t="s">
        <v>163</v>
      </c>
      <c r="C4" s="3" t="s">
        <v>162</v>
      </c>
      <c r="D4" t="s">
        <v>81</v>
      </c>
      <c r="E4" s="17">
        <v>-131.21700000000001</v>
      </c>
      <c r="F4" s="17">
        <v>0.11700000000000001</v>
      </c>
      <c r="G4" t="s">
        <v>17</v>
      </c>
      <c r="H4" s="17">
        <v>-167.08</v>
      </c>
      <c r="I4" s="17" t="s">
        <v>164</v>
      </c>
      <c r="J4" s="3" t="str">
        <f>Ref!$A$2</f>
        <v>1989COX/WAG</v>
      </c>
      <c r="K4" s="17">
        <v>56.6</v>
      </c>
      <c r="L4" s="17">
        <v>0.2</v>
      </c>
      <c r="M4" t="s">
        <v>17</v>
      </c>
      <c r="N4" s="17">
        <v>-123.11499999999999</v>
      </c>
      <c r="P4" t="s">
        <v>30</v>
      </c>
      <c r="Q4" s="17">
        <v>17.786000000000001</v>
      </c>
      <c r="S4" t="s">
        <v>30</v>
      </c>
      <c r="U4" s="3">
        <v>4.032</v>
      </c>
      <c r="V4" s="3">
        <v>4.8010000000000002</v>
      </c>
      <c r="W4" s="3">
        <v>5.5629999999999997</v>
      </c>
      <c r="X4" s="3">
        <v>-2.847</v>
      </c>
      <c r="Y4" s="3">
        <v>-4.4000000000000004</v>
      </c>
      <c r="Z4" s="3">
        <v>-5.7140000000000004</v>
      </c>
      <c r="AA4" s="3">
        <v>1.456</v>
      </c>
    </row>
    <row r="5" spans="1:36" x14ac:dyDescent="0.35">
      <c r="A5" s="3" t="s">
        <v>165</v>
      </c>
      <c r="B5" s="15" t="s">
        <v>166</v>
      </c>
      <c r="C5" s="3" t="s">
        <v>165</v>
      </c>
      <c r="D5" t="s">
        <v>81</v>
      </c>
      <c r="E5" s="17">
        <v>-261.95299999999997</v>
      </c>
      <c r="F5" s="17">
        <v>9.6000000000000002E-2</v>
      </c>
      <c r="G5" t="s">
        <v>17</v>
      </c>
      <c r="H5" s="17">
        <v>-240.34</v>
      </c>
      <c r="I5" s="17" t="s">
        <v>167</v>
      </c>
      <c r="J5" s="3" t="str">
        <f>Ref!$A$2</f>
        <v>1989COX/WAG</v>
      </c>
      <c r="K5" s="17">
        <v>58.45</v>
      </c>
      <c r="L5" s="17">
        <v>0.15</v>
      </c>
      <c r="M5" t="s">
        <v>17</v>
      </c>
      <c r="N5" s="17">
        <v>37.975999999999999</v>
      </c>
      <c r="P5" t="s">
        <v>30</v>
      </c>
      <c r="Q5" s="17">
        <v>-1.107</v>
      </c>
      <c r="S5" t="s">
        <v>30</v>
      </c>
      <c r="U5" s="3">
        <v>1.839</v>
      </c>
      <c r="V5" s="3">
        <v>-2.2850000000000001</v>
      </c>
      <c r="W5" s="3">
        <v>3.2559999999999998</v>
      </c>
      <c r="X5" s="3">
        <v>-2.726</v>
      </c>
      <c r="Y5" s="3">
        <v>18.18</v>
      </c>
      <c r="Z5" s="3">
        <v>-2.9809999999999999</v>
      </c>
      <c r="AA5" s="3">
        <v>0.3306</v>
      </c>
    </row>
    <row r="6" spans="1:36" x14ac:dyDescent="0.35">
      <c r="A6" s="3" t="s">
        <v>168</v>
      </c>
      <c r="B6" s="15" t="s">
        <v>169</v>
      </c>
      <c r="C6" s="3" t="s">
        <v>168</v>
      </c>
      <c r="D6" t="s">
        <v>81</v>
      </c>
      <c r="E6" s="17">
        <v>-282.51</v>
      </c>
      <c r="F6" s="17">
        <v>0.11600000000000001</v>
      </c>
      <c r="G6" t="s">
        <v>17</v>
      </c>
      <c r="H6" s="17">
        <v>-252.14</v>
      </c>
      <c r="I6" s="17" t="s">
        <v>170</v>
      </c>
      <c r="J6" s="3" t="str">
        <f>Ref!$A$2</f>
        <v>1989COX/WAG</v>
      </c>
      <c r="K6" s="17">
        <v>101.2</v>
      </c>
      <c r="L6" s="17">
        <v>0.2</v>
      </c>
      <c r="M6" t="s">
        <v>17</v>
      </c>
      <c r="N6" s="17">
        <v>8.3059999999999992</v>
      </c>
      <c r="P6" t="s">
        <v>30</v>
      </c>
      <c r="Q6" s="17">
        <v>9.0679999999999996</v>
      </c>
      <c r="S6" t="s">
        <v>30</v>
      </c>
      <c r="U6" s="3">
        <v>3.5590000000000002</v>
      </c>
      <c r="V6" s="3">
        <v>-1.4730000000000001</v>
      </c>
      <c r="W6" s="3">
        <v>5.4349999999999996</v>
      </c>
      <c r="X6" s="3">
        <v>-2.7120000000000002</v>
      </c>
      <c r="Y6" s="3">
        <v>7.4</v>
      </c>
      <c r="Z6" s="3">
        <v>-1.7909999999999999</v>
      </c>
      <c r="AA6" s="3">
        <v>0.19270000000000001</v>
      </c>
    </row>
    <row r="7" spans="1:36" x14ac:dyDescent="0.35">
      <c r="A7" s="3" t="s">
        <v>171</v>
      </c>
      <c r="B7" s="15" t="s">
        <v>172</v>
      </c>
      <c r="C7" s="3" t="s">
        <v>171</v>
      </c>
      <c r="D7" t="s">
        <v>81</v>
      </c>
      <c r="E7" s="17">
        <v>-552.80600000000004</v>
      </c>
      <c r="F7" s="17">
        <v>1.05</v>
      </c>
      <c r="G7" t="s">
        <v>17</v>
      </c>
      <c r="H7" s="17">
        <v>-543</v>
      </c>
      <c r="I7" s="17" t="s">
        <v>173</v>
      </c>
      <c r="J7" s="3" t="str">
        <f>Ref!$A$2</f>
        <v>1989COX/WAG</v>
      </c>
      <c r="K7" s="17">
        <v>-56.2</v>
      </c>
      <c r="L7" s="17" t="s">
        <v>173</v>
      </c>
      <c r="M7" t="s">
        <v>17</v>
      </c>
      <c r="N7" s="17">
        <v>-31.469000000000001</v>
      </c>
      <c r="P7" t="s">
        <v>30</v>
      </c>
      <c r="Q7" s="17">
        <v>-18.061</v>
      </c>
      <c r="S7" t="s">
        <v>32</v>
      </c>
      <c r="U7" s="3">
        <v>-0.19470000000000001</v>
      </c>
      <c r="V7" s="3">
        <v>-7.2519999999999998</v>
      </c>
      <c r="W7" s="3">
        <v>5.2969999999999997</v>
      </c>
      <c r="X7" s="3">
        <v>-2.4790000000000001</v>
      </c>
      <c r="Y7" s="3">
        <v>9</v>
      </c>
      <c r="Z7" s="3">
        <v>-2.5219999999999998</v>
      </c>
      <c r="AA7" s="3">
        <v>1.2370000000000001</v>
      </c>
    </row>
    <row r="8" spans="1:36" x14ac:dyDescent="0.35">
      <c r="A8" s="3" t="s">
        <v>174</v>
      </c>
      <c r="B8" s="15" t="s">
        <v>175</v>
      </c>
      <c r="C8" s="3" t="s">
        <v>174</v>
      </c>
      <c r="D8" t="s">
        <v>81</v>
      </c>
      <c r="E8" s="17">
        <v>-455.70299999999997</v>
      </c>
      <c r="F8" s="17">
        <v>0.78600000000000003</v>
      </c>
      <c r="G8" s="3" t="s">
        <v>27</v>
      </c>
      <c r="H8" s="17">
        <v>-467</v>
      </c>
      <c r="I8" s="17" t="s">
        <v>176</v>
      </c>
      <c r="J8" s="3" t="str">
        <f>Ref!$A$2</f>
        <v>1989COX/WAG</v>
      </c>
      <c r="K8" s="17">
        <v>-135.9</v>
      </c>
      <c r="L8" s="17" t="s">
        <v>177</v>
      </c>
      <c r="M8" t="s">
        <v>27</v>
      </c>
      <c r="N8" s="17">
        <v>-22.314</v>
      </c>
      <c r="P8" t="s">
        <v>30</v>
      </c>
      <c r="Q8" s="17">
        <v>-21.544</v>
      </c>
      <c r="S8" t="s">
        <v>32</v>
      </c>
      <c r="U8" s="3">
        <v>-0.82199999999999995</v>
      </c>
      <c r="V8" s="3">
        <v>-8.5990000000000002</v>
      </c>
      <c r="W8" s="3">
        <v>8.39</v>
      </c>
      <c r="X8" s="3">
        <v>-2.39</v>
      </c>
      <c r="Y8" s="3">
        <v>20.8</v>
      </c>
      <c r="Z8" s="3">
        <v>-5.8920000000000003</v>
      </c>
      <c r="AA8" s="3">
        <v>1.5369999999999999</v>
      </c>
    </row>
    <row r="9" spans="1:36" x14ac:dyDescent="0.35">
      <c r="A9" s="3" t="s">
        <v>178</v>
      </c>
      <c r="B9" s="15" t="s">
        <v>179</v>
      </c>
      <c r="C9" s="3" t="s">
        <v>178</v>
      </c>
      <c r="D9" t="s">
        <v>81</v>
      </c>
      <c r="E9" s="17">
        <v>-90.72</v>
      </c>
      <c r="F9" s="17">
        <v>0.64</v>
      </c>
      <c r="G9" t="s">
        <v>25</v>
      </c>
      <c r="H9" s="17">
        <v>-90.295000000000002</v>
      </c>
      <c r="I9" s="17">
        <v>0.6</v>
      </c>
      <c r="J9" t="s">
        <v>25</v>
      </c>
      <c r="K9" s="17">
        <v>-102.17100000000001</v>
      </c>
      <c r="L9" s="17">
        <v>3</v>
      </c>
      <c r="M9" t="s">
        <v>25</v>
      </c>
      <c r="N9" s="17">
        <v>-23</v>
      </c>
      <c r="P9" t="s">
        <v>25</v>
      </c>
      <c r="Q9" s="17">
        <v>-22.248999999999999</v>
      </c>
      <c r="S9" t="s">
        <v>34</v>
      </c>
      <c r="U9" s="3">
        <v>-0.8</v>
      </c>
      <c r="V9" s="3">
        <v>-9.7349999999999994</v>
      </c>
      <c r="W9" s="3">
        <v>9.58</v>
      </c>
      <c r="X9" s="3">
        <v>-2.3769999999999998</v>
      </c>
      <c r="Y9" s="3">
        <v>16.018000000000001</v>
      </c>
      <c r="Z9" s="3">
        <v>-4.1543999999999999</v>
      </c>
      <c r="AA9" s="3">
        <v>1.419</v>
      </c>
    </row>
    <row r="10" spans="1:36" x14ac:dyDescent="0.35">
      <c r="A10" s="3" t="s">
        <v>180</v>
      </c>
      <c r="B10" s="15" t="s">
        <v>181</v>
      </c>
      <c r="C10" s="3" t="s">
        <v>180</v>
      </c>
      <c r="D10" t="s">
        <v>81</v>
      </c>
      <c r="E10" s="17">
        <v>-16.225999999999999</v>
      </c>
      <c r="F10" s="17">
        <v>0.65</v>
      </c>
      <c r="G10" t="s">
        <v>25</v>
      </c>
      <c r="H10" s="17">
        <v>-50.055999999999997</v>
      </c>
      <c r="I10" s="17">
        <v>0.97299999999999998</v>
      </c>
      <c r="J10" t="s">
        <v>25</v>
      </c>
      <c r="K10" s="17">
        <v>-282.404</v>
      </c>
      <c r="L10" s="17">
        <v>3.927</v>
      </c>
      <c r="M10" t="s">
        <v>25</v>
      </c>
      <c r="N10" s="17">
        <v>-108</v>
      </c>
      <c r="P10" t="s">
        <v>25</v>
      </c>
      <c r="Q10" s="17">
        <v>-37</v>
      </c>
      <c r="S10" t="s">
        <v>34</v>
      </c>
      <c r="U10" s="3">
        <v>-2.3889999999999998</v>
      </c>
      <c r="V10" s="3">
        <v>-13.614000000000001</v>
      </c>
      <c r="W10" s="3">
        <v>11.109</v>
      </c>
      <c r="X10" s="3">
        <v>-2.2160000000000002</v>
      </c>
      <c r="Y10" s="3">
        <v>15.82</v>
      </c>
      <c r="Z10" s="3">
        <v>-8.2929999999999993</v>
      </c>
      <c r="AA10" s="3">
        <v>2.69</v>
      </c>
    </row>
    <row r="11" spans="1:36" x14ac:dyDescent="0.35">
      <c r="A11" s="3" t="s">
        <v>182</v>
      </c>
      <c r="B11" s="15" t="s">
        <v>183</v>
      </c>
      <c r="C11" s="3" t="s">
        <v>182</v>
      </c>
      <c r="D11" t="s">
        <v>81</v>
      </c>
      <c r="E11" s="17">
        <v>-487.738</v>
      </c>
      <c r="F11" s="17">
        <v>1.3</v>
      </c>
      <c r="G11" s="3" t="str">
        <f>Ref!$A$8</f>
        <v>2024MIR</v>
      </c>
      <c r="H11" s="17">
        <v>-539.94100000000003</v>
      </c>
      <c r="I11" s="17" t="s">
        <v>184</v>
      </c>
      <c r="J11" s="3" t="str">
        <f>Ref!$A$8</f>
        <v>2024MIR</v>
      </c>
      <c r="K11" s="17">
        <v>-342.8</v>
      </c>
      <c r="L11" s="17" t="s">
        <v>185</v>
      </c>
      <c r="M11" s="3" t="s">
        <v>21</v>
      </c>
      <c r="N11" s="17">
        <v>-134.5</v>
      </c>
      <c r="P11" t="s">
        <v>32</v>
      </c>
      <c r="Q11" s="17">
        <v>-44.399000000000001</v>
      </c>
      <c r="S11" t="s">
        <v>32</v>
      </c>
      <c r="U11" s="3">
        <v>-3.34</v>
      </c>
      <c r="V11" s="3">
        <v>-17.11</v>
      </c>
      <c r="W11" s="3">
        <v>14.99</v>
      </c>
      <c r="X11" s="3">
        <v>-2.0720000000000001</v>
      </c>
      <c r="Y11" s="3">
        <v>10.7</v>
      </c>
      <c r="Z11" s="3">
        <v>-8.06</v>
      </c>
      <c r="AA11" s="3">
        <v>2.871</v>
      </c>
    </row>
    <row r="12" spans="1:36" x14ac:dyDescent="0.35">
      <c r="A12" s="3" t="s">
        <v>186</v>
      </c>
      <c r="B12" s="15" t="s">
        <v>187</v>
      </c>
      <c r="C12" s="3" t="s">
        <v>186</v>
      </c>
      <c r="D12" t="s">
        <v>81</v>
      </c>
      <c r="E12" s="17">
        <v>-157.22</v>
      </c>
      <c r="F12" s="17">
        <v>7.1999999999999995E-2</v>
      </c>
      <c r="G12" t="s">
        <v>17</v>
      </c>
      <c r="H12" s="17">
        <v>-230.01499999999999</v>
      </c>
      <c r="I12" s="17" t="s">
        <v>161</v>
      </c>
      <c r="J12" t="s">
        <v>17</v>
      </c>
      <c r="K12" s="17">
        <v>-10.9</v>
      </c>
      <c r="L12" s="17" t="s">
        <v>188</v>
      </c>
      <c r="M12" t="s">
        <v>17</v>
      </c>
      <c r="N12" s="17">
        <v>-137.12799999999999</v>
      </c>
      <c r="P12" t="s">
        <v>30</v>
      </c>
      <c r="Q12" s="17">
        <v>-4.18</v>
      </c>
      <c r="S12" t="s">
        <v>32</v>
      </c>
      <c r="U12" s="3">
        <v>1.2529999999999999</v>
      </c>
      <c r="V12" s="3">
        <v>7.3800000000000004E-2</v>
      </c>
      <c r="W12" s="3">
        <v>1.8420000000000001</v>
      </c>
      <c r="X12" s="3">
        <v>-2.782</v>
      </c>
      <c r="Y12" s="3">
        <v>4.1500000000000004</v>
      </c>
      <c r="Z12" s="3">
        <v>-10.35</v>
      </c>
      <c r="AA12" s="3">
        <v>1.7250000000000001</v>
      </c>
    </row>
    <row r="13" spans="1:36" x14ac:dyDescent="0.35">
      <c r="A13" s="3" t="s">
        <v>189</v>
      </c>
      <c r="B13" s="15" t="s">
        <v>190</v>
      </c>
      <c r="C13" s="3" t="s">
        <v>189</v>
      </c>
      <c r="D13" t="s">
        <v>81</v>
      </c>
      <c r="E13" s="17">
        <v>-281.52300000000002</v>
      </c>
      <c r="F13" s="17">
        <v>0.69199999999999995</v>
      </c>
      <c r="G13" t="s">
        <v>17</v>
      </c>
      <c r="H13" s="17">
        <v>-335.35</v>
      </c>
      <c r="I13" s="17" t="s">
        <v>191</v>
      </c>
      <c r="J13" t="s">
        <v>17</v>
      </c>
      <c r="K13" s="17">
        <v>-13.8</v>
      </c>
      <c r="L13" s="17" t="s">
        <v>192</v>
      </c>
      <c r="M13" t="s">
        <v>17</v>
      </c>
      <c r="N13" s="17">
        <v>-113.887</v>
      </c>
      <c r="P13" t="s">
        <v>30</v>
      </c>
      <c r="Q13" s="17">
        <v>-1.319</v>
      </c>
      <c r="S13" t="s">
        <v>32</v>
      </c>
      <c r="U13" s="3">
        <v>0.68700000000000006</v>
      </c>
      <c r="V13" s="3">
        <v>1.359</v>
      </c>
      <c r="W13" s="3">
        <v>7.6029999999999998</v>
      </c>
      <c r="X13" s="3">
        <v>-2.835</v>
      </c>
      <c r="Y13" s="3">
        <v>4.46</v>
      </c>
      <c r="Z13" s="3">
        <v>-7.4880000000000004</v>
      </c>
      <c r="AA13" s="3">
        <v>1.7869999999999999</v>
      </c>
    </row>
    <row r="14" spans="1:36" ht="16" x14ac:dyDescent="0.35">
      <c r="A14" s="3" t="s">
        <v>193</v>
      </c>
      <c r="B14" s="15" t="s">
        <v>194</v>
      </c>
      <c r="C14" s="3" t="s">
        <v>193</v>
      </c>
      <c r="D14" t="s">
        <v>81</v>
      </c>
      <c r="E14" s="17">
        <v>-7.89</v>
      </c>
      <c r="F14" s="17">
        <v>0.6</v>
      </c>
      <c r="G14" t="s">
        <v>17</v>
      </c>
      <c r="H14" s="17">
        <v>-128.1</v>
      </c>
      <c r="I14" s="17" t="s">
        <v>195</v>
      </c>
      <c r="J14" t="s">
        <v>17</v>
      </c>
      <c r="K14" s="17">
        <v>184</v>
      </c>
      <c r="L14" s="17">
        <v>1.5</v>
      </c>
      <c r="M14" t="s">
        <v>17</v>
      </c>
      <c r="N14" s="17">
        <v>-24.422999999999998</v>
      </c>
      <c r="P14" t="s">
        <v>34</v>
      </c>
      <c r="Q14" s="17">
        <v>44.206000000000003</v>
      </c>
      <c r="S14" t="s">
        <v>34</v>
      </c>
      <c r="U14" s="3">
        <v>8.141</v>
      </c>
      <c r="V14" s="3">
        <v>15.57</v>
      </c>
      <c r="W14" s="3">
        <v>-7.8079999999999998</v>
      </c>
      <c r="X14" s="3">
        <v>-3.423</v>
      </c>
      <c r="Y14" s="3">
        <v>16.45</v>
      </c>
      <c r="Z14" s="3">
        <v>-6.57</v>
      </c>
      <c r="AA14" s="3">
        <v>0.97</v>
      </c>
    </row>
    <row r="15" spans="1:36" ht="16" x14ac:dyDescent="0.35">
      <c r="A15" s="3" t="s">
        <v>196</v>
      </c>
      <c r="B15" s="15" t="s">
        <v>197</v>
      </c>
      <c r="C15" s="3" t="s">
        <v>196</v>
      </c>
      <c r="D15" t="s">
        <v>81</v>
      </c>
      <c r="E15" s="17">
        <v>-110.794</v>
      </c>
      <c r="F15" s="17">
        <v>0.41699999999999998</v>
      </c>
      <c r="G15" t="s">
        <v>17</v>
      </c>
      <c r="H15" s="17">
        <v>-206.85</v>
      </c>
      <c r="I15" s="17" t="s">
        <v>195</v>
      </c>
      <c r="J15" t="s">
        <v>17</v>
      </c>
      <c r="K15" s="17">
        <v>146.69999999999999</v>
      </c>
      <c r="L15" s="17">
        <v>0.4</v>
      </c>
      <c r="M15" t="s">
        <v>17</v>
      </c>
      <c r="N15" s="17">
        <v>-67.284999999999997</v>
      </c>
      <c r="P15" t="s">
        <v>32</v>
      </c>
      <c r="Q15" s="17">
        <v>29</v>
      </c>
      <c r="S15" t="s">
        <v>32</v>
      </c>
      <c r="U15" s="3">
        <v>7.3159999999999998</v>
      </c>
      <c r="V15" s="3">
        <v>6.782</v>
      </c>
      <c r="W15" s="3">
        <v>-4.6840000000000002</v>
      </c>
      <c r="X15" s="3">
        <v>-3.0590000000000002</v>
      </c>
      <c r="Y15" s="3">
        <v>7.7</v>
      </c>
      <c r="Z15" s="3">
        <v>-6.7249999999999996</v>
      </c>
      <c r="AA15" s="3">
        <v>1.0980000000000001</v>
      </c>
    </row>
    <row r="16" spans="1:36" x14ac:dyDescent="0.35">
      <c r="A16" s="3" t="s">
        <v>198</v>
      </c>
      <c r="B16" s="15" t="s">
        <v>199</v>
      </c>
      <c r="C16" s="3" t="s">
        <v>198</v>
      </c>
      <c r="D16" t="s">
        <v>81</v>
      </c>
      <c r="E16" s="17">
        <v>12.252000000000001</v>
      </c>
      <c r="F16" s="17">
        <v>2.1150000000000002</v>
      </c>
      <c r="G16" t="s">
        <v>17</v>
      </c>
      <c r="H16" s="17">
        <v>-16.3</v>
      </c>
      <c r="I16" s="17" t="s">
        <v>200</v>
      </c>
      <c r="J16" t="s">
        <v>17</v>
      </c>
      <c r="K16" s="17">
        <v>67</v>
      </c>
      <c r="L16" s="17">
        <v>5</v>
      </c>
      <c r="M16" t="s">
        <v>17</v>
      </c>
      <c r="N16" s="17">
        <v>-92.683000000000007</v>
      </c>
      <c r="P16" t="s">
        <v>30</v>
      </c>
      <c r="Q16" s="17">
        <v>20.65</v>
      </c>
      <c r="S16" t="s">
        <v>30</v>
      </c>
      <c r="U16" s="3">
        <v>5.0119999999999996</v>
      </c>
      <c r="V16" s="3" t="s">
        <v>201</v>
      </c>
      <c r="W16" s="3">
        <v>3.4750000000000001</v>
      </c>
      <c r="X16" s="3">
        <v>-2.9849999999999999</v>
      </c>
      <c r="Y16" s="3">
        <v>3.41</v>
      </c>
      <c r="Z16" s="3">
        <v>-6.0460000000000003</v>
      </c>
      <c r="AA16" s="3">
        <v>1.4410000000000001</v>
      </c>
    </row>
    <row r="17" spans="1:27" ht="16" x14ac:dyDescent="0.35">
      <c r="A17" s="3" t="s">
        <v>202</v>
      </c>
      <c r="B17" s="15" t="s">
        <v>203</v>
      </c>
      <c r="C17" s="3" t="s">
        <v>202</v>
      </c>
      <c r="D17" t="s">
        <v>81</v>
      </c>
      <c r="E17" s="17">
        <v>-586.84500000000003</v>
      </c>
      <c r="F17" s="17">
        <v>0.251</v>
      </c>
      <c r="G17" t="s">
        <v>17</v>
      </c>
      <c r="H17" s="17">
        <v>-689.93</v>
      </c>
      <c r="I17" s="17" t="s">
        <v>188</v>
      </c>
      <c r="J17" t="s">
        <v>17</v>
      </c>
      <c r="K17" s="17">
        <v>98.4</v>
      </c>
      <c r="L17" s="17">
        <v>0.4</v>
      </c>
      <c r="M17" t="s">
        <v>17</v>
      </c>
      <c r="N17" s="17">
        <v>-45.6</v>
      </c>
      <c r="P17" s="3" t="str">
        <f>Ref!$A$8</f>
        <v>2024MIR</v>
      </c>
      <c r="Q17" s="17">
        <v>24.600999999999999</v>
      </c>
      <c r="S17" t="s">
        <v>32</v>
      </c>
      <c r="U17" s="3">
        <v>7.5620000000000003</v>
      </c>
      <c r="V17" s="3">
        <v>1.151</v>
      </c>
      <c r="W17" s="3">
        <v>1.2350000000000001</v>
      </c>
      <c r="X17" s="3">
        <v>-2.827</v>
      </c>
      <c r="Y17" s="3">
        <v>11.51</v>
      </c>
      <c r="Z17" s="3">
        <v>-5.2549999999999999</v>
      </c>
      <c r="AA17" s="3">
        <v>1.2729999999999999</v>
      </c>
    </row>
    <row r="18" spans="1:27" ht="16" x14ac:dyDescent="0.35">
      <c r="A18" s="3" t="s">
        <v>204</v>
      </c>
      <c r="B18" s="15" t="s">
        <v>205</v>
      </c>
      <c r="C18" s="3" t="s">
        <v>204</v>
      </c>
      <c r="D18" t="s">
        <v>81</v>
      </c>
      <c r="E18" s="17">
        <v>-527.9</v>
      </c>
      <c r="F18" s="17">
        <v>0.39</v>
      </c>
      <c r="G18" t="s">
        <v>17</v>
      </c>
      <c r="H18" s="17">
        <v>-675.23</v>
      </c>
      <c r="I18" s="17" t="s">
        <v>206</v>
      </c>
      <c r="J18" t="s">
        <v>17</v>
      </c>
      <c r="K18" s="17">
        <v>-50</v>
      </c>
      <c r="L18" s="17" t="s">
        <v>173</v>
      </c>
      <c r="M18" t="s">
        <v>17</v>
      </c>
      <c r="N18" s="17">
        <v>-290.77800000000002</v>
      </c>
      <c r="P18" t="s">
        <v>32</v>
      </c>
      <c r="Q18" s="17">
        <v>-5.0199999999999996</v>
      </c>
      <c r="S18" t="s">
        <v>32</v>
      </c>
      <c r="U18" s="3">
        <v>2.8519999999999999</v>
      </c>
      <c r="V18" s="3">
        <v>-3.984</v>
      </c>
      <c r="W18" s="3">
        <v>6.4139999999999997</v>
      </c>
      <c r="X18" s="3">
        <v>-2.6139999999999999</v>
      </c>
      <c r="Y18" s="3">
        <v>-3.3210000000000002</v>
      </c>
      <c r="Z18" s="3">
        <v>-17.192</v>
      </c>
      <c r="AA18" s="3">
        <v>3.391</v>
      </c>
    </row>
    <row r="19" spans="1:27" ht="16" x14ac:dyDescent="0.35">
      <c r="A19" s="3" t="s">
        <v>207</v>
      </c>
      <c r="B19" s="15" t="s">
        <v>208</v>
      </c>
      <c r="C19" s="3" t="s">
        <v>207</v>
      </c>
      <c r="D19" t="s">
        <v>81</v>
      </c>
      <c r="E19" s="17">
        <v>-744.00400000000002</v>
      </c>
      <c r="F19" s="17">
        <v>0.41799999999999998</v>
      </c>
      <c r="G19" t="s">
        <v>17</v>
      </c>
      <c r="H19" s="17">
        <v>-909.34</v>
      </c>
      <c r="I19" s="17" t="s">
        <v>195</v>
      </c>
      <c r="J19" t="s">
        <v>17</v>
      </c>
      <c r="K19" s="17">
        <v>18.5</v>
      </c>
      <c r="L19" s="17">
        <v>0.4</v>
      </c>
      <c r="M19" t="s">
        <v>17</v>
      </c>
      <c r="N19" s="17">
        <v>-267.447</v>
      </c>
      <c r="P19" t="s">
        <v>30</v>
      </c>
      <c r="Q19" s="17">
        <v>13.879</v>
      </c>
      <c r="S19" t="s">
        <v>32</v>
      </c>
      <c r="U19" s="3">
        <v>8.3010000000000002</v>
      </c>
      <c r="V19" s="3">
        <v>-1.9850000000000001</v>
      </c>
      <c r="W19" s="3">
        <v>-6.2119999999999997</v>
      </c>
      <c r="X19" s="3">
        <v>-2.6970000000000001</v>
      </c>
      <c r="Y19" s="3">
        <v>1.64</v>
      </c>
      <c r="Z19" s="3">
        <v>-18</v>
      </c>
      <c r="AA19" s="3">
        <v>3.1459999999999999</v>
      </c>
    </row>
    <row r="20" spans="1:27" ht="16" x14ac:dyDescent="0.35">
      <c r="A20" s="3" t="s">
        <v>209</v>
      </c>
      <c r="B20" s="15" t="s">
        <v>210</v>
      </c>
      <c r="C20" s="3" t="s">
        <v>209</v>
      </c>
      <c r="D20" t="s">
        <v>81</v>
      </c>
      <c r="E20" s="17">
        <v>-1095.9849999999999</v>
      </c>
      <c r="F20" s="17">
        <v>1.5669999999999999</v>
      </c>
      <c r="G20" t="s">
        <v>17</v>
      </c>
      <c r="H20" s="17">
        <v>-1299</v>
      </c>
      <c r="I20" s="17" t="s">
        <v>200</v>
      </c>
      <c r="J20" t="s">
        <v>17</v>
      </c>
      <c r="K20" s="17">
        <v>-33.5</v>
      </c>
      <c r="L20" s="17" t="s">
        <v>200</v>
      </c>
      <c r="M20" t="s">
        <v>17</v>
      </c>
      <c r="N20" s="17">
        <v>-244.221</v>
      </c>
      <c r="P20" t="s">
        <v>32</v>
      </c>
      <c r="Q20" s="17">
        <v>5.38</v>
      </c>
      <c r="S20" t="s">
        <v>32</v>
      </c>
      <c r="U20" s="3">
        <v>3.6320000000000001</v>
      </c>
      <c r="V20" s="3">
        <v>1.0840000000000001</v>
      </c>
      <c r="W20" s="3">
        <v>5.3230000000000004</v>
      </c>
      <c r="X20" s="3">
        <v>-2.8239999999999998</v>
      </c>
      <c r="Y20" s="3">
        <v>2.7360000000000002</v>
      </c>
      <c r="Z20" s="3">
        <v>-14.91</v>
      </c>
      <c r="AA20" s="3">
        <v>3.3439999999999999</v>
      </c>
    </row>
    <row r="21" spans="1:27" ht="16" x14ac:dyDescent="0.35">
      <c r="A21" s="3" t="s">
        <v>211</v>
      </c>
      <c r="B21" s="15" t="s">
        <v>212</v>
      </c>
      <c r="C21" s="3" t="s">
        <v>211</v>
      </c>
      <c r="D21" t="s">
        <v>81</v>
      </c>
      <c r="E21" s="17">
        <v>-1025.491</v>
      </c>
      <c r="F21" s="17">
        <v>1.5760000000000001</v>
      </c>
      <c r="G21" t="s">
        <v>17</v>
      </c>
      <c r="H21" s="17">
        <v>-1284.4000000000001</v>
      </c>
      <c r="I21" s="17" t="s">
        <v>213</v>
      </c>
      <c r="J21" t="s">
        <v>17</v>
      </c>
      <c r="K21" s="17">
        <v>-220.97</v>
      </c>
      <c r="L21" s="17" t="s">
        <v>214</v>
      </c>
      <c r="M21" t="s">
        <v>17</v>
      </c>
      <c r="N21" s="17">
        <v>-480.75</v>
      </c>
      <c r="P21" t="s">
        <v>32</v>
      </c>
      <c r="Q21" s="17">
        <v>-30.600999999999999</v>
      </c>
      <c r="S21" t="s">
        <v>32</v>
      </c>
      <c r="U21" s="3">
        <v>-0.52600000000000002</v>
      </c>
      <c r="V21" s="3">
        <v>-9.0660000000000007</v>
      </c>
      <c r="W21" s="3">
        <v>9.3130000000000006</v>
      </c>
      <c r="X21" s="3">
        <v>-2.4039999999999999</v>
      </c>
      <c r="Y21" s="3">
        <v>-9.48</v>
      </c>
      <c r="Z21" s="3">
        <v>-26.44</v>
      </c>
      <c r="AA21" s="3">
        <v>5.6109999999999998</v>
      </c>
    </row>
    <row r="22" spans="1:27" ht="17" customHeight="1" x14ac:dyDescent="0.35">
      <c r="A22" s="3" t="s">
        <v>215</v>
      </c>
      <c r="B22" s="15" t="s">
        <v>216</v>
      </c>
      <c r="C22" s="3" t="s">
        <v>217</v>
      </c>
      <c r="D22" t="s">
        <v>81</v>
      </c>
      <c r="E22" s="17">
        <v>-1309.183</v>
      </c>
      <c r="F22" s="17">
        <v>1.1200000000000001</v>
      </c>
      <c r="G22" s="3" t="s">
        <v>21</v>
      </c>
      <c r="H22" s="17">
        <v>-1461.9</v>
      </c>
      <c r="I22" s="17" t="s">
        <v>218</v>
      </c>
      <c r="J22" s="3" t="str">
        <f>Ref!$A$8</f>
        <v>2024MIR</v>
      </c>
      <c r="K22" s="17">
        <v>178.26</v>
      </c>
      <c r="L22" s="17">
        <v>3</v>
      </c>
      <c r="M22" s="3" t="s">
        <v>29</v>
      </c>
      <c r="N22" s="17">
        <v>195</v>
      </c>
      <c r="P22" s="3" t="str">
        <f>Ref!$A$8</f>
        <v>2024MIR</v>
      </c>
      <c r="Q22" s="17">
        <v>55.869</v>
      </c>
      <c r="S22" s="3" t="s">
        <v>29</v>
      </c>
      <c r="U22" s="3">
        <v>11.022</v>
      </c>
      <c r="V22" s="3">
        <v>9.85</v>
      </c>
      <c r="W22" s="3">
        <v>2.5790000000000002</v>
      </c>
      <c r="X22" s="3">
        <v>-3.1859999999999999</v>
      </c>
      <c r="Y22" s="3">
        <v>54.44</v>
      </c>
      <c r="Z22" s="3">
        <v>-3.2589999999999999</v>
      </c>
      <c r="AA22" s="3">
        <v>0.13100000000000001</v>
      </c>
    </row>
    <row r="23" spans="1:27" ht="17.5" x14ac:dyDescent="0.35">
      <c r="A23" s="3" t="s">
        <v>963</v>
      </c>
      <c r="B23" s="3" t="s">
        <v>972</v>
      </c>
      <c r="C23" s="3" t="s">
        <v>964</v>
      </c>
      <c r="D23" s="3" t="s">
        <v>247</v>
      </c>
      <c r="E23" s="3">
        <v>-79.397999999999996</v>
      </c>
      <c r="F23" s="3">
        <v>0.27800000000000002</v>
      </c>
      <c r="G23" s="3" t="str">
        <f>Ref!$A$2</f>
        <v>1989COX/WAG</v>
      </c>
      <c r="H23" s="3">
        <v>-133.26</v>
      </c>
      <c r="I23" s="3">
        <v>0.25</v>
      </c>
      <c r="J23" s="3" t="str">
        <f>Ref!$A$2</f>
        <v>1989COX/WAG</v>
      </c>
      <c r="K23" s="3">
        <v>111.17</v>
      </c>
      <c r="L23" s="3">
        <v>0.4</v>
      </c>
      <c r="M23" s="3" t="str">
        <f>Ref!$A$2</f>
        <v>1989COX/WAG</v>
      </c>
      <c r="N23" s="3">
        <v>67.05</v>
      </c>
      <c r="P23" s="3" t="str">
        <f>Ref!$A$9</f>
        <v>1988TAN/HEL</v>
      </c>
      <c r="Q23" s="3">
        <v>18.131</v>
      </c>
      <c r="S23" s="16" t="str">
        <f>Ref!$A$10</f>
        <v>1988SHO/HEL</v>
      </c>
      <c r="U23" s="3">
        <v>3.8763000000000005</v>
      </c>
      <c r="V23" s="3">
        <v>2.3448000000000002</v>
      </c>
      <c r="W23" s="3">
        <v>8.5604999999999993</v>
      </c>
      <c r="X23" s="3">
        <v>-2.8759000000000001</v>
      </c>
      <c r="Y23" s="3">
        <v>17.45</v>
      </c>
      <c r="Z23" s="3">
        <v>-2.1000000000000001E-2</v>
      </c>
      <c r="AA23" s="3">
        <v>0.15000000000000002</v>
      </c>
    </row>
    <row r="24" spans="1:27" ht="17.5" x14ac:dyDescent="0.35">
      <c r="A24" s="3" t="s">
        <v>961</v>
      </c>
      <c r="B24" s="3" t="s">
        <v>971</v>
      </c>
      <c r="C24" s="3" t="s">
        <v>962</v>
      </c>
      <c r="D24" s="42" t="s">
        <v>221</v>
      </c>
      <c r="E24" s="41">
        <f>-32200/1000</f>
        <v>-32.200000000000003</v>
      </c>
      <c r="F24" s="16"/>
      <c r="G24" s="16" t="str">
        <f>Ref!$A$10</f>
        <v>1988SHO/HEL</v>
      </c>
      <c r="H24" s="16">
        <f>-104600/1000</f>
        <v>-104.6</v>
      </c>
      <c r="I24" s="16"/>
      <c r="J24" s="16" t="str">
        <f>Ref!$A$10</f>
        <v>1988SHO/HEL</v>
      </c>
      <c r="K24" s="16">
        <v>123</v>
      </c>
      <c r="L24" s="16"/>
      <c r="M24" s="16" t="str">
        <f>Ref!$A$10</f>
        <v>1988SHO/HEL</v>
      </c>
      <c r="N24" s="16">
        <v>-97.5</v>
      </c>
      <c r="P24" s="16" t="str">
        <f>Ref!$A$10</f>
        <v>1988SHO/HEL</v>
      </c>
      <c r="Q24" s="16">
        <v>25</v>
      </c>
      <c r="S24" s="16" t="str">
        <f>Ref!$A$10</f>
        <v>1988SHO/HEL</v>
      </c>
      <c r="U24" s="3">
        <v>5.5900000000000007</v>
      </c>
      <c r="V24" s="3">
        <v>5.86</v>
      </c>
      <c r="W24" s="3">
        <v>3.45</v>
      </c>
      <c r="X24" s="3">
        <v>-3.02</v>
      </c>
      <c r="Y24" s="3">
        <v>3.43</v>
      </c>
      <c r="Z24" s="3">
        <v>-7.7810000000000006</v>
      </c>
      <c r="AA24" s="3">
        <v>1.1850000000000001</v>
      </c>
    </row>
    <row r="25" spans="1:27" ht="17.5" x14ac:dyDescent="0.35">
      <c r="A25" s="3" t="s">
        <v>219</v>
      </c>
      <c r="B25" s="3" t="s">
        <v>1027</v>
      </c>
      <c r="C25" s="3" t="s">
        <v>220</v>
      </c>
      <c r="D25" s="42" t="s">
        <v>221</v>
      </c>
      <c r="J25" s="42"/>
      <c r="K25" s="41">
        <f>'solids DComp'!N19+K3</f>
        <v>151.65</v>
      </c>
      <c r="L25" s="42">
        <v>0.1</v>
      </c>
      <c r="M25" s="42" t="str">
        <f>Ref!$A$29</f>
        <v>2025MIR</v>
      </c>
      <c r="N25" s="41">
        <f>'solids DComp'!Q19+N3</f>
        <v>161.54394416770069</v>
      </c>
      <c r="O25" s="42"/>
      <c r="P25" s="42" t="str">
        <f>Ref!$A$29</f>
        <v>2025MIR</v>
      </c>
      <c r="Q25" s="41">
        <f>'solids DComp'!T19+Q3</f>
        <v>57.968400000000003</v>
      </c>
      <c r="R25" s="42">
        <v>0.03</v>
      </c>
      <c r="S25" s="42" t="str">
        <f>Ref!$A$29</f>
        <v>2025MIR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O21"/>
  <sheetViews>
    <sheetView zoomScaleNormal="100" workbookViewId="0">
      <selection activeCell="T7" sqref="T7"/>
    </sheetView>
  </sheetViews>
  <sheetFormatPr defaultColWidth="42.6640625" defaultRowHeight="15.5" x14ac:dyDescent="0.35"/>
  <cols>
    <col min="1" max="1" width="17.1640625" style="11" customWidth="1"/>
    <col min="2" max="2" width="14.1640625" style="3" customWidth="1"/>
    <col min="3" max="3" width="15.83203125" style="3" bestFit="1" customWidth="1"/>
    <col min="4" max="4" width="13.5" style="3" bestFit="1" customWidth="1"/>
    <col min="5" max="6" width="13.5" style="3" customWidth="1"/>
    <col min="7" max="7" width="12" style="3" customWidth="1"/>
    <col min="8" max="8" width="9.6640625" style="3" bestFit="1" customWidth="1"/>
    <col min="9" max="9" width="14.08203125" style="3" customWidth="1"/>
    <col min="10" max="10" width="16.83203125" style="3" customWidth="1"/>
    <col min="11" max="15" width="13.1640625" style="3" customWidth="1"/>
    <col min="16" max="18" width="18.6640625" style="3" customWidth="1"/>
    <col min="19" max="19" width="16" style="3" customWidth="1"/>
    <col min="20" max="20" width="21.6640625" style="3" customWidth="1"/>
    <col min="21" max="21" width="28.1640625" style="3" bestFit="1" customWidth="1"/>
    <col min="22" max="22" width="21.6640625" style="3" customWidth="1"/>
    <col min="23" max="23" width="6" style="3" customWidth="1"/>
    <col min="24" max="24" width="6.1640625" style="3" customWidth="1"/>
    <col min="25" max="25" width="7.83203125" style="3" customWidth="1"/>
    <col min="26" max="26" width="13.5" style="3" customWidth="1"/>
    <col min="27" max="27" width="7.6640625" style="3" customWidth="1"/>
    <col min="28" max="28" width="5.5" style="3" customWidth="1"/>
    <col min="29" max="29" width="7.08203125" style="3" customWidth="1"/>
    <col min="30" max="30" width="5.1640625" style="3" customWidth="1"/>
    <col min="31" max="31" width="2.1640625" style="3" customWidth="1"/>
    <col min="32" max="32" width="7.1640625" style="3" customWidth="1"/>
    <col min="33" max="33" width="6.1640625" style="3" customWidth="1"/>
    <col min="34" max="34" width="4.1640625" style="3" customWidth="1"/>
    <col min="35" max="35" width="3.1640625" style="3" customWidth="1"/>
    <col min="36" max="36" width="2.1640625" style="3" customWidth="1"/>
    <col min="37" max="37" width="16.6640625" style="3" customWidth="1"/>
    <col min="38" max="38" width="5.6640625" style="3" customWidth="1"/>
    <col min="39" max="39" width="26" style="3" customWidth="1"/>
    <col min="40" max="1029" width="42.6640625" style="3"/>
  </cols>
  <sheetData>
    <row r="1" spans="1:1029" x14ac:dyDescent="0.35">
      <c r="A1" s="11" t="s">
        <v>316</v>
      </c>
      <c r="B1" s="3" t="s">
        <v>59</v>
      </c>
      <c r="C1" s="3" t="s">
        <v>60</v>
      </c>
      <c r="D1" s="3" t="s">
        <v>61</v>
      </c>
      <c r="E1" s="3" t="s">
        <v>262</v>
      </c>
      <c r="F1" s="3" t="s">
        <v>75</v>
      </c>
      <c r="G1" s="3" t="s">
        <v>222</v>
      </c>
      <c r="H1" s="3" t="s">
        <v>223</v>
      </c>
      <c r="I1" s="3" t="s">
        <v>224</v>
      </c>
      <c r="J1" s="3" t="s">
        <v>225</v>
      </c>
      <c r="K1" s="3" t="s">
        <v>226</v>
      </c>
      <c r="L1" s="3" t="s">
        <v>227</v>
      </c>
      <c r="M1" s="3" t="s">
        <v>228</v>
      </c>
      <c r="N1" s="3" t="s">
        <v>229</v>
      </c>
      <c r="O1" s="3" t="s">
        <v>230</v>
      </c>
      <c r="P1" s="3" t="s">
        <v>231</v>
      </c>
      <c r="Q1" s="3" t="s">
        <v>232</v>
      </c>
      <c r="R1" s="3" t="s">
        <v>233</v>
      </c>
      <c r="S1" s="3" t="s">
        <v>234</v>
      </c>
      <c r="T1" s="3" t="s">
        <v>235</v>
      </c>
      <c r="U1" s="3" t="s">
        <v>236</v>
      </c>
      <c r="V1" s="3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244</v>
      </c>
      <c r="AD1" t="s">
        <v>245</v>
      </c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</row>
    <row r="2" spans="1:1029" x14ac:dyDescent="0.35"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</row>
    <row r="3" spans="1:1029" x14ac:dyDescent="0.35">
      <c r="B3" s="3" t="str">
        <f>'solids DComp'!C9</f>
        <v>Fe(OH)3(mic)</v>
      </c>
      <c r="C3" s="3" t="s">
        <v>1026</v>
      </c>
      <c r="D3" s="3" t="str">
        <f>'solids DComp'!E9</f>
        <v>Fe|3|(OH)3</v>
      </c>
      <c r="E3" s="3" t="str">
        <f>'solids DComp'!F9</f>
        <v>fhy</v>
      </c>
      <c r="F3" s="3" t="str">
        <f>'solids DComp'!G9</f>
        <v>recommended</v>
      </c>
      <c r="G3" s="18">
        <v>3.5</v>
      </c>
      <c r="H3" s="18">
        <v>0.4</v>
      </c>
      <c r="I3" s="3" t="str">
        <f>Ref!$A$4</f>
        <v>2023HUM/THO</v>
      </c>
      <c r="S3" s="3">
        <v>273</v>
      </c>
      <c r="T3" s="3">
        <v>373</v>
      </c>
      <c r="U3" s="3" t="s">
        <v>995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</row>
    <row r="4" spans="1:1029" x14ac:dyDescent="0.35">
      <c r="B4" s="3" t="str">
        <f>'solids DComp'!C14</f>
        <v>MgCO3(s)</v>
      </c>
      <c r="C4" s="3" t="str">
        <f>'solids DComp'!D14</f>
        <v>Magnesite</v>
      </c>
      <c r="D4" s="3" t="str">
        <f>'solids DComp'!E14</f>
        <v>MgCO3</v>
      </c>
      <c r="E4" s="3" t="str">
        <f>'solids DComp'!F14</f>
        <v>mgs</v>
      </c>
      <c r="F4" s="3" t="str">
        <f>'solids DComp'!G14</f>
        <v>recommended</v>
      </c>
      <c r="G4" s="26">
        <v>-7.8496268523070922</v>
      </c>
      <c r="H4" s="80">
        <v>0.22900000000000001</v>
      </c>
      <c r="I4" s="62" t="str">
        <f>Ref!$A$7</f>
        <v>2024RAN/PAL</v>
      </c>
      <c r="S4" s="3">
        <v>273</v>
      </c>
      <c r="T4" s="3">
        <v>523</v>
      </c>
      <c r="U4" s="3" t="s">
        <v>982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</row>
    <row r="5" spans="1:1029" x14ac:dyDescent="0.35">
      <c r="B5" s="3" t="str">
        <f>'solids DComp'!C11</f>
        <v>Mg(OH)2(s)</v>
      </c>
      <c r="C5" s="3" t="str">
        <f>'solids DComp'!D11</f>
        <v>Brucite</v>
      </c>
      <c r="D5" s="3" t="str">
        <f>'solids DComp'!E11</f>
        <v>Mg(OH)2</v>
      </c>
      <c r="E5" s="3" t="str">
        <f>'solids DComp'!F11</f>
        <v>brc</v>
      </c>
      <c r="F5" s="3" t="str">
        <f>'solids DComp'!G11</f>
        <v>recommended</v>
      </c>
      <c r="G5" s="89">
        <v>17.11</v>
      </c>
      <c r="H5" s="89">
        <v>0.2</v>
      </c>
      <c r="I5" t="str">
        <f>Ref!$A$4</f>
        <v>2023HUM/THO</v>
      </c>
      <c r="S5" s="3">
        <v>273</v>
      </c>
      <c r="T5" s="3">
        <v>523</v>
      </c>
      <c r="U5" s="3" t="s">
        <v>983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</row>
    <row r="6" spans="1:1029" x14ac:dyDescent="0.35">
      <c r="B6" s="57" t="s">
        <v>976</v>
      </c>
      <c r="C6" s="62" t="s">
        <v>1080</v>
      </c>
      <c r="D6" s="57" t="s">
        <v>303</v>
      </c>
      <c r="E6" s="62" t="s">
        <v>304</v>
      </c>
      <c r="F6" s="62" t="s">
        <v>247</v>
      </c>
      <c r="G6" s="80">
        <v>-4.6100000000000003</v>
      </c>
      <c r="H6" s="80">
        <v>0.05</v>
      </c>
      <c r="I6" s="62" t="str">
        <f>Ref!$A$7</f>
        <v>2024RAN/PAL</v>
      </c>
      <c r="S6" s="3">
        <v>273</v>
      </c>
      <c r="T6" s="3">
        <v>423</v>
      </c>
      <c r="U6" s="3" t="s">
        <v>1081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</row>
    <row r="7" spans="1:1029" x14ac:dyDescent="0.35">
      <c r="B7" t="s">
        <v>984</v>
      </c>
      <c r="C7" s="3" t="s">
        <v>317</v>
      </c>
      <c r="D7" t="s">
        <v>318</v>
      </c>
      <c r="E7" t="s">
        <v>319</v>
      </c>
      <c r="F7" t="s">
        <v>247</v>
      </c>
      <c r="G7" s="26">
        <v>-0.73547972768844649</v>
      </c>
      <c r="H7" s="26">
        <f>(2000)/(('Read me'!E7*'Read me'!E8)*LN(10))</f>
        <v>0.35038284391854063</v>
      </c>
      <c r="I7" t="str">
        <f>Ref!$A$25</f>
        <v>2018LI/ZEN</v>
      </c>
      <c r="J7" s="18">
        <v>18.010999999999999</v>
      </c>
      <c r="K7" s="80">
        <v>2</v>
      </c>
      <c r="L7" t="str">
        <f>Ref!$A$25</f>
        <v>2018LI/ZEN</v>
      </c>
      <c r="M7" s="29">
        <v>46.326999999999998</v>
      </c>
      <c r="N7">
        <v>2</v>
      </c>
      <c r="O7" t="str">
        <f>Ref!$A$25</f>
        <v>2018LI/ZEN</v>
      </c>
      <c r="P7" s="17">
        <v>47.497</v>
      </c>
      <c r="Q7" s="18">
        <v>5</v>
      </c>
      <c r="R7" t="str">
        <f>Ref!$A$25</f>
        <v>2018LI/ZEN</v>
      </c>
      <c r="S7" s="3">
        <v>371</v>
      </c>
      <c r="T7" s="3">
        <v>473</v>
      </c>
      <c r="U7" t="s">
        <v>981</v>
      </c>
      <c r="V7" s="5"/>
    </row>
    <row r="8" spans="1:1029" x14ac:dyDescent="0.35">
      <c r="A8" s="74" t="s">
        <v>960</v>
      </c>
      <c r="B8" s="3" t="s">
        <v>321</v>
      </c>
      <c r="C8" s="3" t="s">
        <v>322</v>
      </c>
      <c r="D8" s="3" t="s">
        <v>271</v>
      </c>
      <c r="E8" s="3" t="s">
        <v>323</v>
      </c>
      <c r="F8" t="s">
        <v>247</v>
      </c>
      <c r="G8" s="26">
        <f>W8+Y8*'Read me'!$E$8+AA8/'Read me'!$E$8+'solids ReacDC'!AC8*LN('Read me'!$E$8)</f>
        <v>-2.6917458926714746</v>
      </c>
      <c r="H8" s="81">
        <f>SQRT(X8^2+(Z8*'Read me'!$E$8)^2+(AB8/'Read me'!$E$8)^2+(AD8*LN('Read me'!$E$8))^2)</f>
        <v>2.3263330563962098E-2</v>
      </c>
      <c r="I8" s="62" t="str">
        <f>Ref!$A$7</f>
        <v>2024RAN/PAL</v>
      </c>
      <c r="J8" s="17">
        <f>-AA8*'Read me'!$E$7*LN(10)/1000</f>
        <v>13.444036621947426</v>
      </c>
      <c r="K8" s="17">
        <v>0.20899999999999999</v>
      </c>
      <c r="L8" s="62" t="str">
        <f>Ref!$A$7</f>
        <v>2024RAN/PAL</v>
      </c>
      <c r="M8" s="48">
        <f>'Read me'!$E$7*LN(10)*(W8+2*Y8*298.15+AC8*(1+LN(298.15)))</f>
        <v>-6.4415967465209771</v>
      </c>
      <c r="N8" s="49">
        <v>0.72399999999999998</v>
      </c>
      <c r="O8" s="62" t="str">
        <f>Ref!$A$7</f>
        <v>2024RAN/PAL</v>
      </c>
      <c r="P8" s="18">
        <f>'Read me'!$E$7*LN(10)*(AC8)</f>
        <v>0</v>
      </c>
      <c r="Q8" s="18"/>
      <c r="R8" s="62" t="str">
        <f>Ref!$A$7</f>
        <v>2024RAN/PAL</v>
      </c>
      <c r="S8" s="35">
        <v>273</v>
      </c>
      <c r="T8" s="3">
        <f>273+150</f>
        <v>423</v>
      </c>
      <c r="U8" s="3" t="s">
        <v>324</v>
      </c>
      <c r="W8" s="18">
        <v>-0.33646599999999999</v>
      </c>
      <c r="X8" s="18">
        <v>1.3877E-2</v>
      </c>
      <c r="AA8" s="18">
        <v>-702.22670000000005</v>
      </c>
      <c r="AB8" s="18">
        <v>5.5667999999999997</v>
      </c>
    </row>
    <row r="9" spans="1:1029" x14ac:dyDescent="0.35">
      <c r="F9"/>
      <c r="H9" s="73"/>
      <c r="I9"/>
      <c r="J9" s="36"/>
      <c r="K9" s="36"/>
      <c r="L9" s="25"/>
      <c r="M9" s="48"/>
      <c r="N9" s="49"/>
      <c r="O9" s="25"/>
      <c r="P9" s="35"/>
      <c r="Q9" s="35"/>
      <c r="R9" s="25"/>
      <c r="S9" s="35"/>
      <c r="W9" s="18"/>
      <c r="X9" s="18"/>
      <c r="AA9" s="18"/>
      <c r="AB9" s="18"/>
    </row>
    <row r="10" spans="1:1029" x14ac:dyDescent="0.35">
      <c r="Y10" s="37"/>
    </row>
    <row r="11" spans="1:1029" x14ac:dyDescent="0.35">
      <c r="A11" s="38"/>
      <c r="B11" s="10"/>
      <c r="C11" s="10" t="s">
        <v>901</v>
      </c>
      <c r="D11" s="10"/>
      <c r="E11" s="10"/>
      <c r="F11" s="10"/>
      <c r="G11" s="10" t="s">
        <v>902</v>
      </c>
      <c r="H11" s="10"/>
      <c r="I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37"/>
      <c r="Z11" s="10"/>
      <c r="AA11" s="10"/>
      <c r="AK11" s="10"/>
    </row>
    <row r="12" spans="1:1029" x14ac:dyDescent="0.35">
      <c r="Y12" s="37"/>
    </row>
    <row r="13" spans="1:1029" x14ac:dyDescent="0.35">
      <c r="Y13" s="37"/>
    </row>
    <row r="14" spans="1:1029" x14ac:dyDescent="0.35">
      <c r="H14" s="3">
        <v>3.5</v>
      </c>
      <c r="Y14" s="37"/>
    </row>
    <row r="15" spans="1:1029" x14ac:dyDescent="0.35">
      <c r="H15" s="3">
        <v>0.4</v>
      </c>
      <c r="Y15" s="37"/>
    </row>
    <row r="16" spans="1:1029" x14ac:dyDescent="0.35">
      <c r="B16" s="10"/>
      <c r="C16" s="10"/>
      <c r="D16" s="10"/>
      <c r="E16" s="10"/>
      <c r="F16" s="10"/>
      <c r="G16" s="10"/>
      <c r="H16" s="10"/>
      <c r="I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37"/>
      <c r="Z16" s="10"/>
      <c r="AA16" s="10"/>
      <c r="AK16" s="10"/>
    </row>
    <row r="17" spans="1:39" x14ac:dyDescent="0.35">
      <c r="Y17" s="37"/>
    </row>
    <row r="19" spans="1:39" s="3" customFormat="1" x14ac:dyDescent="0.35">
      <c r="A19" s="11"/>
      <c r="B19" s="9"/>
    </row>
    <row r="21" spans="1:39" s="12" customFormat="1" x14ac:dyDescent="0.35">
      <c r="A21" s="39"/>
      <c r="AM21" s="3"/>
    </row>
  </sheetData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M110"/>
  <sheetViews>
    <sheetView tabSelected="1" zoomScaleNormal="100" workbookViewId="0">
      <selection activeCell="V2" sqref="V2:V17"/>
    </sheetView>
  </sheetViews>
  <sheetFormatPr defaultColWidth="10.6640625" defaultRowHeight="15.5" x14ac:dyDescent="0.35"/>
  <cols>
    <col min="1" max="1" width="23.58203125" style="3" customWidth="1"/>
    <col min="2" max="3" width="14.6640625" style="3" bestFit="1" customWidth="1"/>
    <col min="4" max="5" width="16" style="3" customWidth="1"/>
    <col min="6" max="6" width="7.1640625" style="3" customWidth="1"/>
    <col min="7" max="7" width="10.1640625" style="3" customWidth="1"/>
    <col min="8" max="8" width="15.9140625" style="3" customWidth="1"/>
    <col min="9" max="9" width="14.5" style="3" customWidth="1"/>
    <col min="10" max="10" width="12.08203125" style="3" customWidth="1"/>
    <col min="11" max="11" width="13.1640625" style="3" customWidth="1"/>
    <col min="12" max="12" width="11.83203125" style="3" customWidth="1"/>
    <col min="13" max="14" width="20.1640625" style="3" customWidth="1"/>
    <col min="15" max="15" width="14.6640625" style="3" customWidth="1"/>
    <col min="16" max="16" width="20.1640625" style="3" customWidth="1"/>
    <col min="17" max="18" width="11.6640625" style="3" customWidth="1"/>
    <col min="19" max="19" width="21.6640625" style="3" customWidth="1"/>
    <col min="20" max="20" width="6" style="3" customWidth="1"/>
    <col min="21" max="21" width="6.1640625" style="3" customWidth="1"/>
    <col min="22" max="22" width="32.6640625" style="3" customWidth="1"/>
    <col min="23" max="23" width="18.6640625" style="3" customWidth="1"/>
    <col min="24" max="24" width="10.6640625" style="3"/>
    <col min="25" max="25" width="6.6640625" style="3" customWidth="1"/>
    <col min="26" max="26" width="6.83203125" style="3" customWidth="1"/>
    <col min="27" max="27" width="5.08203125" style="3" customWidth="1"/>
    <col min="28" max="28" width="8.83203125" style="3" customWidth="1"/>
    <col min="29" max="29" width="6.33203125" style="3" bestFit="1" customWidth="1"/>
    <col min="30" max="30" width="7.1640625" style="3" customWidth="1"/>
    <col min="31" max="31" width="6.5" style="3" customWidth="1"/>
    <col min="32" max="32" width="11.6640625" style="3" customWidth="1"/>
    <col min="33" max="33" width="5.6640625" style="3" customWidth="1"/>
    <col min="34" max="34" width="11" style="3" customWidth="1"/>
    <col min="35" max="35" width="11.1640625" style="3" customWidth="1"/>
    <col min="36" max="36" width="15.1640625" style="3" customWidth="1"/>
    <col min="37" max="1027" width="10.6640625" style="3"/>
  </cols>
  <sheetData>
    <row r="1" spans="1:32" x14ac:dyDescent="0.35">
      <c r="B1" s="3" t="s">
        <v>59</v>
      </c>
      <c r="C1" s="3" t="s">
        <v>60</v>
      </c>
      <c r="D1" s="3" t="s">
        <v>61</v>
      </c>
      <c r="E1" s="3" t="s">
        <v>75</v>
      </c>
      <c r="F1" s="3" t="s">
        <v>222</v>
      </c>
      <c r="G1" s="3" t="s">
        <v>223</v>
      </c>
      <c r="H1" s="3" t="s">
        <v>224</v>
      </c>
      <c r="I1" s="3" t="s">
        <v>957</v>
      </c>
      <c r="J1" s="3" t="s">
        <v>958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229</v>
      </c>
      <c r="P1" s="3" t="s">
        <v>230</v>
      </c>
      <c r="Q1" s="3" t="s">
        <v>231</v>
      </c>
      <c r="R1" s="3" t="s">
        <v>232</v>
      </c>
      <c r="S1" s="3" t="s">
        <v>233</v>
      </c>
      <c r="T1" s="3" t="s">
        <v>234</v>
      </c>
      <c r="U1" s="3" t="s">
        <v>235</v>
      </c>
      <c r="V1" s="3" t="s">
        <v>236</v>
      </c>
      <c r="W1" s="3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s="3" t="s">
        <v>938</v>
      </c>
    </row>
    <row r="2" spans="1:32" x14ac:dyDescent="0.35">
      <c r="B2" s="3" t="s">
        <v>246</v>
      </c>
      <c r="C2" s="3" t="s">
        <v>246</v>
      </c>
      <c r="D2" s="3" t="s">
        <v>246</v>
      </c>
      <c r="E2" s="3" t="s">
        <v>247</v>
      </c>
      <c r="F2" s="18">
        <f>X2+Z2*Tref+AB2/Tref+'aqueous ReacDC'!AD2*LN(Tref)</f>
        <v>-4.97379003857119</v>
      </c>
      <c r="G2" s="75">
        <f>SQRT(Y2^2+(AA2*Tref)^2+(AC2/Tref)^2+('aqueous ReacDC'!AE2*LN(Tref))^2)</f>
        <v>0.1300751712487051</v>
      </c>
      <c r="H2" t="s">
        <v>19</v>
      </c>
      <c r="I2" s="29">
        <f t="shared" ref="I2:I17" si="0">-F2*LN(10)*R_constant*Tref/1000</f>
        <v>28.390602593131131</v>
      </c>
      <c r="J2" s="106" t="s">
        <v>956</v>
      </c>
      <c r="K2" s="17">
        <f>-AB2*'Read me'!$E$7*LN(10)/1000</f>
        <v>55.960445602470436</v>
      </c>
      <c r="L2" s="17">
        <f>SQRT((-AC2*R_constant*LN(10))^2)/1000</f>
        <v>0.53605626988339794</v>
      </c>
      <c r="M2" t="s">
        <v>19</v>
      </c>
      <c r="N2" s="16">
        <f>R_constant*LN(10)*(X2+2*Z2*Tref+AD2*(1+LN(Tref)))</f>
        <v>92.469706554886145</v>
      </c>
      <c r="O2" s="40">
        <f>R_constant*LN(10)*SQRT(Y2^2+(2*Z2*Tref)^2+(AE2*(1+LN(Tref)))^2)</f>
        <v>1.7230380103394933</v>
      </c>
      <c r="P2" s="107" t="s">
        <v>956</v>
      </c>
      <c r="Q2" s="18">
        <f>'Read me'!$E$7*LN(10)*(AD2)</f>
        <v>0</v>
      </c>
      <c r="R2" s="18"/>
      <c r="S2" t="s">
        <v>19</v>
      </c>
      <c r="T2" s="3">
        <v>273</v>
      </c>
      <c r="U2" s="3">
        <v>473</v>
      </c>
      <c r="V2" s="3" t="s">
        <v>248</v>
      </c>
      <c r="X2" s="30">
        <v>4.83</v>
      </c>
      <c r="Y2" s="30">
        <v>0.09</v>
      </c>
      <c r="Z2"/>
      <c r="AA2"/>
      <c r="AB2" s="43">
        <v>-2923</v>
      </c>
      <c r="AC2" s="40">
        <v>28</v>
      </c>
      <c r="AD2"/>
      <c r="AE2"/>
    </row>
    <row r="3" spans="1:32" x14ac:dyDescent="0.35">
      <c r="B3" s="3" t="s">
        <v>249</v>
      </c>
      <c r="C3" s="3" t="s">
        <v>249</v>
      </c>
      <c r="D3" s="3" t="s">
        <v>249</v>
      </c>
      <c r="E3" s="3" t="s">
        <v>247</v>
      </c>
      <c r="F3" s="18">
        <f>X3+Z3*Tref+AB3/Tref+'aqueous ReacDC'!AD3*LN(Tref)</f>
        <v>-10.633047123930909</v>
      </c>
      <c r="G3" s="75">
        <f>SQRT(Y3^2+(AA3*Tref)^2+(AC3/Tref)^2+('aqueous ReacDC'!AE3*LN(Tref))^2)</f>
        <v>0.17872881103673496</v>
      </c>
      <c r="H3" t="s">
        <v>19</v>
      </c>
      <c r="I3" s="29">
        <f t="shared" si="0"/>
        <v>60.693879900141184</v>
      </c>
      <c r="J3" s="106" t="s">
        <v>956</v>
      </c>
      <c r="K3" s="17">
        <f>-AB3*'Read me'!$E$7*LN(10)/1000</f>
        <v>110.81048893161096</v>
      </c>
      <c r="L3" s="17">
        <f>SQRT((-AC3*R_constant*LN(10))^2)/1000</f>
        <v>0.8040844048250968</v>
      </c>
      <c r="M3" t="s">
        <v>19</v>
      </c>
      <c r="N3" s="16">
        <f>R_constant*LN(10)*(X3+2*Z3*Tref+AD3*(1+LN(Tref)))</f>
        <v>168.09193034200834</v>
      </c>
      <c r="O3" s="40">
        <f>R_constant*LN(10)*SQRT(Y3^2+(2*Z3*Tref)^2+(AE3*(1+LN(Tref)))^2)</f>
        <v>2.1059353459704919</v>
      </c>
      <c r="P3" s="107" t="s">
        <v>956</v>
      </c>
      <c r="Q3" s="18">
        <f>'Read me'!$E$7*LN(10)*(AD3)</f>
        <v>0</v>
      </c>
      <c r="R3" s="18"/>
      <c r="S3" t="s">
        <v>19</v>
      </c>
      <c r="T3" s="3">
        <v>273</v>
      </c>
      <c r="U3" s="3">
        <v>473</v>
      </c>
      <c r="V3" s="3" t="s">
        <v>250</v>
      </c>
      <c r="X3" s="30">
        <v>8.7799999999999994</v>
      </c>
      <c r="Y3" s="30">
        <v>0.11</v>
      </c>
      <c r="Z3"/>
      <c r="AA3"/>
      <c r="AB3" s="43">
        <v>-5788</v>
      </c>
      <c r="AC3" s="40">
        <v>42</v>
      </c>
      <c r="AD3"/>
      <c r="AE3"/>
    </row>
    <row r="4" spans="1:32" x14ac:dyDescent="0.35">
      <c r="B4" s="3" t="s">
        <v>251</v>
      </c>
      <c r="C4" s="3" t="s">
        <v>251</v>
      </c>
      <c r="D4" s="3" t="s">
        <v>252</v>
      </c>
      <c r="E4" s="3" t="s">
        <v>247</v>
      </c>
      <c r="F4" s="18">
        <f>X4+Z4*Tref+AB4/Tref+'aqueous ReacDC'!AD4*LN(Tref)</f>
        <v>-15.662710045279223</v>
      </c>
      <c r="G4" s="75">
        <f>SQRT(Y4^2+(AA4*Tref)^2+(AC4/Tref)^2+('aqueous ReacDC'!AE4*LN(Tref))^2)</f>
        <v>0.44316439508243677</v>
      </c>
      <c r="H4" t="s">
        <v>19</v>
      </c>
      <c r="I4" s="29">
        <f t="shared" si="0"/>
        <v>89.40340725655274</v>
      </c>
      <c r="J4" s="106" t="s">
        <v>956</v>
      </c>
      <c r="K4" s="17">
        <f>-AB4*'Read me'!$E$7*LN(10)/1000</f>
        <v>135.18190434452401</v>
      </c>
      <c r="L4" s="17">
        <f>SQRT((-AC4*R_constant*LN(10))^2)/1000</f>
        <v>2.0485007456258422</v>
      </c>
      <c r="M4" t="s">
        <v>19</v>
      </c>
      <c r="N4" s="16">
        <f>R_constant*LN(10)*(X4+2*Z4*Tref+AD4*(1+LN(Tref)))</f>
        <v>153.54183158803039</v>
      </c>
      <c r="O4" s="40">
        <f>R_constant*LN(10)*SQRT(Y4^2+(2*Z4*Tref)^2+(AE4*(1+LN(Tref)))^2)</f>
        <v>4.9776653632029806</v>
      </c>
      <c r="P4" s="107" t="s">
        <v>956</v>
      </c>
      <c r="Q4" s="18">
        <f>'Read me'!$E$7*LN(10)*(AD4)</f>
        <v>0</v>
      </c>
      <c r="R4" s="18"/>
      <c r="S4" t="s">
        <v>19</v>
      </c>
      <c r="T4" s="3">
        <v>273</v>
      </c>
      <c r="U4" s="3">
        <v>473</v>
      </c>
      <c r="V4" s="3" t="s">
        <v>253</v>
      </c>
      <c r="X4" s="30">
        <v>8.02</v>
      </c>
      <c r="Y4" s="30">
        <v>0.26</v>
      </c>
      <c r="Z4"/>
      <c r="AA4"/>
      <c r="AB4" s="43">
        <v>-7061</v>
      </c>
      <c r="AC4" s="40">
        <v>107</v>
      </c>
      <c r="AD4"/>
      <c r="AE4"/>
    </row>
    <row r="5" spans="1:32" x14ac:dyDescent="0.35">
      <c r="A5" s="3" t="s">
        <v>254</v>
      </c>
      <c r="B5" s="3" t="s">
        <v>255</v>
      </c>
      <c r="C5" s="3" t="s">
        <v>255</v>
      </c>
      <c r="D5" s="3" t="s">
        <v>255</v>
      </c>
      <c r="E5" s="3" t="s">
        <v>247</v>
      </c>
      <c r="F5" s="18">
        <f>X5+Z5*Tref+AB5/Tref+'aqueous ReacDC'!AD5*LN(Tref)</f>
        <v>-22.868250880429315</v>
      </c>
      <c r="G5" s="75">
        <f>SQRT(Y5^2+(AA5*Tref)^2+(AC5/Tref)^2+('aqueous ReacDC'!AE5*LN(Tref))^2)</f>
        <v>0.3008299759162919</v>
      </c>
      <c r="H5" s="34" t="str">
        <f>Ref!$A$26</f>
        <v>2024bMIR</v>
      </c>
      <c r="I5" s="29">
        <f t="shared" si="0"/>
        <v>130.53293719909345</v>
      </c>
      <c r="J5" s="106" t="s">
        <v>956</v>
      </c>
      <c r="K5" s="17">
        <f>-AB5*'Read me'!$E$7*LN(10)/1000</f>
        <v>180.4212245493265</v>
      </c>
      <c r="L5" s="17">
        <f>SQRT((-AC5*R_constant*LN(10))^2)/1000</f>
        <v>1.2827060743638452</v>
      </c>
      <c r="M5" s="34" t="str">
        <f>Ref!$A$26</f>
        <v>2024bMIR</v>
      </c>
      <c r="N5" s="16">
        <f>R_constant*LN(10)*(X5+2*Z5*Tref+AD5*(1+LN(Tref)))</f>
        <v>167.32613567074637</v>
      </c>
      <c r="O5" s="40">
        <f>R_constant*LN(10)*SQRT(Y5^2+(2*Z5*Tref)^2+(AE5*(1+LN(Tref)))^2)</f>
        <v>3.8289733563099855</v>
      </c>
      <c r="P5" s="107" t="s">
        <v>956</v>
      </c>
      <c r="Q5" s="18">
        <f>'Read me'!$E$7*LN(10)*(AD5)</f>
        <v>0</v>
      </c>
      <c r="R5" s="18"/>
      <c r="S5" s="34" t="str">
        <f>Ref!$A$26</f>
        <v>2024bMIR</v>
      </c>
      <c r="T5" s="3">
        <v>273</v>
      </c>
      <c r="U5" s="3">
        <v>473</v>
      </c>
      <c r="V5" s="3" t="s">
        <v>256</v>
      </c>
      <c r="X5" s="43">
        <v>8.74</v>
      </c>
      <c r="Y5" s="43">
        <v>0.2</v>
      </c>
      <c r="Z5" s="1"/>
      <c r="AA5" s="1"/>
      <c r="AB5" s="43">
        <v>-9424</v>
      </c>
      <c r="AC5" s="43">
        <v>67</v>
      </c>
      <c r="AD5" s="1"/>
    </row>
    <row r="6" spans="1:32" x14ac:dyDescent="0.35">
      <c r="A6" s="3" t="s">
        <v>921</v>
      </c>
      <c r="B6" s="3" t="s">
        <v>922</v>
      </c>
      <c r="C6" s="3" t="s">
        <v>922</v>
      </c>
      <c r="D6" s="3" t="s">
        <v>922</v>
      </c>
      <c r="E6" s="3" t="s">
        <v>247</v>
      </c>
      <c r="F6" s="76">
        <v>-9.43</v>
      </c>
      <c r="G6" s="18">
        <v>0.1</v>
      </c>
      <c r="H6" s="3" t="str">
        <f>Ref!$A$4</f>
        <v>2023HUM/THO</v>
      </c>
      <c r="I6" s="29">
        <f t="shared" si="0"/>
        <v>53.826836351567202</v>
      </c>
      <c r="J6" s="106" t="s">
        <v>956</v>
      </c>
      <c r="K6" s="76">
        <v>54.6</v>
      </c>
      <c r="L6" s="18">
        <v>0.9</v>
      </c>
      <c r="M6" s="3" t="str">
        <f>Ref!$A$4</f>
        <v>2023HUM/THO</v>
      </c>
      <c r="N6" s="16">
        <f t="shared" ref="N6:N14" si="1">-(I6-K6)*1000/Tref</f>
        <v>2.5932035835411682</v>
      </c>
      <c r="P6" s="107" t="s">
        <v>956</v>
      </c>
      <c r="Q6" s="79">
        <v>0</v>
      </c>
      <c r="R6" s="18"/>
      <c r="S6" s="3" t="str">
        <f>Ref!$A$4</f>
        <v>2023HUM/THO</v>
      </c>
      <c r="T6" s="3">
        <v>298</v>
      </c>
      <c r="U6" s="3">
        <f>300+273</f>
        <v>573</v>
      </c>
      <c r="V6" s="3" t="s">
        <v>935</v>
      </c>
      <c r="X6" s="43">
        <f t="shared" ref="X6:X12" si="2">(N6-Q6*(1+LN(Tref)))/(R_constant*LN(10))</f>
        <v>0.13545163897615944</v>
      </c>
      <c r="Y6" s="43"/>
      <c r="Z6" s="1"/>
      <c r="AA6" s="1"/>
      <c r="AB6" s="43">
        <f t="shared" ref="AB6:AB12" si="3">(Q6*Tref-K6*1000)/(R_constant*LN(10))</f>
        <v>-2851.9394061607413</v>
      </c>
      <c r="AC6" s="43"/>
      <c r="AD6" s="1">
        <f t="shared" ref="AD6:AD12" si="4">Q6/(R_constant*LN(10))</f>
        <v>0</v>
      </c>
      <c r="AF6" s="3">
        <f t="shared" ref="AF6:AF17" si="5">X6+AB6/Tref+AD6*LN(Tref)</f>
        <v>-9.43</v>
      </c>
    </row>
    <row r="7" spans="1:32" x14ac:dyDescent="0.35">
      <c r="B7" s="3" t="s">
        <v>923</v>
      </c>
      <c r="C7" s="3" t="s">
        <v>923</v>
      </c>
      <c r="D7" s="3" t="s">
        <v>930</v>
      </c>
      <c r="E7" s="3" t="s">
        <v>247</v>
      </c>
      <c r="F7" s="76">
        <v>-20.52</v>
      </c>
      <c r="G7" s="18">
        <v>0.08</v>
      </c>
      <c r="H7" s="3" t="str">
        <f>Ref!$A$4</f>
        <v>2023HUM/THO</v>
      </c>
      <c r="I7" s="29">
        <f t="shared" si="0"/>
        <v>117.12902247446013</v>
      </c>
      <c r="J7" s="106" t="s">
        <v>956</v>
      </c>
      <c r="K7" s="76">
        <v>115.4</v>
      </c>
      <c r="L7" s="18">
        <v>1</v>
      </c>
      <c r="M7" s="3" t="str">
        <f>Ref!$A$4</f>
        <v>2023HUM/THO</v>
      </c>
      <c r="N7" s="16">
        <f t="shared" si="1"/>
        <v>-5.7991697952712506</v>
      </c>
      <c r="P7" s="107" t="s">
        <v>956</v>
      </c>
      <c r="Q7" s="79">
        <v>0</v>
      </c>
      <c r="R7" s="18"/>
      <c r="S7" s="3" t="str">
        <f>Ref!$A$4</f>
        <v>2023HUM/THO</v>
      </c>
      <c r="T7" s="3">
        <v>298</v>
      </c>
      <c r="U7" s="3">
        <f t="shared" ref="U7:U12" si="6">300+273</f>
        <v>573</v>
      </c>
      <c r="V7" s="3" t="s">
        <v>936</v>
      </c>
      <c r="X7" s="43">
        <f t="shared" si="2"/>
        <v>-0.30290990590020511</v>
      </c>
      <c r="Y7" s="43"/>
      <c r="Z7" s="1"/>
      <c r="AA7" s="1"/>
      <c r="AB7" s="43">
        <f t="shared" si="3"/>
        <v>-6027.7254115558526</v>
      </c>
      <c r="AC7" s="43"/>
      <c r="AD7" s="1">
        <f t="shared" si="4"/>
        <v>0</v>
      </c>
      <c r="AF7" s="3">
        <f t="shared" si="5"/>
        <v>-20.519999999999996</v>
      </c>
    </row>
    <row r="8" spans="1:32" x14ac:dyDescent="0.35">
      <c r="B8" s="3" t="s">
        <v>924</v>
      </c>
      <c r="C8" s="3" t="s">
        <v>924</v>
      </c>
      <c r="D8" s="3" t="s">
        <v>924</v>
      </c>
      <c r="E8" s="3" t="s">
        <v>247</v>
      </c>
      <c r="F8" s="76">
        <v>-32.68</v>
      </c>
      <c r="G8" s="18">
        <v>0.15</v>
      </c>
      <c r="H8" s="3" t="str">
        <f>Ref!$A$4</f>
        <v>2023HUM/THO</v>
      </c>
      <c r="I8" s="29">
        <f t="shared" si="0"/>
        <v>186.5388135704365</v>
      </c>
      <c r="J8" s="106" t="s">
        <v>956</v>
      </c>
      <c r="K8" s="76">
        <v>140.30000000000001</v>
      </c>
      <c r="L8" s="18">
        <v>2.2000000000000002</v>
      </c>
      <c r="M8" s="3" t="str">
        <f>Ref!$A$4</f>
        <v>2023HUM/THO</v>
      </c>
      <c r="N8" s="16">
        <f t="shared" si="1"/>
        <v>-155.08574063537313</v>
      </c>
      <c r="P8" s="107" t="s">
        <v>956</v>
      </c>
      <c r="Q8" s="79">
        <v>0</v>
      </c>
      <c r="R8" s="18"/>
      <c r="S8" s="3" t="str">
        <f>Ref!$A$4</f>
        <v>2023HUM/THO</v>
      </c>
      <c r="T8" s="3">
        <v>298</v>
      </c>
      <c r="U8" s="3">
        <f t="shared" si="6"/>
        <v>573</v>
      </c>
      <c r="V8" s="3" t="s">
        <v>937</v>
      </c>
      <c r="X8" s="43">
        <f>(N8-Q8*(1+LN(Tref)))/(R_constant*LN(10))</f>
        <v>-8.1006434991143745</v>
      </c>
      <c r="Y8" s="43"/>
      <c r="Z8" s="1"/>
      <c r="AA8" s="1"/>
      <c r="AB8" s="43">
        <f>(Q8*Tref-K8*1000)/(R_constant*LN(10))</f>
        <v>-7328.3351407390483</v>
      </c>
      <c r="AC8" s="43"/>
      <c r="AD8" s="1">
        <f t="shared" si="4"/>
        <v>0</v>
      </c>
      <c r="AF8" s="3">
        <f t="shared" si="5"/>
        <v>-32.68</v>
      </c>
    </row>
    <row r="9" spans="1:32" x14ac:dyDescent="0.35">
      <c r="A9" s="3" t="s">
        <v>925</v>
      </c>
      <c r="B9" s="3" t="s">
        <v>926</v>
      </c>
      <c r="C9" s="3" t="s">
        <v>926</v>
      </c>
      <c r="D9" s="3" t="s">
        <v>931</v>
      </c>
      <c r="E9" s="3" t="s">
        <v>247</v>
      </c>
      <c r="F9" s="18">
        <v>-2.2000000000000002</v>
      </c>
      <c r="G9" s="18">
        <v>0.02</v>
      </c>
      <c r="H9" s="3" t="str">
        <f>Ref!$A$4</f>
        <v>2023HUM/THO</v>
      </c>
      <c r="I9" s="29">
        <f t="shared" si="0"/>
        <v>12.557692468022042</v>
      </c>
      <c r="J9" s="106" t="s">
        <v>956</v>
      </c>
      <c r="K9" s="76">
        <v>43.3</v>
      </c>
      <c r="L9" s="18">
        <v>0.6</v>
      </c>
      <c r="M9" s="3" t="str">
        <f>Ref!$A$4</f>
        <v>2023HUM/THO</v>
      </c>
      <c r="N9" s="16">
        <f t="shared" si="1"/>
        <v>103.11020470225712</v>
      </c>
      <c r="P9" s="107" t="s">
        <v>956</v>
      </c>
      <c r="Q9" s="79">
        <v>0</v>
      </c>
      <c r="R9" s="18"/>
      <c r="S9" s="3" t="str">
        <f>Ref!$A$4</f>
        <v>2023HUM/THO</v>
      </c>
      <c r="T9" s="3">
        <v>298</v>
      </c>
      <c r="U9" s="3">
        <f t="shared" si="6"/>
        <v>573</v>
      </c>
      <c r="V9" s="3" t="s">
        <v>939</v>
      </c>
      <c r="X9" s="43">
        <f t="shared" si="2"/>
        <v>5.3857885708364037</v>
      </c>
      <c r="Y9" s="43"/>
      <c r="Z9" s="1"/>
      <c r="AA9" s="1"/>
      <c r="AB9" s="43">
        <f>(Q9*Tref-K9*1000)/(R_constant*LN(10))</f>
        <v>-2261.7028623948736</v>
      </c>
      <c r="AC9" s="43"/>
      <c r="AD9" s="1">
        <f t="shared" si="4"/>
        <v>0</v>
      </c>
      <c r="AF9" s="3">
        <f t="shared" si="5"/>
        <v>-2.2000000000000002</v>
      </c>
    </row>
    <row r="10" spans="1:32" x14ac:dyDescent="0.35">
      <c r="B10" s="3" t="s">
        <v>927</v>
      </c>
      <c r="C10" s="3" t="s">
        <v>927</v>
      </c>
      <c r="D10" s="3" t="s">
        <v>932</v>
      </c>
      <c r="E10" s="3" t="s">
        <v>247</v>
      </c>
      <c r="F10" s="18">
        <v>-5.71</v>
      </c>
      <c r="G10" s="18">
        <v>0.1</v>
      </c>
      <c r="H10" s="3" t="str">
        <f>Ref!$A$4</f>
        <v>2023HUM/THO</v>
      </c>
      <c r="I10" s="29">
        <f t="shared" si="0"/>
        <v>32.592919996548112</v>
      </c>
      <c r="J10" s="106" t="s">
        <v>956</v>
      </c>
      <c r="K10" s="77">
        <v>113.1</v>
      </c>
      <c r="L10" s="78">
        <f>SQRT(L8^2+L7^2+L4^2+L3^2)</f>
        <v>3.2684716665304845</v>
      </c>
      <c r="M10" s="42" t="str">
        <f>Ref!$A$29</f>
        <v>2025MIR</v>
      </c>
      <c r="N10" s="16">
        <f t="shared" si="1"/>
        <v>270.02206943971788</v>
      </c>
      <c r="P10" s="107" t="s">
        <v>956</v>
      </c>
      <c r="Q10" s="79">
        <v>0</v>
      </c>
      <c r="R10" s="18"/>
      <c r="S10" s="11" t="str">
        <f>Ref!$A$29</f>
        <v>2025MIR</v>
      </c>
      <c r="T10" s="3">
        <v>298</v>
      </c>
      <c r="U10" s="3">
        <v>573</v>
      </c>
      <c r="V10" s="3" t="s">
        <v>940</v>
      </c>
      <c r="X10" s="43">
        <f t="shared" si="2"/>
        <v>14.10414982359347</v>
      </c>
      <c r="Y10" s="43"/>
      <c r="Z10" s="1"/>
      <c r="AA10" s="1"/>
      <c r="AB10" s="43">
        <f t="shared" si="3"/>
        <v>-5907.5887699043933</v>
      </c>
      <c r="AC10" s="43"/>
      <c r="AD10" s="1">
        <f t="shared" si="4"/>
        <v>0</v>
      </c>
      <c r="AF10" s="3">
        <f t="shared" si="5"/>
        <v>-5.7100000000000009</v>
      </c>
    </row>
    <row r="11" spans="1:32" x14ac:dyDescent="0.35">
      <c r="B11" s="3" t="s">
        <v>928</v>
      </c>
      <c r="C11" s="3" t="s">
        <v>928</v>
      </c>
      <c r="D11" s="3" t="s">
        <v>934</v>
      </c>
      <c r="E11" s="3" t="s">
        <v>247</v>
      </c>
      <c r="F11" s="18">
        <v>-12.26</v>
      </c>
      <c r="G11" s="18">
        <v>0.26</v>
      </c>
      <c r="H11" s="3" t="str">
        <f>Ref!$A$4</f>
        <v>2023HUM/THO</v>
      </c>
      <c r="I11" s="29">
        <f t="shared" si="0"/>
        <v>69.980595299068284</v>
      </c>
      <c r="J11" s="106" t="s">
        <v>956</v>
      </c>
      <c r="K11" s="76">
        <v>146.30000000000001</v>
      </c>
      <c r="L11" s="18">
        <v>4.8</v>
      </c>
      <c r="M11" s="3" t="str">
        <f>Ref!$A$4</f>
        <v>2023HUM/THO</v>
      </c>
      <c r="N11" s="16">
        <f t="shared" si="1"/>
        <v>255.97653765195955</v>
      </c>
      <c r="P11" s="107" t="s">
        <v>956</v>
      </c>
      <c r="Q11" s="79">
        <v>-150</v>
      </c>
      <c r="R11" s="18">
        <v>43</v>
      </c>
      <c r="S11" s="3" t="str">
        <f>Ref!$A$4</f>
        <v>2023HUM/THO</v>
      </c>
      <c r="T11" s="3">
        <v>298</v>
      </c>
      <c r="U11" s="3">
        <f t="shared" si="6"/>
        <v>573</v>
      </c>
      <c r="V11" s="3" t="s">
        <v>941</v>
      </c>
      <c r="X11" s="43">
        <f t="shared" si="2"/>
        <v>65.846164372488275</v>
      </c>
      <c r="Y11" s="43"/>
      <c r="Z11" s="1"/>
      <c r="AA11" s="1"/>
      <c r="AB11" s="43">
        <f t="shared" si="3"/>
        <v>-9977.7398390721646</v>
      </c>
      <c r="AC11" s="43"/>
      <c r="AD11" s="1">
        <f>Q11/(R_constant*LN(10))</f>
        <v>-7.8349983685734657</v>
      </c>
      <c r="AF11" s="3">
        <f t="shared" si="5"/>
        <v>-12.259999999999991</v>
      </c>
    </row>
    <row r="12" spans="1:32" x14ac:dyDescent="0.35">
      <c r="B12" s="3" t="s">
        <v>929</v>
      </c>
      <c r="C12" s="3" t="s">
        <v>929</v>
      </c>
      <c r="D12" s="3" t="s">
        <v>933</v>
      </c>
      <c r="E12" s="3" t="s">
        <v>247</v>
      </c>
      <c r="F12" s="18">
        <v>-21.6</v>
      </c>
      <c r="G12" s="18">
        <v>0.23</v>
      </c>
      <c r="H12" s="3" t="str">
        <f>Ref!$A$4</f>
        <v>2023HUM/THO</v>
      </c>
      <c r="I12" s="29">
        <f t="shared" si="0"/>
        <v>123.29370786785277</v>
      </c>
      <c r="J12" s="106" t="s">
        <v>956</v>
      </c>
      <c r="K12" s="76">
        <v>146.80000000000001</v>
      </c>
      <c r="L12" s="18">
        <v>1.8</v>
      </c>
      <c r="M12" s="3" t="str">
        <f>Ref!$A$4</f>
        <v>2023HUM/THO</v>
      </c>
      <c r="N12" s="16">
        <f t="shared" si="1"/>
        <v>78.840490129623475</v>
      </c>
      <c r="P12" s="107" t="s">
        <v>956</v>
      </c>
      <c r="Q12" s="79">
        <v>0</v>
      </c>
      <c r="R12" s="18"/>
      <c r="S12" s="3" t="str">
        <f>Ref!$A$4</f>
        <v>2023HUM/THO</v>
      </c>
      <c r="T12" s="3">
        <v>298</v>
      </c>
      <c r="U12" s="3">
        <f t="shared" si="6"/>
        <v>573</v>
      </c>
      <c r="V12" s="3" t="s">
        <v>942</v>
      </c>
      <c r="X12" s="43">
        <f t="shared" si="2"/>
        <v>4.1181007436208823</v>
      </c>
      <c r="Y12" s="43"/>
      <c r="Z12" s="1"/>
      <c r="AA12" s="1"/>
      <c r="AB12" s="43">
        <f t="shared" si="3"/>
        <v>-7667.8517367105651</v>
      </c>
      <c r="AC12" s="43"/>
      <c r="AD12" s="1">
        <f t="shared" si="4"/>
        <v>0</v>
      </c>
      <c r="AF12" s="3">
        <f t="shared" si="5"/>
        <v>-21.599999999999998</v>
      </c>
    </row>
    <row r="13" spans="1:32" x14ac:dyDescent="0.35">
      <c r="A13" s="3" t="s">
        <v>138</v>
      </c>
      <c r="B13" s="3" t="s">
        <v>257</v>
      </c>
      <c r="C13" s="3" t="s">
        <v>257</v>
      </c>
      <c r="D13" s="3" t="s">
        <v>257</v>
      </c>
      <c r="E13" s="3" t="s">
        <v>247</v>
      </c>
      <c r="F13" s="17">
        <f>X13+Z13*'Read me'!$E$8+AB13/'Read me'!$E$8+'aqueous ReacDC'!AD13*LN('Read me'!$E$8)</f>
        <v>4.1967206070769745</v>
      </c>
      <c r="G13" s="75">
        <f>SQRT(Y13^2+(AA13*'Read me'!$E$8)^2+(AC13/'Read me'!$E$8)^2+('aqueous ReacDC'!AE13*LN('Read me'!$E$8))^2)</f>
        <v>6.7663209680295142E-2</v>
      </c>
      <c r="H13" t="s">
        <v>27</v>
      </c>
      <c r="I13" s="29">
        <f t="shared" si="0"/>
        <v>-23.955057617219737</v>
      </c>
      <c r="J13" s="106" t="s">
        <v>956</v>
      </c>
      <c r="K13" s="17">
        <f>-AB13*'Read me'!$E$7*LN(10)/1000</f>
        <v>-26.498218663675434</v>
      </c>
      <c r="L13" s="17">
        <f>SQRT((-AC13*'Read me'!$E$7*LN(10))^2)/1000</f>
        <v>0.2741544923117949</v>
      </c>
      <c r="M13" t="s">
        <v>27</v>
      </c>
      <c r="N13" s="16">
        <f t="shared" si="1"/>
        <v>-8.5298039458517447</v>
      </c>
      <c r="O13" s="40">
        <f>'Read me'!$E$7*LN(10)*SQRT(Y13^2+(2*Z13*298.15)^2+(AE13*(1+LN(298.15)))^2)</f>
        <v>0.91244435080866948</v>
      </c>
      <c r="P13" s="107" t="s">
        <v>956</v>
      </c>
      <c r="Q13" s="18">
        <f>'Read me'!$E$7*LN(10)*(AD13)</f>
        <v>0</v>
      </c>
      <c r="R13" s="18"/>
      <c r="S13" t="s">
        <v>27</v>
      </c>
      <c r="T13" s="3">
        <v>273</v>
      </c>
      <c r="U13" s="3">
        <f>273+250</f>
        <v>523</v>
      </c>
      <c r="V13" t="s">
        <v>258</v>
      </c>
      <c r="X13" s="30">
        <v>-0.44553999999999999</v>
      </c>
      <c r="Y13" s="30">
        <v>4.7660000000000001E-2</v>
      </c>
      <c r="Z13" s="1"/>
      <c r="AA13" s="1"/>
      <c r="AB13" s="30">
        <v>1384.09</v>
      </c>
      <c r="AC13" s="30">
        <v>14.32</v>
      </c>
      <c r="AD13" s="1"/>
      <c r="AF13" s="16">
        <f t="shared" si="5"/>
        <v>4.1967206070769745</v>
      </c>
    </row>
    <row r="14" spans="1:32" x14ac:dyDescent="0.35">
      <c r="B14" s="3" t="s">
        <v>259</v>
      </c>
      <c r="C14" s="3" t="s">
        <v>259</v>
      </c>
      <c r="D14" s="3" t="s">
        <v>259</v>
      </c>
      <c r="E14" s="3" t="s">
        <v>247</v>
      </c>
      <c r="F14" s="18">
        <v>4.8390000000000004</v>
      </c>
      <c r="G14" s="18">
        <v>8.4000000000000005E-2</v>
      </c>
      <c r="H14" s="111" t="str">
        <f>Ref!$A$29</f>
        <v>2025MIR</v>
      </c>
      <c r="I14" s="29">
        <f t="shared" si="0"/>
        <v>-27.621215387617575</v>
      </c>
      <c r="J14" s="106" t="s">
        <v>956</v>
      </c>
      <c r="K14" s="18">
        <f>-56549/1000</f>
        <v>-56.548999999999999</v>
      </c>
      <c r="L14" s="18">
        <v>5</v>
      </c>
      <c r="M14" s="111" t="str">
        <f>Ref!$A$29</f>
        <v>2025MIR</v>
      </c>
      <c r="N14" s="16">
        <f t="shared" si="1"/>
        <v>-97.024265008829204</v>
      </c>
      <c r="O14" s="3">
        <v>18</v>
      </c>
      <c r="P14" s="107" t="s">
        <v>956</v>
      </c>
      <c r="Q14" s="18">
        <v>0</v>
      </c>
      <c r="R14" s="18"/>
      <c r="S14" s="116" t="str">
        <f>Ref!$A$29</f>
        <v>2025MIR</v>
      </c>
      <c r="T14" s="3">
        <v>273</v>
      </c>
      <c r="U14" s="3">
        <f>273+150</f>
        <v>423</v>
      </c>
      <c r="V14" s="3" t="s">
        <v>260</v>
      </c>
      <c r="X14" s="43">
        <v>-5.0682900000000028</v>
      </c>
      <c r="Y14" s="43"/>
      <c r="Z14" s="1"/>
      <c r="AA14" s="1"/>
      <c r="AB14" s="43">
        <v>2953.7400000000002</v>
      </c>
      <c r="AC14" s="43"/>
      <c r="AD14" s="1"/>
      <c r="AF14" s="16">
        <f t="shared" si="5"/>
        <v>4.8386025037732665</v>
      </c>
    </row>
    <row r="15" spans="1:32" x14ac:dyDescent="0.35">
      <c r="B15" s="3" t="s">
        <v>219</v>
      </c>
      <c r="C15" s="3" t="s">
        <v>219</v>
      </c>
      <c r="D15" s="3" t="s">
        <v>220</v>
      </c>
      <c r="E15" s="3" t="s">
        <v>221</v>
      </c>
      <c r="F15" s="97">
        <v>4</v>
      </c>
      <c r="G15" s="97">
        <v>0.1</v>
      </c>
      <c r="H15" s="3" t="s">
        <v>53</v>
      </c>
      <c r="I15" s="29">
        <f t="shared" si="0"/>
        <v>-22.832168123676439</v>
      </c>
      <c r="J15" s="106" t="s">
        <v>956</v>
      </c>
      <c r="M15" s="108" t="s">
        <v>956</v>
      </c>
      <c r="N15" s="118"/>
      <c r="O15" s="118"/>
      <c r="P15" s="119" t="s">
        <v>956</v>
      </c>
      <c r="Q15" s="118"/>
      <c r="S15" s="109" t="s">
        <v>956</v>
      </c>
      <c r="T15" s="3">
        <v>298</v>
      </c>
      <c r="U15" s="3">
        <v>373</v>
      </c>
      <c r="V15" s="3" t="s">
        <v>261</v>
      </c>
      <c r="AF15" s="16"/>
    </row>
    <row r="16" spans="1:32" x14ac:dyDescent="0.35">
      <c r="B16" s="3" t="s">
        <v>963</v>
      </c>
      <c r="C16" s="3" t="s">
        <v>963</v>
      </c>
      <c r="D16" s="3" t="s">
        <v>964</v>
      </c>
      <c r="E16" s="3" t="s">
        <v>247</v>
      </c>
      <c r="F16" s="16">
        <f>X16+Z16*Tref+AB16/Tref+'aqueous ReacDC'!AD16*LN(Tref)</f>
        <v>119.13446612979868</v>
      </c>
      <c r="H16" s="106" t="s">
        <v>956</v>
      </c>
      <c r="I16" s="29">
        <f>'aqueous DComp'!E23+3*'aqueous DComp'!E3-(8*'aqueous DComp'!E2+'aqueous DComp'!E15)</f>
        <v>-680.024</v>
      </c>
      <c r="J16" s="106" t="s">
        <v>956</v>
      </c>
      <c r="K16" s="117">
        <f>'aqueous DComp'!H23+3*'aqueous DComp'!H3-(8*'aqueous DComp'!H2+'aqueous DComp'!H15)</f>
        <v>-783.9</v>
      </c>
      <c r="L16" s="16"/>
      <c r="M16" s="106" t="s">
        <v>956</v>
      </c>
      <c r="N16" s="29">
        <f>'aqueous DComp'!K23+3*'aqueous DComp'!K3-(8*'aqueous DComp'!K2+'aqueous DComp'!K15)</f>
        <v>-348.40000000000003</v>
      </c>
      <c r="P16" s="106" t="s">
        <v>956</v>
      </c>
      <c r="Q16" s="29">
        <f>'aqueous DComp'!N23+3*'aqueous DComp'!N3-(8*'aqueous DComp'!N2+'aqueous DComp'!N15)</f>
        <v>245.04400000000001</v>
      </c>
      <c r="S16" s="110" t="s">
        <v>956</v>
      </c>
      <c r="T16" s="3">
        <v>272</v>
      </c>
      <c r="U16" s="3">
        <f>250+273</f>
        <v>523</v>
      </c>
      <c r="V16" s="3" t="s">
        <v>966</v>
      </c>
      <c r="X16" s="43">
        <f>(N16-Q16*(1+LN(Tref)))/(R_constant*LN(10))</f>
        <v>-103.92372599256313</v>
      </c>
      <c r="Y16" s="43"/>
      <c r="Z16" s="1"/>
      <c r="AA16" s="1"/>
      <c r="AB16" s="43">
        <f>(Q16*Tref-K16*1000)/(R_constant*LN(10))</f>
        <v>44761.861149426215</v>
      </c>
      <c r="AC16" s="43"/>
      <c r="AD16" s="1">
        <f t="shared" ref="AD16:AD17" si="7">Q16/(R_constant*LN(10))</f>
        <v>12.799462268191443</v>
      </c>
      <c r="AF16" s="16"/>
    </row>
    <row r="17" spans="2:32" x14ac:dyDescent="0.35">
      <c r="B17" s="3" t="s">
        <v>1076</v>
      </c>
      <c r="C17" s="3" t="s">
        <v>1076</v>
      </c>
      <c r="D17" s="3" t="s">
        <v>1077</v>
      </c>
      <c r="F17" s="18">
        <v>6.3520000000000003</v>
      </c>
      <c r="G17" s="18">
        <v>0.05</v>
      </c>
      <c r="H17" s="3" t="str">
        <f>Ref!$A$4</f>
        <v>2023HUM/THO</v>
      </c>
      <c r="I17" s="29">
        <f t="shared" si="0"/>
        <v>-36.257482980398187</v>
      </c>
      <c r="J17" s="106" t="s">
        <v>956</v>
      </c>
      <c r="K17" s="80">
        <v>-9.109</v>
      </c>
      <c r="L17" s="18">
        <v>0.3</v>
      </c>
      <c r="M17" s="3" t="str">
        <f>Ref!$A$4</f>
        <v>2023HUM/THO</v>
      </c>
      <c r="N17" s="17">
        <v>91.06</v>
      </c>
      <c r="O17" s="18">
        <v>1</v>
      </c>
      <c r="P17" s="106" t="s">
        <v>956</v>
      </c>
      <c r="Q17" s="18">
        <v>311.65800000000002</v>
      </c>
      <c r="R17" s="18">
        <v>10</v>
      </c>
      <c r="S17" s="116" t="str">
        <f>Ref!$A$29</f>
        <v>2025MIR</v>
      </c>
      <c r="T17" s="3">
        <v>273</v>
      </c>
      <c r="U17" s="3">
        <f>250+273</f>
        <v>523</v>
      </c>
      <c r="V17" s="3" t="s">
        <v>1078</v>
      </c>
      <c r="X17" s="43">
        <f t="shared" ref="X17" si="8">(N17-Q17*(1+LN(Tref)))/(R_constant*LN(10))</f>
        <v>-104.2733605806383</v>
      </c>
      <c r="Y17" s="43"/>
      <c r="Z17" s="1"/>
      <c r="AA17" s="1"/>
      <c r="AB17" s="43">
        <f>(Q17*Tref-K17*1000)/(R_constant*LN(10))</f>
        <v>5329.3571516688244</v>
      </c>
      <c r="AC17" s="43"/>
      <c r="AD17" s="1">
        <f t="shared" si="7"/>
        <v>16.278932810352462</v>
      </c>
      <c r="AF17" s="16">
        <f t="shared" si="5"/>
        <v>6.3521850055756488</v>
      </c>
    </row>
    <row r="76" spans="1:59" x14ac:dyDescent="0.3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</row>
    <row r="77" spans="1:59" x14ac:dyDescent="0.35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</row>
    <row r="78" spans="1:59" x14ac:dyDescent="0.35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</row>
    <row r="79" spans="1:59" x14ac:dyDescent="0.35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</row>
    <row r="80" spans="1:59" x14ac:dyDescent="0.35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</row>
    <row r="81" spans="1:59" x14ac:dyDescent="0.35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</row>
    <row r="82" spans="1:59" x14ac:dyDescent="0.35">
      <c r="A82" s="99"/>
      <c r="B82" s="100"/>
      <c r="C82" s="100"/>
      <c r="D82" s="100"/>
      <c r="E82" s="100"/>
      <c r="F82" s="100"/>
      <c r="G82" s="100"/>
      <c r="H82" s="98"/>
      <c r="I82" s="98"/>
      <c r="J82" s="98"/>
      <c r="K82" s="100"/>
      <c r="L82" s="100"/>
      <c r="M82" s="98"/>
      <c r="N82" s="98"/>
      <c r="O82" s="98"/>
      <c r="P82" s="98"/>
      <c r="Q82" s="101"/>
      <c r="R82" s="101"/>
      <c r="S82" s="101"/>
      <c r="T82" s="101"/>
      <c r="U82" s="101"/>
      <c r="V82" s="101"/>
      <c r="W82" s="100"/>
      <c r="X82" s="98"/>
      <c r="Y82" s="100"/>
      <c r="Z82" s="100"/>
      <c r="AA82" s="100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</row>
    <row r="83" spans="1:59" x14ac:dyDescent="0.35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102"/>
      <c r="R83" s="98"/>
      <c r="S83" s="98"/>
      <c r="T83" s="98"/>
      <c r="U83" s="102"/>
      <c r="V83" s="102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</row>
    <row r="84" spans="1:59" x14ac:dyDescent="0.35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102"/>
      <c r="R84" s="98"/>
      <c r="S84" s="98"/>
      <c r="T84" s="98"/>
      <c r="U84" s="102"/>
      <c r="V84" s="102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</row>
    <row r="85" spans="1:59" x14ac:dyDescent="0.3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102"/>
      <c r="R85" s="98"/>
      <c r="S85" s="98"/>
      <c r="T85" s="98"/>
      <c r="U85" s="102"/>
      <c r="V85" s="102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</row>
    <row r="86" spans="1:59" x14ac:dyDescent="0.35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102"/>
      <c r="R86" s="98"/>
      <c r="S86" s="98"/>
      <c r="T86" s="98"/>
      <c r="U86" s="102"/>
      <c r="V86" s="102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</row>
    <row r="87" spans="1:59" x14ac:dyDescent="0.35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102"/>
      <c r="R87" s="98"/>
      <c r="S87" s="98"/>
      <c r="T87" s="98"/>
      <c r="U87" s="102"/>
      <c r="V87" s="102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</row>
    <row r="88" spans="1:59" x14ac:dyDescent="0.35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102"/>
      <c r="R88" s="98"/>
      <c r="S88" s="98"/>
      <c r="T88" s="98"/>
      <c r="U88" s="102"/>
      <c r="V88" s="102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</row>
    <row r="89" spans="1:59" x14ac:dyDescent="0.35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102"/>
      <c r="R89" s="98"/>
      <c r="S89" s="98"/>
      <c r="T89" s="98"/>
      <c r="U89" s="102"/>
      <c r="V89" s="102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</row>
    <row r="90" spans="1:59" x14ac:dyDescent="0.35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102"/>
      <c r="R90" s="98"/>
      <c r="S90" s="98"/>
      <c r="T90" s="98"/>
      <c r="U90" s="102"/>
      <c r="V90" s="102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</row>
    <row r="91" spans="1:59" x14ac:dyDescent="0.35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102"/>
      <c r="R91" s="98"/>
      <c r="S91" s="98"/>
      <c r="T91" s="98"/>
      <c r="U91" s="102"/>
      <c r="V91" s="102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</row>
    <row r="92" spans="1:59" x14ac:dyDescent="0.35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102"/>
      <c r="R92" s="98"/>
      <c r="S92" s="98"/>
      <c r="T92" s="98"/>
      <c r="U92" s="102"/>
      <c r="V92" s="102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</row>
    <row r="93" spans="1:59" x14ac:dyDescent="0.35">
      <c r="A93" s="98"/>
      <c r="B93" s="100"/>
      <c r="C93" s="100"/>
      <c r="D93" s="100"/>
      <c r="E93" s="100"/>
      <c r="F93" s="100"/>
      <c r="G93" s="100"/>
      <c r="H93" s="98"/>
      <c r="I93" s="98"/>
      <c r="J93" s="98"/>
      <c r="K93" s="100"/>
      <c r="L93" s="100"/>
      <c r="M93" s="98"/>
      <c r="N93" s="98"/>
      <c r="O93" s="98"/>
      <c r="P93" s="98"/>
      <c r="Q93" s="102"/>
      <c r="R93" s="101"/>
      <c r="S93" s="101"/>
      <c r="T93" s="101"/>
      <c r="U93" s="101"/>
      <c r="V93" s="101"/>
      <c r="W93" s="100"/>
      <c r="X93" s="98"/>
      <c r="Y93" s="100"/>
      <c r="Z93" s="100"/>
      <c r="AA93" s="100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</row>
    <row r="94" spans="1:59" x14ac:dyDescent="0.35">
      <c r="A94" s="98"/>
      <c r="B94" s="98"/>
      <c r="C94" s="98"/>
      <c r="D94" s="98"/>
      <c r="E94" s="98"/>
      <c r="F94" s="103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102"/>
      <c r="R94" s="102"/>
      <c r="S94" s="102"/>
      <c r="T94" s="102"/>
      <c r="U94" s="102"/>
      <c r="V94" s="102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</row>
    <row r="95" spans="1:59" x14ac:dyDescent="0.3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102"/>
      <c r="R95" s="102"/>
      <c r="S95" s="102"/>
      <c r="T95" s="102"/>
      <c r="U95" s="102"/>
      <c r="V95" s="102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</row>
    <row r="96" spans="1:59" x14ac:dyDescent="0.35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102"/>
      <c r="R96" s="102"/>
      <c r="S96" s="102"/>
      <c r="T96" s="102"/>
      <c r="U96" s="102"/>
      <c r="V96" s="102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</row>
    <row r="97" spans="1:59" x14ac:dyDescent="0.35">
      <c r="A97" s="98"/>
      <c r="B97" s="100"/>
      <c r="C97" s="100"/>
      <c r="D97" s="100"/>
      <c r="E97" s="100"/>
      <c r="F97" s="100"/>
      <c r="G97" s="100"/>
      <c r="H97" s="98"/>
      <c r="I97" s="98"/>
      <c r="J97" s="98"/>
      <c r="K97" s="98"/>
      <c r="L97" s="98"/>
      <c r="M97" s="98"/>
      <c r="N97" s="98"/>
      <c r="O97" s="98"/>
      <c r="P97" s="98"/>
      <c r="Q97" s="102"/>
      <c r="R97" s="101"/>
      <c r="S97" s="101"/>
      <c r="T97" s="101"/>
      <c r="U97" s="101"/>
      <c r="V97" s="101"/>
      <c r="W97" s="100"/>
      <c r="X97" s="98"/>
      <c r="Y97" s="100"/>
      <c r="Z97" s="100"/>
      <c r="AA97" s="100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</row>
    <row r="98" spans="1:59" x14ac:dyDescent="0.35">
      <c r="A98" s="98"/>
      <c r="B98" s="100"/>
      <c r="C98" s="100"/>
      <c r="D98" s="100"/>
      <c r="E98" s="100"/>
      <c r="F98" s="100"/>
      <c r="G98" s="100"/>
      <c r="H98" s="98"/>
      <c r="I98" s="98"/>
      <c r="J98" s="98"/>
      <c r="K98" s="98"/>
      <c r="L98" s="98"/>
      <c r="M98" s="98"/>
      <c r="N98" s="98"/>
      <c r="O98" s="98"/>
      <c r="P98" s="98"/>
      <c r="Q98" s="102"/>
      <c r="R98" s="101"/>
      <c r="S98" s="101"/>
      <c r="T98" s="101"/>
      <c r="U98" s="101"/>
      <c r="V98" s="101"/>
      <c r="W98" s="100"/>
      <c r="X98" s="98"/>
      <c r="Y98" s="100"/>
      <c r="Z98" s="100"/>
      <c r="AA98" s="100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</row>
    <row r="99" spans="1:59" x14ac:dyDescent="0.35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102"/>
      <c r="R99" s="102"/>
      <c r="S99" s="102"/>
      <c r="T99" s="102"/>
      <c r="U99" s="102"/>
      <c r="V99" s="102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</row>
    <row r="100" spans="1:59" x14ac:dyDescent="0.35">
      <c r="A100" s="99"/>
      <c r="B100" s="100"/>
      <c r="C100" s="100"/>
      <c r="D100" s="100"/>
      <c r="E100" s="100"/>
      <c r="F100" s="100"/>
      <c r="G100" s="100"/>
      <c r="H100" s="98"/>
      <c r="I100" s="98"/>
      <c r="J100" s="98"/>
      <c r="K100" s="100"/>
      <c r="L100" s="100"/>
      <c r="M100" s="98"/>
      <c r="N100" s="98"/>
      <c r="O100" s="98"/>
      <c r="P100" s="98"/>
      <c r="Q100" s="102"/>
      <c r="R100" s="101"/>
      <c r="S100" s="101"/>
      <c r="T100" s="101"/>
      <c r="U100" s="101"/>
      <c r="V100" s="101"/>
      <c r="W100" s="100"/>
      <c r="X100" s="98"/>
      <c r="Y100" s="100"/>
      <c r="Z100" s="100"/>
      <c r="AA100" s="100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</row>
    <row r="101" spans="1:59" x14ac:dyDescent="0.35">
      <c r="A101" s="99"/>
      <c r="B101" s="100"/>
      <c r="C101" s="100"/>
      <c r="D101" s="100"/>
      <c r="E101" s="100"/>
      <c r="F101" s="100"/>
      <c r="G101" s="100"/>
      <c r="H101" s="98"/>
      <c r="I101" s="98"/>
      <c r="J101" s="98"/>
      <c r="K101" s="100"/>
      <c r="L101" s="100"/>
      <c r="M101" s="98"/>
      <c r="N101" s="98"/>
      <c r="O101" s="98"/>
      <c r="P101" s="98"/>
      <c r="Q101" s="102"/>
      <c r="R101" s="101"/>
      <c r="S101" s="101"/>
      <c r="T101" s="101"/>
      <c r="U101" s="101"/>
      <c r="V101" s="101"/>
      <c r="W101" s="100"/>
      <c r="X101" s="98"/>
      <c r="Y101" s="100"/>
      <c r="Z101" s="100"/>
      <c r="AA101" s="100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</row>
    <row r="102" spans="1:59" x14ac:dyDescent="0.35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100"/>
      <c r="L102" s="100"/>
      <c r="M102" s="98"/>
      <c r="N102" s="98"/>
      <c r="O102" s="98"/>
      <c r="P102" s="98"/>
      <c r="Q102" s="102"/>
      <c r="R102" s="102"/>
      <c r="S102" s="102"/>
      <c r="T102" s="102"/>
      <c r="U102" s="102"/>
      <c r="V102" s="102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</row>
    <row r="103" spans="1:59" x14ac:dyDescent="0.35">
      <c r="A103" s="98"/>
      <c r="B103" s="100"/>
      <c r="C103" s="100"/>
      <c r="D103" s="100"/>
      <c r="E103" s="100"/>
      <c r="F103" s="104"/>
      <c r="G103" s="100"/>
      <c r="H103" s="98"/>
      <c r="I103" s="98"/>
      <c r="J103" s="98"/>
      <c r="K103" s="100"/>
      <c r="L103" s="100"/>
      <c r="M103" s="98"/>
      <c r="N103" s="98"/>
      <c r="O103" s="98"/>
      <c r="P103" s="98"/>
      <c r="Q103" s="102"/>
      <c r="R103" s="101"/>
      <c r="S103" s="101"/>
      <c r="T103" s="101"/>
      <c r="U103" s="101"/>
      <c r="V103" s="101"/>
      <c r="W103" s="100"/>
      <c r="X103" s="98"/>
      <c r="Y103" s="100"/>
      <c r="Z103" s="100"/>
      <c r="AA103" s="100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</row>
    <row r="104" spans="1:59" x14ac:dyDescent="0.35">
      <c r="A104" s="99"/>
      <c r="B104" s="100"/>
      <c r="C104" s="100"/>
      <c r="D104" s="100"/>
      <c r="E104" s="100"/>
      <c r="F104" s="100"/>
      <c r="G104" s="100"/>
      <c r="H104" s="98"/>
      <c r="I104" s="98"/>
      <c r="J104" s="98"/>
      <c r="K104" s="100"/>
      <c r="L104" s="100"/>
      <c r="M104" s="98"/>
      <c r="N104" s="98"/>
      <c r="O104" s="98"/>
      <c r="P104" s="98"/>
      <c r="Q104" s="102"/>
      <c r="R104" s="101"/>
      <c r="S104" s="101"/>
      <c r="T104" s="101"/>
      <c r="U104" s="101"/>
      <c r="V104" s="101"/>
      <c r="W104" s="100"/>
      <c r="X104" s="98"/>
      <c r="Y104" s="100"/>
      <c r="Z104" s="100"/>
      <c r="AA104" s="100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</row>
    <row r="105" spans="1:59" x14ac:dyDescent="0.35">
      <c r="A105" s="99"/>
      <c r="B105" s="100"/>
      <c r="C105" s="100"/>
      <c r="D105" s="100"/>
      <c r="E105" s="100"/>
      <c r="F105" s="100"/>
      <c r="G105" s="100"/>
      <c r="H105" s="98"/>
      <c r="I105" s="98"/>
      <c r="J105" s="98"/>
      <c r="K105" s="98"/>
      <c r="L105" s="98"/>
      <c r="M105" s="98"/>
      <c r="N105" s="98"/>
      <c r="O105" s="98"/>
      <c r="P105" s="98"/>
      <c r="Q105" s="102"/>
      <c r="R105" s="101"/>
      <c r="S105" s="101"/>
      <c r="T105" s="101"/>
      <c r="U105" s="101"/>
      <c r="V105" s="101"/>
      <c r="W105" s="100"/>
      <c r="X105" s="98"/>
      <c r="Y105" s="100"/>
      <c r="Z105" s="100"/>
      <c r="AA105" s="100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</row>
    <row r="106" spans="1:59" x14ac:dyDescent="0.35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</row>
    <row r="107" spans="1:59" x14ac:dyDescent="0.35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</row>
    <row r="108" spans="1:59" x14ac:dyDescent="0.3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</row>
    <row r="109" spans="1:59" x14ac:dyDescent="0.35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</row>
    <row r="110" spans="1:59" x14ac:dyDescent="0.35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</row>
  </sheetData>
  <phoneticPr fontId="11" type="noConversion"/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A615-15EA-465B-B1DD-01949A7878B8}">
  <dimension ref="B1:AMQ38"/>
  <sheetViews>
    <sheetView zoomScaleNormal="100" workbookViewId="0">
      <pane xSplit="3" topLeftCell="D1" activePane="topRight" state="frozen"/>
      <selection pane="topRight" activeCell="J8" sqref="J8"/>
    </sheetView>
  </sheetViews>
  <sheetFormatPr defaultColWidth="10.6640625" defaultRowHeight="15.5" x14ac:dyDescent="0.35"/>
  <cols>
    <col min="1" max="1" width="9.6640625" style="51" customWidth="1"/>
    <col min="2" max="2" width="15.08203125" style="51" customWidth="1"/>
    <col min="3" max="4" width="13.83203125" style="61" customWidth="1"/>
    <col min="5" max="5" width="17.1640625" style="61" customWidth="1"/>
    <col min="6" max="6" width="11.58203125" style="61" customWidth="1"/>
    <col min="7" max="7" width="13.08203125" style="61" bestFit="1" customWidth="1"/>
    <col min="8" max="8" width="13.1640625" style="61" customWidth="1"/>
    <col min="9" max="10" width="19" style="61" customWidth="1"/>
    <col min="11" max="11" width="13.1640625" style="61" customWidth="1"/>
    <col min="12" max="13" width="18.6640625" style="61" customWidth="1"/>
    <col min="14" max="14" width="13.1640625" style="61" customWidth="1"/>
    <col min="15" max="16" width="18.6640625" style="61" customWidth="1"/>
    <col min="17" max="17" width="14.1640625" style="61" customWidth="1"/>
    <col min="18" max="18" width="19.6640625" style="61" customWidth="1"/>
    <col min="19" max="19" width="13.1640625" style="61" customWidth="1"/>
    <col min="20" max="20" width="10.6640625" style="61"/>
    <col min="21" max="21" width="18.1640625" style="61" bestFit="1" customWidth="1"/>
    <col min="22" max="22" width="13.1640625" style="61" bestFit="1" customWidth="1"/>
    <col min="23" max="23" width="11.6640625" style="61" bestFit="1" customWidth="1"/>
    <col min="24" max="24" width="10.83203125" style="61" bestFit="1" customWidth="1"/>
    <col min="25" max="25" width="10.83203125" style="61" customWidth="1"/>
    <col min="26" max="26" width="10.83203125" style="61" bestFit="1" customWidth="1"/>
    <col min="27" max="27" width="10.83203125" style="61" customWidth="1"/>
    <col min="28" max="28" width="11" style="61" bestFit="1" customWidth="1"/>
    <col min="29" max="29" width="11" style="61" customWidth="1"/>
    <col min="30" max="30" width="11" style="61" bestFit="1" customWidth="1"/>
    <col min="31" max="31" width="11" style="61" customWidth="1"/>
    <col min="32" max="32" width="10.83203125" style="61" bestFit="1" customWidth="1"/>
    <col min="33" max="34" width="10.83203125" style="61" customWidth="1"/>
    <col min="35" max="37" width="10.6640625" style="61"/>
    <col min="38" max="38" width="11.83203125" style="61" customWidth="1"/>
    <col min="39" max="1031" width="10.6640625" style="61"/>
    <col min="1032" max="16384" width="10.6640625" style="51"/>
  </cols>
  <sheetData>
    <row r="1" spans="2:47" s="61" customFormat="1" x14ac:dyDescent="0.35">
      <c r="C1" s="61" t="s">
        <v>59</v>
      </c>
      <c r="D1" s="61" t="s">
        <v>60</v>
      </c>
      <c r="E1" s="61" t="s">
        <v>61</v>
      </c>
      <c r="F1" s="61" t="s">
        <v>262</v>
      </c>
      <c r="G1" s="61" t="s">
        <v>75</v>
      </c>
      <c r="H1" s="61" t="s">
        <v>65</v>
      </c>
      <c r="I1" s="61" t="s">
        <v>66</v>
      </c>
      <c r="J1" s="61" t="s">
        <v>143</v>
      </c>
      <c r="K1" s="61" t="s">
        <v>67</v>
      </c>
      <c r="L1" s="61" t="s">
        <v>68</v>
      </c>
      <c r="M1" s="61" t="s">
        <v>144</v>
      </c>
      <c r="N1" s="61" t="s">
        <v>69</v>
      </c>
      <c r="O1" s="61" t="s">
        <v>70</v>
      </c>
      <c r="P1" s="61" t="s">
        <v>71</v>
      </c>
      <c r="Q1" s="61" t="s">
        <v>72</v>
      </c>
      <c r="R1" s="61" t="s">
        <v>73</v>
      </c>
      <c r="S1" s="61" t="s">
        <v>145</v>
      </c>
      <c r="T1" s="61" t="s">
        <v>146</v>
      </c>
      <c r="U1" s="61" t="s">
        <v>147</v>
      </c>
      <c r="V1" s="61" t="s">
        <v>148</v>
      </c>
      <c r="W1" s="61" t="s">
        <v>263</v>
      </c>
      <c r="X1" s="61" t="s">
        <v>238</v>
      </c>
      <c r="Y1" s="61" t="s">
        <v>239</v>
      </c>
      <c r="Z1" s="61" t="s">
        <v>240</v>
      </c>
      <c r="AA1" s="61" t="s">
        <v>241</v>
      </c>
      <c r="AB1" s="61" t="s">
        <v>264</v>
      </c>
      <c r="AC1" s="61" t="s">
        <v>243</v>
      </c>
      <c r="AD1" s="61" t="s">
        <v>265</v>
      </c>
      <c r="AE1" s="61" t="s">
        <v>245</v>
      </c>
      <c r="AF1" s="61" t="s">
        <v>266</v>
      </c>
      <c r="AG1" s="61" t="s">
        <v>267</v>
      </c>
      <c r="AH1" s="61" t="s">
        <v>993</v>
      </c>
      <c r="AI1" s="61" t="s">
        <v>268</v>
      </c>
      <c r="AJ1" s="61" t="s">
        <v>269</v>
      </c>
      <c r="AL1" s="54" t="s">
        <v>6</v>
      </c>
      <c r="AM1" s="54" t="s">
        <v>2</v>
      </c>
      <c r="AN1" s="55" t="s">
        <v>952</v>
      </c>
      <c r="AO1" s="55"/>
      <c r="AP1" s="55"/>
      <c r="AQ1" s="55"/>
      <c r="AR1" s="55"/>
      <c r="AS1" s="55"/>
      <c r="AT1" s="55"/>
      <c r="AU1" s="55"/>
    </row>
    <row r="2" spans="2:47" s="61" customFormat="1" x14ac:dyDescent="0.35">
      <c r="B2" s="61" t="s">
        <v>138</v>
      </c>
      <c r="C2" s="64" t="s">
        <v>1019</v>
      </c>
      <c r="D2" s="61" t="s">
        <v>270</v>
      </c>
      <c r="E2" s="61" t="s">
        <v>271</v>
      </c>
      <c r="F2" s="61" t="s">
        <v>272</v>
      </c>
      <c r="G2" s="61" t="s">
        <v>247</v>
      </c>
      <c r="H2" s="65">
        <v>-856.28700000000003</v>
      </c>
      <c r="I2" s="52">
        <v>1.002</v>
      </c>
      <c r="J2" s="66" t="str">
        <f>Ref!$A$2</f>
        <v>1989COX/WAG</v>
      </c>
      <c r="K2" s="82">
        <v>-910.7</v>
      </c>
      <c r="L2" s="83">
        <v>1</v>
      </c>
      <c r="M2" s="66" t="str">
        <f>Ref!$A$2</f>
        <v>1989COX/WAG</v>
      </c>
      <c r="N2" s="82">
        <v>41.46</v>
      </c>
      <c r="O2" s="82">
        <v>0.2</v>
      </c>
      <c r="P2" s="66" t="str">
        <f>Ref!$A$2</f>
        <v>1989COX/WAG</v>
      </c>
      <c r="Q2" s="60">
        <f t="shared" ref="Q2:Q3" si="0">X2+Z2*298.15+AB2*298.15^-2+AF2*298.15^2+AD2*298.14^-0.5</f>
        <v>44.586076501595834</v>
      </c>
      <c r="R2" s="82">
        <v>0.3</v>
      </c>
      <c r="S2" s="51" t="str">
        <f>Ref!$A$12</f>
        <v>1995ROB/HEM</v>
      </c>
      <c r="T2" s="85">
        <v>22.687999999999999</v>
      </c>
      <c r="U2" s="72">
        <v>0</v>
      </c>
      <c r="V2" s="51" t="str">
        <f>Ref!$A$12</f>
        <v>1995ROB/HEM</v>
      </c>
      <c r="X2" s="67">
        <v>81.144999999999996</v>
      </c>
      <c r="Y2" s="67"/>
      <c r="Z2" s="67">
        <v>1.8280000000000001E-2</v>
      </c>
      <c r="AA2" s="67"/>
      <c r="AB2" s="67">
        <v>-181000</v>
      </c>
      <c r="AC2" s="67"/>
      <c r="AD2" s="67">
        <v>-698.5</v>
      </c>
      <c r="AE2" s="67"/>
      <c r="AF2" s="67">
        <v>5.4060000000000004E-6</v>
      </c>
      <c r="AI2" s="68">
        <v>298</v>
      </c>
      <c r="AJ2" s="68">
        <v>847</v>
      </c>
      <c r="AK2" s="56">
        <f t="shared" ref="AK2:AK19" si="1">X2+Z2*Tref+AB2*(Tref^(-2))+AD2*(Tref^(-0.5))+AF2*(Tref^2)+AH2*(Tref^(-1))</f>
        <v>44.586754916091891</v>
      </c>
    </row>
    <row r="3" spans="2:47" s="61" customFormat="1" x14ac:dyDescent="0.35">
      <c r="B3" s="61" t="s">
        <v>76</v>
      </c>
      <c r="C3" s="64" t="s">
        <v>273</v>
      </c>
      <c r="D3" s="61" t="s">
        <v>954</v>
      </c>
      <c r="E3" s="64" t="s">
        <v>274</v>
      </c>
      <c r="F3" s="64" t="s">
        <v>275</v>
      </c>
      <c r="G3" s="61" t="s">
        <v>247</v>
      </c>
      <c r="H3" s="53">
        <v>-1582.2574048000001</v>
      </c>
      <c r="I3" s="53">
        <v>1.3017102870377939</v>
      </c>
      <c r="J3" s="66" t="str">
        <f>Ref!$A$2</f>
        <v>1989COX/WAG</v>
      </c>
      <c r="K3" s="84">
        <v>-1675.7</v>
      </c>
      <c r="L3" s="84">
        <v>1.3</v>
      </c>
      <c r="M3" s="66" t="str">
        <f>Ref!$A$2</f>
        <v>1989COX/WAG</v>
      </c>
      <c r="N3" s="84">
        <v>50.92</v>
      </c>
      <c r="O3" s="84">
        <v>0.1</v>
      </c>
      <c r="P3" s="66" t="str">
        <f>Ref!$A$2</f>
        <v>1989COX/WAG</v>
      </c>
      <c r="Q3" s="60">
        <f t="shared" si="0"/>
        <v>79.095208358851451</v>
      </c>
      <c r="R3" s="84">
        <v>0.1</v>
      </c>
      <c r="S3" s="51" t="str">
        <f>Ref!$A$12</f>
        <v>1995ROB/HEM</v>
      </c>
      <c r="T3" s="86">
        <v>25.587052156937101</v>
      </c>
      <c r="U3" s="72">
        <v>0.01</v>
      </c>
      <c r="V3" s="51" t="str">
        <f>Ref!$A$12</f>
        <v>1995ROB/HEM</v>
      </c>
      <c r="X3" s="67">
        <v>161.19999999999999</v>
      </c>
      <c r="Y3" s="67"/>
      <c r="Z3" s="67">
        <v>-1.3519999999999999E-3</v>
      </c>
      <c r="AA3" s="67"/>
      <c r="AB3" s="67">
        <v>-1815000</v>
      </c>
      <c r="AC3" s="67"/>
      <c r="AD3" s="67">
        <v>-1059</v>
      </c>
      <c r="AE3" s="67"/>
      <c r="AF3" s="67">
        <v>5.3809999999999998E-7</v>
      </c>
      <c r="AI3" s="68">
        <v>298</v>
      </c>
      <c r="AJ3" s="68">
        <v>1000</v>
      </c>
      <c r="AK3" s="56">
        <f t="shared" si="1"/>
        <v>79.096236907099581</v>
      </c>
    </row>
    <row r="4" spans="2:47" s="61" customFormat="1" x14ac:dyDescent="0.35">
      <c r="C4" s="61" t="s">
        <v>276</v>
      </c>
      <c r="D4" s="61" t="s">
        <v>277</v>
      </c>
      <c r="E4" s="61" t="s">
        <v>278</v>
      </c>
      <c r="F4" s="61" t="s">
        <v>279</v>
      </c>
      <c r="G4" s="61" t="s">
        <v>247</v>
      </c>
      <c r="H4" s="56">
        <f>-1154905.2748/1000</f>
        <v>-1154.9052747999999</v>
      </c>
      <c r="I4" s="56">
        <f>1193.73202294184/1000</f>
        <v>1.1937320229418398</v>
      </c>
      <c r="J4" s="51" t="str">
        <f>Ref!$A$12</f>
        <v>1995ROB/HEM</v>
      </c>
      <c r="K4" s="60">
        <f>-1293130/1000</f>
        <v>-1293.1300000000001</v>
      </c>
      <c r="L4" s="60">
        <f>1190/1000</f>
        <v>1.19</v>
      </c>
      <c r="M4" s="51" t="str">
        <f>Ref!$A$12</f>
        <v>1995ROB/HEM</v>
      </c>
      <c r="N4" s="60">
        <v>68.44</v>
      </c>
      <c r="O4" s="60">
        <v>0.3</v>
      </c>
      <c r="P4" s="51" t="str">
        <f>Ref!$A$12</f>
        <v>1995ROB/HEM</v>
      </c>
      <c r="Q4" s="60">
        <f>X4+Z4*298.15+AB4*298.15^-2+AF4*298.15^2+AD4*298.14^-0.5</f>
        <v>91.719201629701132</v>
      </c>
      <c r="R4" s="60">
        <v>0.3</v>
      </c>
      <c r="S4" s="51" t="str">
        <f>Ref!$A$12</f>
        <v>1995ROB/HEM</v>
      </c>
      <c r="T4" s="85">
        <v>31.96</v>
      </c>
      <c r="U4" s="72">
        <v>0.02</v>
      </c>
      <c r="V4" s="51" t="str">
        <f>Ref!$A$12</f>
        <v>1995ROB/HEM</v>
      </c>
      <c r="W4" s="61" t="s">
        <v>951</v>
      </c>
      <c r="X4" s="67">
        <v>54.7</v>
      </c>
      <c r="Y4" s="67"/>
      <c r="Z4" s="67">
        <v>0.17027</v>
      </c>
      <c r="AA4" s="67"/>
      <c r="AB4" s="67">
        <v>-1222000</v>
      </c>
      <c r="AC4" s="67"/>
      <c r="AD4" s="67"/>
      <c r="AE4" s="67"/>
      <c r="AF4" s="67"/>
      <c r="AG4" s="67"/>
      <c r="AH4" s="67"/>
      <c r="AK4" s="56">
        <f t="shared" si="1"/>
        <v>91.719201629701132</v>
      </c>
    </row>
    <row r="5" spans="2:47" s="62" customFormat="1" x14ac:dyDescent="0.35">
      <c r="B5" s="62" t="s">
        <v>100</v>
      </c>
      <c r="C5" s="57" t="s">
        <v>1020</v>
      </c>
      <c r="D5" s="62" t="s">
        <v>280</v>
      </c>
      <c r="E5" s="57" t="s">
        <v>281</v>
      </c>
      <c r="F5" s="62" t="s">
        <v>282</v>
      </c>
      <c r="G5" s="62" t="s">
        <v>247</v>
      </c>
      <c r="H5" s="88">
        <v>-739.7484212999999</v>
      </c>
      <c r="I5" s="88">
        <v>4.5999999999999996</v>
      </c>
      <c r="J5" s="62" t="str">
        <f>Ref!$A$4</f>
        <v>2023HUM/THO</v>
      </c>
      <c r="K5" s="58">
        <v>-821.5</v>
      </c>
      <c r="L5" s="58">
        <v>3.8</v>
      </c>
      <c r="M5" s="105" t="s">
        <v>956</v>
      </c>
      <c r="N5" s="120">
        <f>20.89*4.184</f>
        <v>87.403760000000005</v>
      </c>
      <c r="O5" s="120">
        <f>0.05*4.184</f>
        <v>0.20920000000000002</v>
      </c>
      <c r="P5" s="57" t="str">
        <f>Ref!$A$12</f>
        <v>1995ROB/HEM</v>
      </c>
      <c r="Q5" s="58">
        <f>X5+Z5*298.15+AB5*298.15^-2+AF5*298.15^2+AD5*298.14^-0.5</f>
        <v>104.02931350333256</v>
      </c>
      <c r="R5" s="58"/>
      <c r="S5" s="57" t="str">
        <f>Ref!$A$12</f>
        <v>1995ROB/HEM</v>
      </c>
      <c r="T5" s="90">
        <v>30.274000000000001</v>
      </c>
      <c r="U5" s="90">
        <v>1.2E-2</v>
      </c>
      <c r="V5" s="57" t="str">
        <f>Ref!$A$12</f>
        <v>1995ROB/HEM</v>
      </c>
      <c r="X5" s="63">
        <v>1501.47</v>
      </c>
      <c r="Y5" s="63"/>
      <c r="Z5" s="63">
        <v>-1.2145999999999999</v>
      </c>
      <c r="AA5" s="63"/>
      <c r="AB5" s="63">
        <v>14123000</v>
      </c>
      <c r="AC5" s="63"/>
      <c r="AD5" s="63">
        <v>-21493</v>
      </c>
      <c r="AE5" s="63"/>
      <c r="AF5" s="63">
        <v>5.6899999999999995E-4</v>
      </c>
      <c r="AG5" s="63"/>
      <c r="AH5" s="63"/>
      <c r="AI5" s="62">
        <v>298</v>
      </c>
      <c r="AJ5" s="62">
        <v>950</v>
      </c>
      <c r="AK5" s="56">
        <f t="shared" si="1"/>
        <v>104.05018846791937</v>
      </c>
    </row>
    <row r="6" spans="2:47" s="62" customFormat="1" x14ac:dyDescent="0.35">
      <c r="C6" s="57" t="s">
        <v>1021</v>
      </c>
      <c r="D6" s="62" t="s">
        <v>283</v>
      </c>
      <c r="E6" s="57" t="s">
        <v>284</v>
      </c>
      <c r="F6" s="62" t="s">
        <v>285</v>
      </c>
      <c r="G6" s="62" t="s">
        <v>247</v>
      </c>
      <c r="H6" s="59">
        <f>-1012.719</f>
        <v>-1012.7190000000001</v>
      </c>
      <c r="I6" s="59">
        <v>1.609</v>
      </c>
      <c r="J6" s="62" t="str">
        <f>Ref!$A$5</f>
        <v>2013LEM/BER</v>
      </c>
      <c r="K6" s="87">
        <v>-1115.78</v>
      </c>
      <c r="L6" s="87">
        <v>1.6</v>
      </c>
      <c r="M6" s="105" t="s">
        <v>956</v>
      </c>
      <c r="N6" s="87">
        <v>145.88999999999999</v>
      </c>
      <c r="O6" s="87">
        <v>0.3</v>
      </c>
      <c r="P6" s="62" t="str">
        <f>Ref!$A$6</f>
        <v>2020LEM/TAY</v>
      </c>
      <c r="Q6" s="60">
        <f>X6+Z6*298.15+AB6*298.15^-2+AF6*298.15^2+AD6*298.14^-0.5</f>
        <v>150.86434480912612</v>
      </c>
      <c r="R6" s="88">
        <v>0.3</v>
      </c>
      <c r="S6" s="57" t="str">
        <f>Ref!$A$12</f>
        <v>1995ROB/HEM</v>
      </c>
      <c r="T6" s="91">
        <v>44.524000000000001</v>
      </c>
      <c r="U6" s="91">
        <v>0.08</v>
      </c>
      <c r="V6" s="57" t="str">
        <f>Ref!$A$12</f>
        <v>1995ROB/HEM</v>
      </c>
      <c r="X6" s="63">
        <v>2659.11</v>
      </c>
      <c r="Y6" s="63"/>
      <c r="Z6" s="63">
        <v>-2.5215000000000001</v>
      </c>
      <c r="AA6" s="63"/>
      <c r="AB6" s="63">
        <v>20734000</v>
      </c>
      <c r="AC6" s="63"/>
      <c r="AD6" s="63">
        <v>-36455</v>
      </c>
      <c r="AE6" s="63"/>
      <c r="AF6" s="63">
        <v>1.3676999999999999E-3</v>
      </c>
      <c r="AG6" s="63"/>
      <c r="AH6" s="63"/>
      <c r="AI6" s="62">
        <v>298</v>
      </c>
      <c r="AJ6" s="62">
        <v>800</v>
      </c>
      <c r="AK6" s="56">
        <f t="shared" si="1"/>
        <v>150.89975153848022</v>
      </c>
    </row>
    <row r="7" spans="2:47" s="62" customFormat="1" x14ac:dyDescent="0.35">
      <c r="C7" s="57" t="s">
        <v>1022</v>
      </c>
      <c r="D7" s="57" t="s">
        <v>286</v>
      </c>
      <c r="E7" s="57" t="s">
        <v>287</v>
      </c>
      <c r="F7" s="62" t="s">
        <v>288</v>
      </c>
      <c r="G7" s="62" t="s">
        <v>247</v>
      </c>
      <c r="H7" s="92">
        <v>-489.53699999999998</v>
      </c>
      <c r="I7" s="87">
        <v>1.996</v>
      </c>
      <c r="J7" s="62" t="str">
        <f>Ref!$A$5</f>
        <v>2013LEM/BER</v>
      </c>
      <c r="K7" s="59">
        <v>-560.46</v>
      </c>
      <c r="L7" s="59">
        <v>1.99</v>
      </c>
      <c r="M7" s="105" t="s">
        <v>956</v>
      </c>
      <c r="N7" s="87">
        <v>59.7</v>
      </c>
      <c r="O7" s="87">
        <v>0.5</v>
      </c>
      <c r="P7" s="62" t="str">
        <f>Ref!$A$5</f>
        <v>2013LEM/BER</v>
      </c>
      <c r="Q7" s="88">
        <f>X7+Z7*298.15+AB7*298.15^-2+AF7*298.15^2+AD7*298.14^-0.5+AH7/Tref</f>
        <v>74.319405739090541</v>
      </c>
      <c r="R7" s="88">
        <v>0.42</v>
      </c>
      <c r="S7" s="62" t="str">
        <f>Ref!$A$5</f>
        <v>2013LEM/BER</v>
      </c>
      <c r="T7" s="91">
        <v>20.82</v>
      </c>
      <c r="U7" s="91">
        <v>0.04</v>
      </c>
      <c r="V7" s="57" t="str">
        <f>Ref!$A$12</f>
        <v>1995ROB/HEM</v>
      </c>
      <c r="X7" s="63">
        <v>80.361249999999998</v>
      </c>
      <c r="Y7" s="63"/>
      <c r="Z7" s="63">
        <v>-8.7560349999999995E-2</v>
      </c>
      <c r="AA7" s="63"/>
      <c r="AB7" s="63">
        <v>-594081.19999999995</v>
      </c>
      <c r="AC7" s="63"/>
      <c r="AD7" s="63"/>
      <c r="AE7" s="63"/>
      <c r="AF7" s="63">
        <v>3.7689130000000001E-4</v>
      </c>
      <c r="AG7" s="63"/>
      <c r="AH7" s="63">
        <v>-2014.2449999999999</v>
      </c>
      <c r="AI7" s="62">
        <v>200</v>
      </c>
      <c r="AJ7" s="62">
        <v>373</v>
      </c>
      <c r="AK7" s="56">
        <f t="shared" si="1"/>
        <v>74.319405739090541</v>
      </c>
    </row>
    <row r="8" spans="2:47" s="62" customFormat="1" x14ac:dyDescent="0.35">
      <c r="C8" s="57" t="s">
        <v>1023</v>
      </c>
      <c r="D8" s="57" t="s">
        <v>289</v>
      </c>
      <c r="E8" s="57" t="s">
        <v>287</v>
      </c>
      <c r="F8" s="62" t="s">
        <v>290</v>
      </c>
      <c r="G8" s="62" t="s">
        <v>247</v>
      </c>
      <c r="H8" s="87">
        <v>-479.88099999999997</v>
      </c>
      <c r="I8" s="87">
        <v>2.0049999999999999</v>
      </c>
      <c r="J8" s="62" t="str">
        <f>Ref!$A$4</f>
        <v>2023HUM/THO</v>
      </c>
      <c r="K8" s="59">
        <v>-549.20000000000005</v>
      </c>
      <c r="L8" s="59">
        <v>2</v>
      </c>
      <c r="M8" s="105" t="s">
        <v>956</v>
      </c>
      <c r="N8" s="87">
        <v>65.08</v>
      </c>
      <c r="O8" s="87">
        <v>0.46</v>
      </c>
      <c r="P8" s="62" t="str">
        <f>Ref!$A$5</f>
        <v>2013LEM/BER</v>
      </c>
      <c r="Q8" s="88">
        <f>X8+Z8*298.15+AB8*298.15^-2+AF8*298.15^2+AD8*298.14^-0.5+AH8/Tref</f>
        <v>69.135151592384858</v>
      </c>
      <c r="R8" s="88">
        <v>0.56000000000000005</v>
      </c>
      <c r="S8" s="62" t="str">
        <f>Ref!$A$5</f>
        <v>2013LEM/BER</v>
      </c>
      <c r="T8" s="91">
        <v>22.37</v>
      </c>
      <c r="U8" s="91">
        <v>0.08</v>
      </c>
      <c r="V8" s="57" t="str">
        <f>Ref!$A$12</f>
        <v>1995ROB/HEM</v>
      </c>
      <c r="X8" s="63">
        <v>90.980699999999999</v>
      </c>
      <c r="Y8" s="63"/>
      <c r="Z8" s="63">
        <v>4.3899100000000003E-2</v>
      </c>
      <c r="AA8" s="63"/>
      <c r="AB8" s="63">
        <v>386790</v>
      </c>
      <c r="AC8" s="63"/>
      <c r="AD8" s="63"/>
      <c r="AE8" s="63"/>
      <c r="AF8" s="63">
        <v>-2.9818299999999999E-5</v>
      </c>
      <c r="AG8" s="63"/>
      <c r="AH8" s="70">
        <v>-10922.6</v>
      </c>
      <c r="AI8" s="62">
        <v>200</v>
      </c>
      <c r="AJ8" s="62">
        <v>387</v>
      </c>
      <c r="AK8" s="56">
        <f t="shared" si="1"/>
        <v>69.135151592384858</v>
      </c>
    </row>
    <row r="9" spans="2:47" s="61" customFormat="1" x14ac:dyDescent="0.35">
      <c r="C9" s="61" t="s">
        <v>1024</v>
      </c>
      <c r="D9" s="61" t="s">
        <v>1026</v>
      </c>
      <c r="E9" s="51" t="s">
        <v>291</v>
      </c>
      <c r="F9" s="61" t="s">
        <v>292</v>
      </c>
      <c r="G9" s="61" t="s">
        <v>247</v>
      </c>
      <c r="H9" s="105"/>
      <c r="J9" s="105" t="s">
        <v>956</v>
      </c>
      <c r="K9" s="87">
        <v>-826.7</v>
      </c>
      <c r="L9" s="87">
        <v>2</v>
      </c>
      <c r="M9" s="62" t="str">
        <f>Ref!$A$6</f>
        <v>2020LEM/TAY</v>
      </c>
      <c r="N9" s="71"/>
      <c r="O9" s="71"/>
      <c r="P9" s="105" t="s">
        <v>956</v>
      </c>
      <c r="Q9" s="87">
        <v>153.26</v>
      </c>
      <c r="R9" s="87">
        <v>10</v>
      </c>
      <c r="S9" s="62" t="str">
        <f>Ref!$A$6</f>
        <v>2020LEM/TAY</v>
      </c>
      <c r="T9" s="85">
        <v>34.36</v>
      </c>
      <c r="U9" s="72"/>
      <c r="V9" s="61" t="s">
        <v>973</v>
      </c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K9" s="56">
        <f t="shared" si="1"/>
        <v>0</v>
      </c>
    </row>
    <row r="10" spans="2:47" s="61" customFormat="1" x14ac:dyDescent="0.35">
      <c r="B10" s="61" t="s">
        <v>86</v>
      </c>
      <c r="C10" s="61" t="s">
        <v>293</v>
      </c>
      <c r="D10" s="61" t="s">
        <v>294</v>
      </c>
      <c r="E10" s="61" t="s">
        <v>295</v>
      </c>
      <c r="F10" s="61" t="s">
        <v>296</v>
      </c>
      <c r="G10" s="61" t="s">
        <v>247</v>
      </c>
      <c r="H10" s="64">
        <v>-897.49699999999996</v>
      </c>
      <c r="I10" s="64">
        <v>1.0149999999999999</v>
      </c>
      <c r="J10" s="62" t="str">
        <f>Ref!$A$7</f>
        <v>2024RAN/PAL</v>
      </c>
      <c r="K10" s="83">
        <v>-985.16</v>
      </c>
      <c r="L10" s="83">
        <v>1</v>
      </c>
      <c r="M10" s="62" t="str">
        <f>Ref!$A$7</f>
        <v>2024RAN/PAL</v>
      </c>
      <c r="N10" s="83">
        <v>83.4</v>
      </c>
      <c r="O10" s="83">
        <v>0.4</v>
      </c>
      <c r="P10" s="61" t="str">
        <f>Ref!$A$7</f>
        <v>2024RAN/PAL</v>
      </c>
      <c r="Q10" s="60">
        <f>X10+Z10*298.15+AB10*298.15^-2+AF10*298.15^2+AD10*298.14^-0.5</f>
        <v>87.487561924227094</v>
      </c>
      <c r="R10" s="83">
        <v>0.1</v>
      </c>
      <c r="S10" s="61" t="str">
        <f>Ref!$A$7</f>
        <v>2024RAN/PAL</v>
      </c>
      <c r="T10" s="94">
        <v>33.06</v>
      </c>
      <c r="U10" s="94">
        <v>0.02</v>
      </c>
      <c r="V10" s="51" t="str">
        <f>Ref!$A$12</f>
        <v>1995ROB/HEM</v>
      </c>
      <c r="X10" s="67">
        <v>89.263999999999996</v>
      </c>
      <c r="Y10" s="67"/>
      <c r="Z10" s="67">
        <v>3.3112000000000003E-2</v>
      </c>
      <c r="AA10" s="67"/>
      <c r="AB10" s="67">
        <v>-1035500</v>
      </c>
      <c r="AC10" s="67"/>
      <c r="AD10" s="67"/>
      <c r="AE10" s="67"/>
      <c r="AF10" s="67"/>
      <c r="AG10" s="67"/>
      <c r="AH10" s="67"/>
      <c r="AI10" s="61">
        <v>298</v>
      </c>
      <c r="AJ10" s="61">
        <v>700</v>
      </c>
      <c r="AK10" s="56">
        <f t="shared" si="1"/>
        <v>87.487561924227094</v>
      </c>
    </row>
    <row r="11" spans="2:47" s="61" customFormat="1" x14ac:dyDescent="0.35">
      <c r="B11" s="61" t="s">
        <v>112</v>
      </c>
      <c r="C11" s="61" t="s">
        <v>980</v>
      </c>
      <c r="D11" s="61" t="s">
        <v>900</v>
      </c>
      <c r="E11" s="61" t="s">
        <v>945</v>
      </c>
      <c r="F11" s="61" t="s">
        <v>950</v>
      </c>
      <c r="G11" s="61" t="s">
        <v>247</v>
      </c>
      <c r="H11" s="105"/>
      <c r="J11" s="105" t="s">
        <v>956</v>
      </c>
      <c r="K11" s="105"/>
      <c r="L11" s="56"/>
      <c r="M11" s="105" t="s">
        <v>956</v>
      </c>
      <c r="N11" s="93">
        <v>63.18</v>
      </c>
      <c r="O11" s="93">
        <v>0.4</v>
      </c>
      <c r="P11" s="61" t="str">
        <f>Ref!$A$7</f>
        <v>2024RAN/PAL</v>
      </c>
      <c r="Q11" s="60">
        <f>X11+Z11*298.15+AB11*298.15^-2+AF11*298.15^2+AD11*298.14^-0.5</f>
        <v>76.88330122347773</v>
      </c>
      <c r="R11" s="93">
        <v>0.3</v>
      </c>
      <c r="S11" s="61" t="str">
        <f>Ref!$A$7</f>
        <v>2024RAN/PAL</v>
      </c>
      <c r="T11" s="95">
        <v>24.63</v>
      </c>
      <c r="U11" s="95">
        <v>7.0000000000000007E-2</v>
      </c>
      <c r="V11" s="51" t="str">
        <f>Ref!$A$12</f>
        <v>1995ROB/HEM</v>
      </c>
      <c r="X11" s="67">
        <v>93.392799999999994</v>
      </c>
      <c r="Y11" s="67"/>
      <c r="Z11" s="67">
        <v>3.0120999999999998E-2</v>
      </c>
      <c r="AA11" s="67"/>
      <c r="AB11" s="67">
        <v>-2265900</v>
      </c>
      <c r="AC11" s="67"/>
      <c r="AD11" s="67"/>
      <c r="AE11" s="67"/>
      <c r="AF11" s="67"/>
      <c r="AG11" s="67"/>
      <c r="AH11" s="67"/>
      <c r="AI11" s="61">
        <v>298</v>
      </c>
      <c r="AJ11" s="61">
        <v>600</v>
      </c>
      <c r="AK11" s="56">
        <f t="shared" si="1"/>
        <v>76.88330122347773</v>
      </c>
    </row>
    <row r="12" spans="2:47" s="61" customFormat="1" x14ac:dyDescent="0.35">
      <c r="B12" s="61" t="s">
        <v>297</v>
      </c>
      <c r="C12" s="61" t="s">
        <v>1025</v>
      </c>
      <c r="D12" s="61" t="s">
        <v>298</v>
      </c>
      <c r="E12" s="61" t="s">
        <v>949</v>
      </c>
      <c r="F12" s="61" t="s">
        <v>299</v>
      </c>
      <c r="G12" s="61" t="s">
        <v>247</v>
      </c>
      <c r="H12" s="64">
        <v>-1128.9829999999999</v>
      </c>
      <c r="I12" s="64">
        <v>1.208</v>
      </c>
      <c r="J12" s="62" t="str">
        <f>Ref!$A$7</f>
        <v>2024RAN/PAL</v>
      </c>
      <c r="K12" s="83">
        <v>-1207.5</v>
      </c>
      <c r="L12" s="83">
        <v>1.2</v>
      </c>
      <c r="M12" s="62" t="str">
        <f>Ref!$A$7</f>
        <v>2024RAN/PAL</v>
      </c>
      <c r="N12" s="83">
        <v>91.71</v>
      </c>
      <c r="O12" s="83">
        <v>0.2</v>
      </c>
      <c r="P12" s="61" t="str">
        <f>Ref!$A$7</f>
        <v>2024RAN/PAL</v>
      </c>
      <c r="Q12" s="60">
        <f>X12+Z12*298.15+AB12*298.15^-2+AF12*298.15^2+AD12*298.14^-0.5</f>
        <v>83.471991832936894</v>
      </c>
      <c r="R12" s="83">
        <v>0.42</v>
      </c>
      <c r="S12" s="61" t="str">
        <f>Ref!$A$7</f>
        <v>2024RAN/PAL</v>
      </c>
      <c r="T12" s="95">
        <v>36.93</v>
      </c>
      <c r="U12" s="95">
        <v>0.01</v>
      </c>
      <c r="V12" s="51" t="str">
        <f>Ref!$A$12</f>
        <v>1995ROB/HEM</v>
      </c>
      <c r="X12" s="67">
        <v>78.780749999999998</v>
      </c>
      <c r="Y12" s="67"/>
      <c r="Z12" s="67">
        <v>5.6868200000000001E-2</v>
      </c>
      <c r="AA12" s="67"/>
      <c r="AB12" s="67">
        <v>-1090190</v>
      </c>
      <c r="AC12" s="67"/>
      <c r="AD12" s="67"/>
      <c r="AE12" s="67"/>
      <c r="AF12" s="67"/>
      <c r="AG12" s="67"/>
      <c r="AH12" s="67"/>
      <c r="AI12" s="61">
        <v>298</v>
      </c>
      <c r="AJ12" s="61">
        <v>1200</v>
      </c>
      <c r="AK12" s="56">
        <f t="shared" si="1"/>
        <v>83.471991832936894</v>
      </c>
    </row>
    <row r="13" spans="2:47" s="62" customFormat="1" x14ac:dyDescent="0.35">
      <c r="C13" s="62" t="s">
        <v>946</v>
      </c>
      <c r="D13" s="62" t="s">
        <v>300</v>
      </c>
      <c r="E13" s="62" t="s">
        <v>947</v>
      </c>
      <c r="F13" s="62" t="s">
        <v>301</v>
      </c>
      <c r="G13" s="62" t="s">
        <v>247</v>
      </c>
      <c r="H13" s="57">
        <f>-2162623/1000</f>
        <v>-2162.623</v>
      </c>
      <c r="I13" s="57">
        <v>1.8</v>
      </c>
      <c r="J13" s="62" t="str">
        <f>Ref!$A$7</f>
        <v>2024RAN/PAL</v>
      </c>
      <c r="K13" s="87">
        <f>-2325.421</f>
        <v>-2325.4209999999998</v>
      </c>
      <c r="L13" s="87">
        <v>2</v>
      </c>
      <c r="M13" s="62" t="str">
        <f>Ref!$A$7</f>
        <v>2024RAN/PAL</v>
      </c>
      <c r="N13" s="87">
        <v>155.16999999999999</v>
      </c>
      <c r="O13" s="87">
        <v>0.8</v>
      </c>
      <c r="P13" s="62" t="str">
        <f>Ref!$A$7</f>
        <v>2024RAN/PAL</v>
      </c>
      <c r="Q13" s="88">
        <f>X13+Z13*298.15+AB13*298.15^-2+AF13*298.15^2+AD13*298.14^-0.5</f>
        <v>157.50997732352698</v>
      </c>
      <c r="R13" s="88">
        <v>0.8</v>
      </c>
      <c r="S13" s="62" t="str">
        <f>Ref!$A$7</f>
        <v>2024RAN/PAL</v>
      </c>
      <c r="T13" s="91">
        <v>64.34</v>
      </c>
      <c r="U13" s="91">
        <v>0.03</v>
      </c>
      <c r="V13" s="57" t="str">
        <f>Ref!$A$12</f>
        <v>1995ROB/HEM</v>
      </c>
      <c r="X13" s="63">
        <v>82.79486</v>
      </c>
      <c r="Y13" s="63"/>
      <c r="Z13" s="63">
        <v>0.34799600000000003</v>
      </c>
      <c r="AA13" s="63"/>
      <c r="AB13" s="63">
        <v>-971209</v>
      </c>
      <c r="AC13" s="63"/>
      <c r="AD13" s="63"/>
      <c r="AE13" s="63"/>
      <c r="AF13" s="63">
        <v>-2.03776E-4</v>
      </c>
      <c r="AI13" s="62">
        <v>298</v>
      </c>
      <c r="AJ13" s="62">
        <v>650</v>
      </c>
      <c r="AK13" s="56">
        <f t="shared" si="1"/>
        <v>157.50997732352698</v>
      </c>
    </row>
    <row r="14" spans="2:47" s="61" customFormat="1" x14ac:dyDescent="0.35">
      <c r="C14" s="61" t="s">
        <v>979</v>
      </c>
      <c r="D14" s="61" t="s">
        <v>943</v>
      </c>
      <c r="E14" s="61" t="s">
        <v>948</v>
      </c>
      <c r="F14" s="61" t="s">
        <v>944</v>
      </c>
      <c r="G14" s="61" t="s">
        <v>247</v>
      </c>
      <c r="H14" s="105"/>
      <c r="J14" s="105" t="s">
        <v>956</v>
      </c>
      <c r="K14" s="105"/>
      <c r="L14" s="56"/>
      <c r="M14" s="105" t="s">
        <v>956</v>
      </c>
      <c r="N14" s="93">
        <v>65.099999999999994</v>
      </c>
      <c r="O14" s="93">
        <v>0.6</v>
      </c>
      <c r="P14" s="61" t="str">
        <f>Ref!$A$7</f>
        <v>2024RAN/PAL</v>
      </c>
      <c r="Q14" s="60">
        <f>X14+Z14*298.15+AB14*298.15^-2+AF14*298.15^2+AD14*298.14^-0.5</f>
        <v>76.107575159166771</v>
      </c>
      <c r="R14" s="93">
        <v>0.8</v>
      </c>
      <c r="S14" s="62" t="str">
        <f>Ref!$A$7</f>
        <v>2024RAN/PAL</v>
      </c>
      <c r="T14" s="95">
        <v>28.02</v>
      </c>
      <c r="U14" s="95">
        <v>0.01</v>
      </c>
      <c r="V14" s="51" t="str">
        <f>Ref!$A$12</f>
        <v>1995ROB/HEM</v>
      </c>
      <c r="X14" s="67">
        <v>73.334999999999994</v>
      </c>
      <c r="Y14" s="67"/>
      <c r="Z14" s="67">
        <v>6.3990000000000005E-2</v>
      </c>
      <c r="AA14" s="67"/>
      <c r="AB14" s="67">
        <v>-1449500</v>
      </c>
      <c r="AC14" s="67"/>
      <c r="AD14" s="67"/>
      <c r="AE14" s="67"/>
      <c r="AF14" s="67"/>
      <c r="AG14" s="67"/>
      <c r="AH14" s="67"/>
      <c r="AI14" s="61">
        <v>298</v>
      </c>
      <c r="AJ14" s="61">
        <v>800</v>
      </c>
      <c r="AK14" s="56">
        <f t="shared" si="1"/>
        <v>76.107575159166771</v>
      </c>
    </row>
    <row r="15" spans="2:47" s="62" customFormat="1" x14ac:dyDescent="0.35">
      <c r="B15" s="62" t="s">
        <v>302</v>
      </c>
      <c r="C15" s="57" t="s">
        <v>976</v>
      </c>
      <c r="D15" s="62" t="s">
        <v>1080</v>
      </c>
      <c r="E15" s="57" t="s">
        <v>303</v>
      </c>
      <c r="F15" s="62" t="s">
        <v>304</v>
      </c>
      <c r="G15" s="62" t="s">
        <v>247</v>
      </c>
      <c r="H15" s="59">
        <v>-1797.402</v>
      </c>
      <c r="I15" s="59">
        <v>1.3089999999999999</v>
      </c>
      <c r="J15" s="62" t="str">
        <f>Ref!$A$7</f>
        <v>2024RAN/PAL</v>
      </c>
      <c r="K15" s="87">
        <v>-2023</v>
      </c>
      <c r="L15" s="87">
        <v>1.3</v>
      </c>
      <c r="M15" s="62" t="str">
        <f>Ref!$A$7</f>
        <v>2024RAN/PAL</v>
      </c>
      <c r="N15" s="87">
        <v>193.8</v>
      </c>
      <c r="O15" s="87">
        <v>0.3</v>
      </c>
      <c r="P15" s="62" t="str">
        <f>Ref!$A$7</f>
        <v>2024RAN/PAL</v>
      </c>
      <c r="Q15" s="87">
        <v>187.2</v>
      </c>
      <c r="R15" s="87">
        <v>0.2</v>
      </c>
      <c r="S15" s="62" t="str">
        <f>Ref!$A$7</f>
        <v>2024RAN/PAL</v>
      </c>
      <c r="T15" s="91">
        <v>74.69</v>
      </c>
      <c r="U15" s="91">
        <v>0.22</v>
      </c>
      <c r="V15" s="57" t="str">
        <f>Ref!$A$12</f>
        <v>1995ROB/HEM</v>
      </c>
      <c r="AK15" s="56">
        <f t="shared" si="1"/>
        <v>0</v>
      </c>
    </row>
    <row r="16" spans="2:47" s="62" customFormat="1" x14ac:dyDescent="0.35">
      <c r="C16" s="57" t="s">
        <v>975</v>
      </c>
      <c r="D16" s="62" t="s">
        <v>305</v>
      </c>
      <c r="E16" s="57" t="s">
        <v>306</v>
      </c>
      <c r="F16" s="62" t="s">
        <v>307</v>
      </c>
      <c r="G16" s="62" t="s">
        <v>247</v>
      </c>
      <c r="H16" s="59">
        <v>-1322.242</v>
      </c>
      <c r="I16" s="59">
        <v>1.3069999999999999</v>
      </c>
      <c r="J16" s="62" t="str">
        <f>Ref!$A$7</f>
        <v>2024RAN/PAL</v>
      </c>
      <c r="K16" s="87">
        <v>-1434.51</v>
      </c>
      <c r="L16" s="96">
        <v>1.3</v>
      </c>
      <c r="M16" s="62" t="str">
        <f>Ref!$A$7</f>
        <v>2024RAN/PAL</v>
      </c>
      <c r="N16" s="87">
        <v>107.4</v>
      </c>
      <c r="O16" s="87">
        <v>0.2</v>
      </c>
      <c r="P16" s="62" t="str">
        <f>Ref!$A$7</f>
        <v>2024RAN/PAL</v>
      </c>
      <c r="Q16" s="88">
        <f>X16+Z16*298.15+AB16*298.15^-2+AF16*298.15^2+AD16*298.14^-0.5</f>
        <v>101.22395387771812</v>
      </c>
      <c r="R16" s="88">
        <v>0.2</v>
      </c>
      <c r="S16" s="62" t="str">
        <f>Ref!$A$7</f>
        <v>2024RAN/PAL</v>
      </c>
      <c r="T16" s="91">
        <v>46.01</v>
      </c>
      <c r="U16" s="91">
        <v>0.01</v>
      </c>
      <c r="V16" s="57" t="str">
        <f>Ref!$A$12</f>
        <v>1995ROB/HEM</v>
      </c>
      <c r="X16" s="69">
        <v>372.8</v>
      </c>
      <c r="Y16" s="63"/>
      <c r="Z16" s="63">
        <v>-0.15740000000000001</v>
      </c>
      <c r="AA16" s="63"/>
      <c r="AB16" s="63">
        <v>1695000</v>
      </c>
      <c r="AC16" s="63"/>
      <c r="AD16" s="63">
        <v>-4330.8</v>
      </c>
      <c r="AE16" s="63"/>
      <c r="AF16" s="63">
        <v>7.9900000000000004E-5</v>
      </c>
      <c r="AG16" s="63"/>
      <c r="AH16" s="63"/>
      <c r="AI16" s="62">
        <v>298</v>
      </c>
      <c r="AJ16" s="62">
        <v>1000</v>
      </c>
      <c r="AK16" s="56">
        <f t="shared" si="1"/>
        <v>101.22816014471815</v>
      </c>
    </row>
    <row r="17" spans="2:37" s="61" customFormat="1" x14ac:dyDescent="0.35">
      <c r="B17" s="61" t="s">
        <v>953</v>
      </c>
      <c r="C17" s="51" t="s">
        <v>977</v>
      </c>
      <c r="D17" s="51" t="s">
        <v>308</v>
      </c>
      <c r="E17" s="51" t="s">
        <v>309</v>
      </c>
      <c r="F17" s="51" t="s">
        <v>310</v>
      </c>
      <c r="G17" s="61" t="s">
        <v>247</v>
      </c>
      <c r="H17" s="61">
        <v>-6279.6580000000004</v>
      </c>
      <c r="I17" s="61">
        <v>3.2</v>
      </c>
      <c r="J17" s="51" t="str">
        <f>Ref!$A$12</f>
        <v>1995ROB/HEM</v>
      </c>
      <c r="K17" s="60">
        <v>-6640</v>
      </c>
      <c r="L17" s="60">
        <v>3.2</v>
      </c>
      <c r="M17" s="51" t="str">
        <f>Ref!$A$12</f>
        <v>1995ROB/HEM</v>
      </c>
      <c r="N17" s="60">
        <v>260.12</v>
      </c>
      <c r="O17" s="60">
        <v>0.5</v>
      </c>
      <c r="P17" s="51" t="str">
        <f>Ref!$A$12</f>
        <v>1995ROB/HEM</v>
      </c>
      <c r="Q17" s="60">
        <f>X17+Z17*298.15+AB17*298.15^-2+AF17*298.15^2+AD17*298.14^-0.5</f>
        <v>330.20555650334541</v>
      </c>
      <c r="R17" s="60">
        <v>0.5</v>
      </c>
      <c r="S17" s="51" t="str">
        <f>Ref!$A$12</f>
        <v>1995ROB/HEM</v>
      </c>
      <c r="T17" s="85">
        <v>125.28</v>
      </c>
      <c r="U17" s="85">
        <v>0.05</v>
      </c>
      <c r="V17" s="51" t="str">
        <f>Ref!$A$12</f>
        <v>1995ROB/HEM</v>
      </c>
      <c r="X17" s="67">
        <v>1529.3</v>
      </c>
      <c r="Y17" s="67"/>
      <c r="Z17" s="67">
        <v>-0.69899999999999995</v>
      </c>
      <c r="AA17" s="67"/>
      <c r="AB17" s="67">
        <v>7443000</v>
      </c>
      <c r="AC17" s="67"/>
      <c r="AD17" s="67">
        <v>-18940</v>
      </c>
      <c r="AE17" s="67"/>
      <c r="AF17" s="67">
        <v>2.5300000000000002E-4</v>
      </c>
      <c r="AG17" s="67"/>
      <c r="AH17" s="67"/>
      <c r="AI17" s="61">
        <v>298</v>
      </c>
      <c r="AJ17" s="61">
        <v>1200</v>
      </c>
      <c r="AK17" s="56">
        <f t="shared" si="1"/>
        <v>330.2239518799459</v>
      </c>
    </row>
    <row r="18" spans="2:37" s="61" customFormat="1" x14ac:dyDescent="0.35">
      <c r="C18" s="51" t="s">
        <v>978</v>
      </c>
      <c r="D18" s="51" t="s">
        <v>311</v>
      </c>
      <c r="E18" s="51" t="s">
        <v>312</v>
      </c>
      <c r="F18" s="51" t="s">
        <v>313</v>
      </c>
      <c r="G18" s="61" t="s">
        <v>247</v>
      </c>
      <c r="H18" s="56">
        <v>-5428.1629999999996</v>
      </c>
      <c r="I18" s="56">
        <v>5.9</v>
      </c>
      <c r="J18" s="51" t="str">
        <f>Ref!$A$12</f>
        <v>1995ROB/HEM</v>
      </c>
      <c r="K18" s="60">
        <v>-5771</v>
      </c>
      <c r="L18" s="60">
        <v>5.9</v>
      </c>
      <c r="M18" s="51" t="str">
        <f>Ref!$A$12</f>
        <v>1995ROB/HEM</v>
      </c>
      <c r="N18" s="60">
        <v>316.39999999999998</v>
      </c>
      <c r="O18" s="60">
        <v>2</v>
      </c>
      <c r="P18" s="51" t="str">
        <f>Ref!$A$12</f>
        <v>1995ROB/HEM</v>
      </c>
      <c r="Q18" s="60">
        <f>X18+Z18*298.15+AB18*298.15^-2+AF18*298.15^2+AD18*298.14^-0.5</f>
        <v>351.87415113244833</v>
      </c>
      <c r="R18" s="60">
        <v>2</v>
      </c>
      <c r="S18" s="51" t="str">
        <f>Ref!$A$12</f>
        <v>1995ROB/HEM</v>
      </c>
      <c r="T18" s="85">
        <v>132.04</v>
      </c>
      <c r="U18" s="85">
        <v>0.05</v>
      </c>
      <c r="V18" s="51" t="str">
        <f>Ref!$A$12</f>
        <v>1995ROB/HEM</v>
      </c>
      <c r="X18" s="67">
        <v>809.2</v>
      </c>
      <c r="Y18" s="67"/>
      <c r="Z18" s="67">
        <v>-7.0250000000000007E-2</v>
      </c>
      <c r="AA18" s="67"/>
      <c r="AB18" s="67">
        <v>-678900</v>
      </c>
      <c r="AC18" s="67"/>
      <c r="AD18" s="67">
        <v>-7403</v>
      </c>
      <c r="AE18" s="67"/>
      <c r="AF18" s="67"/>
      <c r="AG18" s="67"/>
      <c r="AH18" s="67"/>
      <c r="AI18" s="61">
        <v>298</v>
      </c>
      <c r="AJ18" s="61">
        <v>1000</v>
      </c>
      <c r="AK18" s="56">
        <f t="shared" si="1"/>
        <v>351.88134125773729</v>
      </c>
    </row>
    <row r="19" spans="2:37" s="61" customFormat="1" x14ac:dyDescent="0.35">
      <c r="C19" s="51" t="s">
        <v>1082</v>
      </c>
      <c r="D19" s="61" t="s">
        <v>314</v>
      </c>
      <c r="E19" s="61" t="s">
        <v>1079</v>
      </c>
      <c r="F19" s="61" t="s">
        <v>315</v>
      </c>
      <c r="G19" s="61" t="s">
        <v>247</v>
      </c>
      <c r="H19" s="56">
        <v>-1549.4</v>
      </c>
      <c r="I19" s="56">
        <v>1.4</v>
      </c>
      <c r="J19" s="51" t="str">
        <f>Ref!$A$12</f>
        <v>1995ROB/HEM</v>
      </c>
      <c r="K19" s="60">
        <v>-1634.8</v>
      </c>
      <c r="L19" s="60">
        <v>1.4</v>
      </c>
      <c r="M19" s="51" t="str">
        <f>Ref!$A$12</f>
        <v>1995ROB/HEM</v>
      </c>
      <c r="N19" s="60">
        <v>81.7</v>
      </c>
      <c r="O19" s="60">
        <v>0.1</v>
      </c>
      <c r="P19" s="51" t="str">
        <f>Ref!$A$12</f>
        <v>1995ROB/HEM</v>
      </c>
      <c r="Q19" s="60">
        <f>X19+Z19*298.15+AB19*298.15^-2+AF19*298.15^2+AD19*298.14^-0.5</f>
        <v>86.192944167700688</v>
      </c>
      <c r="R19" s="60">
        <v>0.1</v>
      </c>
      <c r="S19" s="51" t="str">
        <f>Ref!$A$12</f>
        <v>1995ROB/HEM</v>
      </c>
      <c r="T19" s="85">
        <v>39.9</v>
      </c>
      <c r="U19" s="85">
        <v>0.03</v>
      </c>
      <c r="V19" s="51" t="str">
        <f>Ref!$A$12</f>
        <v>1995ROB/HEM</v>
      </c>
      <c r="X19" s="67">
        <v>200.78</v>
      </c>
      <c r="Y19" s="67"/>
      <c r="Z19" s="67">
        <v>-2.589E-2</v>
      </c>
      <c r="AA19" s="67"/>
      <c r="AB19" s="67">
        <v>-157900</v>
      </c>
      <c r="AC19" s="67"/>
      <c r="AD19" s="67">
        <v>-1826</v>
      </c>
      <c r="AE19" s="67"/>
      <c r="AF19" s="67">
        <v>7.4340000000000003E-6</v>
      </c>
      <c r="AG19" s="67"/>
      <c r="AH19" s="67"/>
      <c r="AI19" s="61">
        <v>298</v>
      </c>
      <c r="AJ19" s="61">
        <v>1400</v>
      </c>
      <c r="AK19" s="56">
        <f t="shared" si="1"/>
        <v>86.194717660714005</v>
      </c>
    </row>
    <row r="20" spans="2:37" s="61" customFormat="1" x14ac:dyDescent="0.35">
      <c r="C20" s="50"/>
      <c r="H20" s="60"/>
      <c r="I20" s="60"/>
      <c r="J20" s="51"/>
      <c r="K20" s="60"/>
      <c r="L20" s="60"/>
      <c r="M20" s="51"/>
      <c r="N20" s="60"/>
      <c r="O20" s="60"/>
      <c r="P20" s="51"/>
      <c r="Q20" s="60"/>
      <c r="S20" s="51"/>
      <c r="T20" s="60"/>
      <c r="V20" s="51"/>
    </row>
    <row r="21" spans="2:37" s="61" customFormat="1" x14ac:dyDescent="0.35">
      <c r="C21" s="50"/>
      <c r="H21" s="60"/>
      <c r="I21" s="60"/>
      <c r="K21" s="60"/>
      <c r="L21" s="60"/>
      <c r="M21" s="51"/>
      <c r="N21" s="60"/>
      <c r="O21" s="60"/>
      <c r="P21" s="51"/>
      <c r="Q21" s="60"/>
      <c r="S21" s="51"/>
      <c r="T21" s="60"/>
      <c r="V21" s="51"/>
    </row>
    <row r="22" spans="2:37" s="61" customFormat="1" x14ac:dyDescent="0.35">
      <c r="C22" s="50"/>
      <c r="H22" s="60"/>
      <c r="I22" s="60"/>
      <c r="J22" s="51"/>
      <c r="K22" s="60"/>
      <c r="L22" s="60"/>
      <c r="M22" s="51"/>
      <c r="N22" s="60"/>
      <c r="O22" s="60"/>
      <c r="P22" s="51"/>
      <c r="Q22" s="60"/>
      <c r="S22" s="51"/>
      <c r="T22" s="60"/>
      <c r="V22" s="51"/>
    </row>
    <row r="23" spans="2:37" s="61" customFormat="1" x14ac:dyDescent="0.35">
      <c r="C23" s="50"/>
      <c r="H23" s="60"/>
      <c r="I23" s="60"/>
      <c r="J23" s="51"/>
      <c r="K23" s="60"/>
      <c r="L23" s="60"/>
      <c r="M23" s="51"/>
      <c r="N23" s="60"/>
      <c r="O23" s="60"/>
      <c r="P23" s="51"/>
      <c r="Q23" s="60"/>
      <c r="S23" s="51"/>
      <c r="T23" s="60"/>
      <c r="V23" s="51"/>
    </row>
    <row r="24" spans="2:37" s="61" customFormat="1" x14ac:dyDescent="0.35">
      <c r="C24" s="50"/>
      <c r="H24" s="60"/>
      <c r="I24" s="60"/>
      <c r="K24" s="60"/>
      <c r="L24" s="60"/>
      <c r="N24" s="60"/>
      <c r="O24" s="60"/>
      <c r="Q24" s="60"/>
      <c r="S24" s="51"/>
      <c r="T24" s="60"/>
      <c r="V24" s="51"/>
    </row>
    <row r="25" spans="2:37" s="61" customFormat="1" x14ac:dyDescent="0.35">
      <c r="C25" s="50"/>
      <c r="H25" s="60"/>
      <c r="I25" s="60"/>
      <c r="J25" s="51"/>
      <c r="K25" s="60"/>
      <c r="L25" s="60"/>
      <c r="M25" s="51"/>
      <c r="N25" s="60"/>
      <c r="O25" s="60"/>
      <c r="P25" s="51"/>
      <c r="Q25" s="60"/>
      <c r="S25" s="51"/>
      <c r="T25" s="60"/>
      <c r="V25" s="51"/>
    </row>
    <row r="26" spans="2:37" s="61" customFormat="1" x14ac:dyDescent="0.35">
      <c r="C26" s="50"/>
      <c r="H26" s="60"/>
      <c r="I26" s="60"/>
      <c r="J26" s="51"/>
      <c r="K26" s="60"/>
      <c r="L26" s="60"/>
      <c r="M26" s="51"/>
      <c r="N26" s="60"/>
      <c r="O26" s="60"/>
      <c r="P26" s="51"/>
      <c r="Q26" s="60"/>
      <c r="S26" s="51"/>
      <c r="T26" s="60"/>
      <c r="V26" s="51"/>
    </row>
    <row r="27" spans="2:37" s="61" customFormat="1" x14ac:dyDescent="0.35">
      <c r="C27" s="50"/>
      <c r="H27" s="60"/>
      <c r="I27" s="60"/>
      <c r="J27" s="51"/>
      <c r="K27" s="60"/>
      <c r="L27" s="60"/>
      <c r="M27" s="51"/>
      <c r="N27" s="60"/>
      <c r="O27" s="60"/>
      <c r="P27" s="51"/>
      <c r="Q27" s="60"/>
      <c r="S27" s="51"/>
      <c r="T27" s="60"/>
      <c r="V27" s="51"/>
    </row>
    <row r="28" spans="2:37" s="61" customFormat="1" x14ac:dyDescent="0.35">
      <c r="C28" s="50"/>
      <c r="H28" s="60"/>
      <c r="I28" s="60"/>
      <c r="J28" s="51"/>
      <c r="K28" s="60"/>
      <c r="L28" s="60"/>
      <c r="M28" s="51"/>
      <c r="N28" s="60"/>
      <c r="O28" s="60"/>
      <c r="P28" s="51"/>
      <c r="Q28" s="60"/>
      <c r="S28" s="51"/>
      <c r="T28" s="60"/>
      <c r="V28" s="51"/>
    </row>
    <row r="29" spans="2:37" s="61" customFormat="1" x14ac:dyDescent="0.35">
      <c r="C29" s="50"/>
      <c r="H29" s="60"/>
      <c r="J29" s="51"/>
      <c r="K29" s="60"/>
      <c r="L29" s="60"/>
      <c r="M29" s="51"/>
      <c r="N29" s="60"/>
      <c r="O29" s="60"/>
      <c r="P29" s="51"/>
      <c r="Q29" s="60"/>
      <c r="S29" s="51"/>
      <c r="T29" s="60"/>
      <c r="V29" s="51"/>
    </row>
    <row r="30" spans="2:37" s="61" customFormat="1" x14ac:dyDescent="0.35">
      <c r="C30" s="50"/>
      <c r="H30" s="60"/>
      <c r="I30" s="60"/>
      <c r="J30" s="51"/>
      <c r="K30" s="60"/>
      <c r="L30" s="60"/>
      <c r="M30" s="51"/>
      <c r="N30" s="60"/>
      <c r="O30" s="60"/>
      <c r="P30" s="51"/>
      <c r="Q30" s="60"/>
      <c r="T30" s="60"/>
      <c r="V30" s="51"/>
    </row>
    <row r="31" spans="2:37" s="61" customFormat="1" x14ac:dyDescent="0.35">
      <c r="C31" s="50"/>
      <c r="H31" s="60"/>
      <c r="I31" s="60"/>
      <c r="J31" s="51"/>
      <c r="K31" s="60"/>
      <c r="L31" s="60"/>
      <c r="M31" s="51"/>
      <c r="N31" s="60"/>
      <c r="O31" s="60"/>
      <c r="P31" s="51"/>
      <c r="Q31" s="60"/>
      <c r="S31" s="51"/>
      <c r="T31" s="60"/>
      <c r="V31" s="51"/>
    </row>
    <row r="32" spans="2:37" s="61" customFormat="1" x14ac:dyDescent="0.35">
      <c r="C32" s="50"/>
      <c r="H32" s="60"/>
      <c r="I32" s="60"/>
      <c r="J32" s="51"/>
      <c r="K32" s="60"/>
      <c r="L32" s="60"/>
      <c r="M32" s="51"/>
      <c r="N32" s="60"/>
      <c r="O32" s="60"/>
      <c r="P32" s="51"/>
      <c r="Q32" s="60"/>
      <c r="S32" s="51"/>
      <c r="T32" s="60"/>
      <c r="V32" s="51"/>
    </row>
    <row r="33" spans="3:22" s="61" customFormat="1" x14ac:dyDescent="0.35">
      <c r="C33" s="50"/>
      <c r="H33" s="60"/>
      <c r="I33" s="60"/>
      <c r="J33" s="51"/>
      <c r="K33" s="60"/>
      <c r="L33" s="60"/>
      <c r="M33" s="51"/>
      <c r="N33" s="60"/>
      <c r="O33" s="60"/>
      <c r="P33" s="51"/>
      <c r="Q33" s="60"/>
      <c r="S33" s="51"/>
      <c r="T33" s="60"/>
      <c r="V33" s="51"/>
    </row>
    <row r="34" spans="3:22" s="61" customFormat="1" x14ac:dyDescent="0.35">
      <c r="C34" s="50"/>
      <c r="H34" s="60"/>
      <c r="I34" s="60"/>
      <c r="J34" s="51"/>
      <c r="K34" s="60"/>
      <c r="L34" s="60"/>
      <c r="M34" s="51"/>
      <c r="N34" s="60"/>
      <c r="O34" s="60"/>
      <c r="P34" s="51"/>
      <c r="Q34" s="60"/>
      <c r="S34" s="51"/>
      <c r="T34" s="60"/>
      <c r="V34" s="51"/>
    </row>
    <row r="35" spans="3:22" s="61" customFormat="1" ht="17" customHeight="1" x14ac:dyDescent="0.35">
      <c r="C35" s="50"/>
      <c r="H35" s="60"/>
      <c r="I35" s="60"/>
      <c r="K35" s="60"/>
      <c r="L35" s="60"/>
      <c r="N35" s="60"/>
      <c r="O35" s="60"/>
      <c r="Q35" s="60"/>
      <c r="T35" s="60"/>
    </row>
    <row r="38" spans="3:22" s="61" customFormat="1" x14ac:dyDescent="0.35">
      <c r="H38" s="56"/>
      <c r="I38" s="56"/>
      <c r="J38" s="56"/>
      <c r="K38" s="56"/>
      <c r="L38" s="56"/>
      <c r="M38" s="56"/>
      <c r="N38" s="56"/>
      <c r="O38" s="56"/>
      <c r="P38" s="56"/>
      <c r="Q38" s="56"/>
    </row>
  </sheetData>
  <phoneticPr fontId="11" type="noConversion"/>
  <conditionalFormatting sqref="C17:C18">
    <cfRule type="expression" dxfId="11" priority="1">
      <formula>LEN(C17)&gt;16</formula>
    </cfRule>
  </conditionalFormatting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A518-77D8-4279-B5B2-C1D8429D697A}">
  <sheetPr>
    <tabColor rgb="FF0070C0"/>
  </sheetPr>
  <dimension ref="A1:AK55"/>
  <sheetViews>
    <sheetView workbookViewId="0">
      <selection activeCell="D18" sqref="D18"/>
    </sheetView>
  </sheetViews>
  <sheetFormatPr defaultRowHeight="15.5" x14ac:dyDescent="0.35"/>
  <cols>
    <col min="1" max="1" width="10.58203125" bestFit="1" customWidth="1"/>
    <col min="2" max="2" width="15.58203125" bestFit="1" customWidth="1"/>
    <col min="3" max="3" width="19.33203125" bestFit="1" customWidth="1"/>
    <col min="4" max="4" width="26.08203125" bestFit="1" customWidth="1"/>
    <col min="5" max="5" width="29.6640625" bestFit="1" customWidth="1"/>
    <col min="6" max="6" width="19.33203125" bestFit="1" customWidth="1"/>
    <col min="7" max="7" width="12.6640625" bestFit="1" customWidth="1"/>
    <col min="9" max="9" width="9.1640625" bestFit="1" customWidth="1"/>
    <col min="10" max="10" width="12.6640625" bestFit="1" customWidth="1"/>
    <col min="12" max="12" width="9.1640625" bestFit="1" customWidth="1"/>
    <col min="13" max="13" width="12.33203125" bestFit="1" customWidth="1"/>
    <col min="15" max="15" width="7.08203125" bestFit="1" customWidth="1"/>
    <col min="16" max="16" width="13.6640625" bestFit="1" customWidth="1"/>
    <col min="18" max="18" width="8.33203125" bestFit="1" customWidth="1"/>
    <col min="19" max="19" width="12.6640625" bestFit="1" customWidth="1"/>
    <col min="22" max="22" width="11.6640625" bestFit="1" customWidth="1"/>
    <col min="23" max="23" width="9.33203125" bestFit="1" customWidth="1"/>
    <col min="26" max="26" width="9" bestFit="1" customWidth="1"/>
  </cols>
  <sheetData>
    <row r="1" spans="1:37" s="3" customFormat="1" ht="14.5" customHeight="1" x14ac:dyDescent="0.35">
      <c r="A1" s="3" t="s">
        <v>325</v>
      </c>
      <c r="C1" s="47" t="s">
        <v>59</v>
      </c>
      <c r="D1" s="47" t="s">
        <v>60</v>
      </c>
      <c r="E1" s="3" t="s">
        <v>61</v>
      </c>
      <c r="F1" s="3" t="s">
        <v>262</v>
      </c>
      <c r="G1" s="3" t="s">
        <v>65</v>
      </c>
      <c r="H1" s="3" t="s">
        <v>66</v>
      </c>
      <c r="I1" s="3" t="s">
        <v>143</v>
      </c>
      <c r="J1" s="3" t="s">
        <v>67</v>
      </c>
      <c r="K1" s="3" t="s">
        <v>68</v>
      </c>
      <c r="L1" s="3" t="s">
        <v>144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145</v>
      </c>
      <c r="S1" s="3" t="s">
        <v>146</v>
      </c>
      <c r="T1" s="3" t="s">
        <v>147</v>
      </c>
      <c r="U1" s="3" t="s">
        <v>148</v>
      </c>
      <c r="V1" s="3" t="s">
        <v>263</v>
      </c>
      <c r="W1" s="3" t="s">
        <v>238</v>
      </c>
      <c r="X1" s="3" t="s">
        <v>239</v>
      </c>
      <c r="Y1" s="3" t="s">
        <v>240</v>
      </c>
      <c r="Z1" s="3" t="s">
        <v>241</v>
      </c>
      <c r="AA1" s="3" t="s">
        <v>264</v>
      </c>
      <c r="AB1" s="3" t="s">
        <v>243</v>
      </c>
      <c r="AC1" s="3" t="s">
        <v>265</v>
      </c>
      <c r="AD1" s="3" t="s">
        <v>245</v>
      </c>
      <c r="AE1" s="3" t="s">
        <v>266</v>
      </c>
      <c r="AF1" s="3" t="s">
        <v>267</v>
      </c>
      <c r="AG1" s="3" t="s">
        <v>268</v>
      </c>
      <c r="AH1" s="3" t="s">
        <v>269</v>
      </c>
      <c r="AI1" s="20" t="s">
        <v>6</v>
      </c>
      <c r="AJ1" s="20" t="s">
        <v>2</v>
      </c>
      <c r="AK1" s="21" t="s">
        <v>7</v>
      </c>
    </row>
    <row r="2" spans="1:37" x14ac:dyDescent="0.35">
      <c r="A2" s="115" t="s">
        <v>1040</v>
      </c>
      <c r="B2" t="s">
        <v>326</v>
      </c>
      <c r="C2" t="s">
        <v>328</v>
      </c>
      <c r="D2" t="s">
        <v>910</v>
      </c>
      <c r="E2" t="s">
        <v>327</v>
      </c>
      <c r="F2" t="s">
        <v>328</v>
      </c>
    </row>
    <row r="3" spans="1:37" x14ac:dyDescent="0.35">
      <c r="C3" t="s">
        <v>329</v>
      </c>
      <c r="D3" t="s">
        <v>907</v>
      </c>
      <c r="E3" t="s">
        <v>330</v>
      </c>
      <c r="F3" t="s">
        <v>329</v>
      </c>
    </row>
    <row r="4" spans="1:37" x14ac:dyDescent="0.35">
      <c r="C4" t="s">
        <v>331</v>
      </c>
      <c r="D4" t="s">
        <v>908</v>
      </c>
      <c r="E4" t="s">
        <v>332</v>
      </c>
      <c r="F4" t="s">
        <v>331</v>
      </c>
    </row>
    <row r="5" spans="1:37" x14ac:dyDescent="0.35">
      <c r="C5" t="s">
        <v>333</v>
      </c>
      <c r="D5" t="s">
        <v>909</v>
      </c>
      <c r="E5" t="s">
        <v>334</v>
      </c>
      <c r="F5" t="s">
        <v>333</v>
      </c>
    </row>
    <row r="6" spans="1:37" x14ac:dyDescent="0.35">
      <c r="C6" t="s">
        <v>336</v>
      </c>
      <c r="D6" t="s">
        <v>903</v>
      </c>
      <c r="E6" t="s">
        <v>335</v>
      </c>
      <c r="F6" t="s">
        <v>336</v>
      </c>
    </row>
    <row r="7" spans="1:37" x14ac:dyDescent="0.35">
      <c r="C7" t="s">
        <v>338</v>
      </c>
      <c r="D7" t="s">
        <v>1039</v>
      </c>
      <c r="E7" t="s">
        <v>337</v>
      </c>
      <c r="F7" t="s">
        <v>338</v>
      </c>
    </row>
    <row r="8" spans="1:37" x14ac:dyDescent="0.35">
      <c r="C8" s="34" t="s">
        <v>341</v>
      </c>
      <c r="D8" t="s">
        <v>339</v>
      </c>
      <c r="E8" t="s">
        <v>340</v>
      </c>
      <c r="F8" s="34" t="s">
        <v>341</v>
      </c>
    </row>
    <row r="9" spans="1:37" x14ac:dyDescent="0.35">
      <c r="F9" s="23"/>
    </row>
    <row r="10" spans="1:37" x14ac:dyDescent="0.35">
      <c r="B10" t="s">
        <v>342</v>
      </c>
      <c r="F10" s="23"/>
    </row>
    <row r="11" spans="1:37" x14ac:dyDescent="0.35">
      <c r="C11" t="s">
        <v>343</v>
      </c>
      <c r="D11" t="s">
        <v>344</v>
      </c>
      <c r="E11" t="s">
        <v>345</v>
      </c>
      <c r="F11" t="s">
        <v>343</v>
      </c>
    </row>
    <row r="12" spans="1:37" x14ac:dyDescent="0.35">
      <c r="B12" s="46" t="s">
        <v>905</v>
      </c>
      <c r="C12" t="s">
        <v>1042</v>
      </c>
      <c r="D12" t="s">
        <v>1073</v>
      </c>
      <c r="E12" t="s">
        <v>346</v>
      </c>
      <c r="F12" t="s">
        <v>1042</v>
      </c>
    </row>
    <row r="13" spans="1:37" x14ac:dyDescent="0.35">
      <c r="C13" t="s">
        <v>1043</v>
      </c>
      <c r="D13" t="s">
        <v>1072</v>
      </c>
      <c r="E13" t="s">
        <v>347</v>
      </c>
      <c r="F13" t="s">
        <v>1043</v>
      </c>
    </row>
    <row r="14" spans="1:37" x14ac:dyDescent="0.35">
      <c r="C14" t="s">
        <v>348</v>
      </c>
      <c r="D14" t="s">
        <v>349</v>
      </c>
      <c r="E14" t="s">
        <v>350</v>
      </c>
      <c r="F14" t="s">
        <v>348</v>
      </c>
    </row>
    <row r="17" spans="1:31" x14ac:dyDescent="0.35">
      <c r="B17" t="s">
        <v>1046</v>
      </c>
      <c r="C17" t="s">
        <v>1041</v>
      </c>
      <c r="D17" t="s">
        <v>1070</v>
      </c>
      <c r="E17" t="s">
        <v>351</v>
      </c>
      <c r="F17" t="s">
        <v>1044</v>
      </c>
    </row>
    <row r="18" spans="1:31" x14ac:dyDescent="0.35">
      <c r="C18" t="s">
        <v>904</v>
      </c>
      <c r="D18" t="s">
        <v>1071</v>
      </c>
      <c r="E18" t="s">
        <v>352</v>
      </c>
      <c r="F18" t="s">
        <v>904</v>
      </c>
    </row>
    <row r="20" spans="1:31" x14ac:dyDescent="0.35">
      <c r="C20" t="s">
        <v>1045</v>
      </c>
      <c r="D20" t="s">
        <v>1074</v>
      </c>
      <c r="E20" t="s">
        <v>353</v>
      </c>
      <c r="F20" t="s">
        <v>1045</v>
      </c>
    </row>
    <row r="22" spans="1:31" x14ac:dyDescent="0.35">
      <c r="B22" t="s">
        <v>354</v>
      </c>
    </row>
    <row r="23" spans="1:31" x14ac:dyDescent="0.35">
      <c r="C23" t="s">
        <v>355</v>
      </c>
      <c r="D23" t="s">
        <v>355</v>
      </c>
      <c r="E23" t="s">
        <v>356</v>
      </c>
      <c r="F23" t="s">
        <v>355</v>
      </c>
    </row>
    <row r="24" spans="1:31" x14ac:dyDescent="0.35">
      <c r="C24" t="s">
        <v>357</v>
      </c>
      <c r="D24" t="s">
        <v>357</v>
      </c>
      <c r="E24" t="s">
        <v>358</v>
      </c>
      <c r="F24" t="s">
        <v>357</v>
      </c>
    </row>
    <row r="25" spans="1:31" x14ac:dyDescent="0.35">
      <c r="A25" s="45" t="s">
        <v>906</v>
      </c>
      <c r="C25" s="45" t="s">
        <v>359</v>
      </c>
      <c r="D25" t="s">
        <v>359</v>
      </c>
      <c r="E25" t="s">
        <v>360</v>
      </c>
      <c r="F25" t="s">
        <v>359</v>
      </c>
    </row>
    <row r="26" spans="1:31" x14ac:dyDescent="0.35">
      <c r="C26" t="s">
        <v>361</v>
      </c>
      <c r="D26" t="s">
        <v>361</v>
      </c>
      <c r="E26" t="s">
        <v>362</v>
      </c>
      <c r="F26" t="s">
        <v>361</v>
      </c>
    </row>
    <row r="27" spans="1:31" x14ac:dyDescent="0.35">
      <c r="C27" t="s">
        <v>363</v>
      </c>
      <c r="D27" t="s">
        <v>363</v>
      </c>
      <c r="E27" t="s">
        <v>364</v>
      </c>
      <c r="F27" t="s">
        <v>363</v>
      </c>
      <c r="AA27" t="s">
        <v>365</v>
      </c>
      <c r="AC27" t="s">
        <v>364</v>
      </c>
      <c r="AE27" t="s">
        <v>366</v>
      </c>
    </row>
    <row r="28" spans="1:31" x14ac:dyDescent="0.35">
      <c r="C28" t="s">
        <v>1047</v>
      </c>
      <c r="D28" t="s">
        <v>367</v>
      </c>
      <c r="E28" t="s">
        <v>368</v>
      </c>
      <c r="F28" t="s">
        <v>1047</v>
      </c>
      <c r="AA28" t="s">
        <v>369</v>
      </c>
    </row>
    <row r="29" spans="1:31" x14ac:dyDescent="0.35">
      <c r="C29" s="45" t="s">
        <v>1048</v>
      </c>
      <c r="D29" t="s">
        <v>1056</v>
      </c>
      <c r="E29" t="s">
        <v>370</v>
      </c>
      <c r="F29" t="s">
        <v>1048</v>
      </c>
      <c r="AA29" t="s">
        <v>371</v>
      </c>
    </row>
    <row r="30" spans="1:31" x14ac:dyDescent="0.35">
      <c r="C30" s="45" t="s">
        <v>1049</v>
      </c>
      <c r="D30" t="s">
        <v>1057</v>
      </c>
      <c r="E30" t="s">
        <v>372</v>
      </c>
      <c r="F30" t="s">
        <v>1049</v>
      </c>
      <c r="AA30" t="s">
        <v>373</v>
      </c>
    </row>
    <row r="31" spans="1:31" x14ac:dyDescent="0.35">
      <c r="C31" t="s">
        <v>374</v>
      </c>
      <c r="D31" t="s">
        <v>375</v>
      </c>
      <c r="E31" t="s">
        <v>376</v>
      </c>
      <c r="F31" t="s">
        <v>374</v>
      </c>
      <c r="G31" s="23"/>
      <c r="AA31" t="s">
        <v>377</v>
      </c>
    </row>
    <row r="32" spans="1:31" x14ac:dyDescent="0.35">
      <c r="C32" s="45" t="s">
        <v>378</v>
      </c>
      <c r="D32" t="s">
        <v>1058</v>
      </c>
      <c r="E32" t="s">
        <v>379</v>
      </c>
      <c r="F32" t="s">
        <v>378</v>
      </c>
      <c r="AA32" t="s">
        <v>380</v>
      </c>
    </row>
    <row r="33" spans="3:27" x14ac:dyDescent="0.35">
      <c r="C33" s="45" t="s">
        <v>381</v>
      </c>
      <c r="D33" t="s">
        <v>1051</v>
      </c>
      <c r="E33" t="s">
        <v>382</v>
      </c>
      <c r="F33" t="s">
        <v>381</v>
      </c>
      <c r="AA33" t="s">
        <v>383</v>
      </c>
    </row>
    <row r="34" spans="3:27" x14ac:dyDescent="0.35">
      <c r="C34" t="s">
        <v>384</v>
      </c>
      <c r="D34" t="s">
        <v>1052</v>
      </c>
      <c r="E34" t="s">
        <v>385</v>
      </c>
      <c r="F34" t="s">
        <v>384</v>
      </c>
      <c r="AA34" t="s">
        <v>386</v>
      </c>
    </row>
    <row r="35" spans="3:27" x14ac:dyDescent="0.35">
      <c r="C35" t="s">
        <v>387</v>
      </c>
      <c r="D35" t="s">
        <v>1053</v>
      </c>
      <c r="E35" t="s">
        <v>388</v>
      </c>
      <c r="F35" t="s">
        <v>387</v>
      </c>
      <c r="AA35" t="s">
        <v>389</v>
      </c>
    </row>
    <row r="36" spans="3:27" x14ac:dyDescent="0.35">
      <c r="C36" s="45" t="s">
        <v>390</v>
      </c>
      <c r="D36" t="s">
        <v>1060</v>
      </c>
      <c r="E36" t="s">
        <v>391</v>
      </c>
      <c r="F36" t="s">
        <v>390</v>
      </c>
      <c r="AA36" t="s">
        <v>392</v>
      </c>
    </row>
    <row r="37" spans="3:27" x14ac:dyDescent="0.35">
      <c r="C37" s="45" t="s">
        <v>393</v>
      </c>
      <c r="D37" t="s">
        <v>1054</v>
      </c>
      <c r="E37" t="s">
        <v>394</v>
      </c>
      <c r="F37" t="s">
        <v>393</v>
      </c>
      <c r="AA37" t="s">
        <v>395</v>
      </c>
    </row>
    <row r="38" spans="3:27" x14ac:dyDescent="0.35">
      <c r="C38" t="s">
        <v>396</v>
      </c>
      <c r="D38" t="s">
        <v>397</v>
      </c>
      <c r="E38" t="s">
        <v>398</v>
      </c>
      <c r="F38" t="s">
        <v>396</v>
      </c>
      <c r="AA38" t="s">
        <v>399</v>
      </c>
    </row>
    <row r="39" spans="3:27" x14ac:dyDescent="0.35">
      <c r="C39" s="45" t="s">
        <v>400</v>
      </c>
      <c r="D39" t="s">
        <v>1055</v>
      </c>
      <c r="E39" t="s">
        <v>401</v>
      </c>
      <c r="F39" t="s">
        <v>400</v>
      </c>
      <c r="AA39" t="s">
        <v>402</v>
      </c>
    </row>
    <row r="40" spans="3:27" x14ac:dyDescent="0.35">
      <c r="C40" s="45" t="s">
        <v>403</v>
      </c>
      <c r="D40" t="s">
        <v>1059</v>
      </c>
      <c r="E40" t="s">
        <v>404</v>
      </c>
      <c r="F40" t="s">
        <v>403</v>
      </c>
      <c r="AA40" t="s">
        <v>404</v>
      </c>
    </row>
    <row r="41" spans="3:27" x14ac:dyDescent="0.35">
      <c r="C41" t="s">
        <v>1050</v>
      </c>
      <c r="D41" t="s">
        <v>405</v>
      </c>
      <c r="E41" t="s">
        <v>406</v>
      </c>
      <c r="F41" t="s">
        <v>1050</v>
      </c>
    </row>
    <row r="42" spans="3:27" x14ac:dyDescent="0.35">
      <c r="C42" t="s">
        <v>407</v>
      </c>
      <c r="D42" t="s">
        <v>408</v>
      </c>
      <c r="E42" t="s">
        <v>409</v>
      </c>
      <c r="F42" t="s">
        <v>407</v>
      </c>
    </row>
    <row r="43" spans="3:27" x14ac:dyDescent="0.35">
      <c r="C43" t="s">
        <v>410</v>
      </c>
      <c r="D43" t="s">
        <v>411</v>
      </c>
      <c r="E43" t="s">
        <v>412</v>
      </c>
      <c r="F43" t="s">
        <v>410</v>
      </c>
    </row>
    <row r="44" spans="3:27" x14ac:dyDescent="0.35">
      <c r="C44" s="114" t="s">
        <v>413</v>
      </c>
      <c r="D44" t="s">
        <v>414</v>
      </c>
      <c r="E44" t="s">
        <v>415</v>
      </c>
      <c r="F44" t="s">
        <v>413</v>
      </c>
    </row>
    <row r="45" spans="3:27" x14ac:dyDescent="0.35">
      <c r="C45" s="34"/>
    </row>
    <row r="46" spans="3:27" x14ac:dyDescent="0.35">
      <c r="C46" t="s">
        <v>416</v>
      </c>
      <c r="D46" t="s">
        <v>416</v>
      </c>
      <c r="E46" t="s">
        <v>417</v>
      </c>
      <c r="F46" t="s">
        <v>416</v>
      </c>
    </row>
    <row r="47" spans="3:27" x14ac:dyDescent="0.35">
      <c r="C47" t="s">
        <v>418</v>
      </c>
      <c r="D47" t="s">
        <v>1067</v>
      </c>
      <c r="E47" t="s">
        <v>372</v>
      </c>
      <c r="F47" t="s">
        <v>418</v>
      </c>
    </row>
    <row r="48" spans="3:27" x14ac:dyDescent="0.35">
      <c r="C48" t="s">
        <v>419</v>
      </c>
      <c r="D48" t="s">
        <v>1068</v>
      </c>
      <c r="E48" t="s">
        <v>420</v>
      </c>
      <c r="F48" t="s">
        <v>419</v>
      </c>
      <c r="AA48" t="s">
        <v>421</v>
      </c>
    </row>
    <row r="49" spans="1:27" x14ac:dyDescent="0.35">
      <c r="C49" t="s">
        <v>422</v>
      </c>
      <c r="D49" t="s">
        <v>1061</v>
      </c>
      <c r="E49" t="s">
        <v>423</v>
      </c>
      <c r="F49" t="s">
        <v>422</v>
      </c>
      <c r="AA49" t="s">
        <v>424</v>
      </c>
    </row>
    <row r="50" spans="1:27" x14ac:dyDescent="0.35">
      <c r="C50" t="s">
        <v>425</v>
      </c>
      <c r="D50" t="s">
        <v>1069</v>
      </c>
      <c r="E50" t="s">
        <v>426</v>
      </c>
      <c r="F50" t="s">
        <v>425</v>
      </c>
    </row>
    <row r="55" spans="1:27" x14ac:dyDescent="0.35">
      <c r="A55" t="s">
        <v>911</v>
      </c>
    </row>
  </sheetData>
  <phoneticPr fontId="11" type="noConversion"/>
  <conditionalFormatting sqref="C1">
    <cfRule type="expression" dxfId="10" priority="9">
      <formula>LEN(C1)&gt;16</formula>
    </cfRule>
  </conditionalFormatting>
  <conditionalFormatting sqref="C7:D7">
    <cfRule type="expression" dxfId="9" priority="1">
      <formula>LEN(C7)&gt;16</formula>
    </cfRule>
  </conditionalFormatting>
  <conditionalFormatting sqref="D2">
    <cfRule type="expression" dxfId="8" priority="2">
      <formula>LEN(D2)&gt;16</formula>
    </cfRule>
  </conditionalFormatting>
  <conditionalFormatting sqref="D6:D50 C9:C17 B18 C19:C1048576">
    <cfRule type="expression" dxfId="7" priority="8">
      <formula>LEN(B6)&gt;16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Read me</vt:lpstr>
      <vt:lpstr>Ref</vt:lpstr>
      <vt:lpstr>elements</vt:lpstr>
      <vt:lpstr>gases DComp</vt:lpstr>
      <vt:lpstr>aqueous DComp</vt:lpstr>
      <vt:lpstr>solids ReacDC</vt:lpstr>
      <vt:lpstr>aqueous ReacDC</vt:lpstr>
      <vt:lpstr>solids DComp</vt:lpstr>
      <vt:lpstr>cem-hydrates DComp</vt:lpstr>
      <vt:lpstr>cem-hydrates ReacDC</vt:lpstr>
      <vt:lpstr>cem-clinkers- DComp</vt:lpstr>
      <vt:lpstr>zeolites DComp</vt:lpstr>
      <vt:lpstr>zeolites ReacDC</vt:lpstr>
      <vt:lpstr>solid solutions DComp</vt:lpstr>
      <vt:lpstr>solid solutions ReacDC</vt:lpstr>
      <vt:lpstr>phosphates DComp</vt:lpstr>
      <vt:lpstr>aqueous phosphates ReacDC</vt:lpstr>
      <vt:lpstr>phosphates ReacDC</vt:lpstr>
      <vt:lpstr>Compos</vt:lpstr>
      <vt:lpstr>'aqueous ReacDC'!logK</vt:lpstr>
      <vt:lpstr>Pref</vt:lpstr>
      <vt:lpstr>R_constant</vt:lpstr>
      <vt:lpstr>Tref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</dc:creator>
  <cp:keywords/>
  <dc:description/>
  <cp:lastModifiedBy>Dan Miron PSI</cp:lastModifiedBy>
  <cp:revision>9</cp:revision>
  <dcterms:created xsi:type="dcterms:W3CDTF">2020-04-21T11:57:55Z</dcterms:created>
  <dcterms:modified xsi:type="dcterms:W3CDTF">2025-06-17T15:11:51Z</dcterms:modified>
  <cp:category/>
  <cp:contentStatus/>
</cp:coreProperties>
</file>